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Gleason!$A$1:$X$72</definedName>
    <definedName function="false" hidden="false" localSheetId="5" name="_xlnm.Print_Area" vbProcedure="false">Wheatland!$A$1:$W$79</definedName>
    <definedName function="false" hidden="false" localSheetId="3" name="_xlnm.Print_Area" vbProcedure="false">Wilton!$A$1:$W$76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86</xdr:colOff>
                <xdr:row>4</xdr:row>
                <xdr:rowOff>1</xdr:rowOff>
              </xdr:from>
              <xdr:to>
                <xdr:col>25</xdr:col>
                <xdr:colOff>28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49</xdr:row>
                <xdr:rowOff>7</xdr:rowOff>
              </xdr:from>
              <xdr:to>
                <xdr:col>5</xdr:col>
                <xdr:colOff>68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23</xdr:colOff>
                <xdr:row>8</xdr:row>
                <xdr:rowOff>14</xdr:rowOff>
              </xdr:from>
              <xdr:to>
                <xdr:col>13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<sst xmlns="http://schemas.openxmlformats.org/spreadsheetml/2006/main" count="586" uniqueCount="127">
  <si>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</si>
  <si>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</si>
  <si>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</si>
  <si>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</si>
  <si>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</si>
  <si>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</si>
  <si>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</si>
  <si>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</si>
  <si>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</si>
  <si>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</si>
  <si>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</si>
  <si>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</si>
  <si>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</si>
  <si>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</si>
  <si>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</si>
  <si>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</si>
  <si>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</si>
  <si>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</si>
  <si>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</si>
  <si>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</si>
  <si>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</si>
  <si>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</si>
  <si>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</si>
  <si>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</si>
  <si>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</si>
  <si>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</si>
  <si>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</si>
  <si>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</si>
  <si>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</si>
  <si>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</si>
  <si>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</si>
  <si>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</si>
  <si>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</si>
  <si>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</si>
  <si>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</si>
  <si>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</si>
  <si>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</si>
  <si>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</si>
  <si>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</si>
  <si>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</si>
  <si>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</si>
  <si>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</si>
  <si>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</si>
  <si>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</si>
  <si>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</si>
  <si>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</si>
  <si>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</si>
  <si>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</si>
  <si>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</si>
  <si>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</si>
  <si>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</si>
  <si>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</si>
  <si>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</si>
  <si>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</si>
  <si>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</si>
  <si>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</si>
  <si>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</si>
  <si>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</si>
  <si>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</si>
  <si>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</si>
  <si>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</si>
  <si>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</si>
  <si>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</si>
  <si>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</si>
  <si>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</si>
  <si>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</si>
  <si>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</si>
  <si>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</si>
  <si>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</si>
  <si>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</si>
  <si>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</si>
  <si>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</si>
  <si>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</si>
  <si>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</si>
  <si>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</si>
  <si>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</si>
  <si>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</si>
  <si>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</si>
  <si>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</si>
  <si>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</si>
  <si>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</si>
  <si>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</si>
  <si>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</si>
  <si>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</si>
  <si>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</si>
  <si>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</si>
  <si>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</si>
  <si>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</si>
  <si>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</si>
  <si>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</si>
  <si>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</si>
  <si>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</si>
  <si>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</si>
  <si>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</si>
  <si>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</si>
  <si>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</si>
  <si>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</si>
  <si>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</si>
  <si>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</si>
  <si>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December 3,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</si>
  <si>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</si>
  <si>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</si>
  <si>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</si>
  <si>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</si>
  <si>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</si>
  <si>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</si>
  <si>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% Complete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</si>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</sst>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1214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12328422</v>
          </cell>
        </row>
        <row r="81">
          <cell r="BR81">
            <v>8059115</v>
          </cell>
        </row>
        <row r="114">
          <cell r="BR114">
            <v>32919642</v>
          </cell>
        </row>
        <row r="119">
          <cell r="BR119">
            <v>5336759</v>
          </cell>
        </row>
        <row r="126">
          <cell r="BR126">
            <v>940200</v>
          </cell>
        </row>
        <row r="127">
          <cell r="BR127">
            <v>2824800</v>
          </cell>
        </row>
        <row r="128">
          <cell r="BR128">
            <v>3066700</v>
          </cell>
        </row>
        <row r="142">
          <cell r="BR142">
            <v>9479079</v>
          </cell>
        </row>
        <row r="151">
          <cell r="BR151">
            <v>908786</v>
          </cell>
        </row>
        <row r="157">
          <cell r="BR157">
            <v>500000</v>
          </cell>
        </row>
        <row r="159">
          <cell r="BR159">
            <v>1253881</v>
          </cell>
        </row>
        <row r="166">
          <cell r="BR166">
            <v>2305818.14</v>
          </cell>
        </row>
        <row r="173">
          <cell r="BR173">
            <v>400000</v>
          </cell>
        </row>
        <row r="175">
          <cell r="BR175">
            <v>1000000</v>
          </cell>
        </row>
        <row r="177">
          <cell r="BR177">
            <v>6500000</v>
          </cell>
        </row>
        <row r="183">
          <cell r="BR183">
            <v>1500000</v>
          </cell>
        </row>
        <row r="185">
          <cell r="BR185">
            <v>266248.5</v>
          </cell>
        </row>
        <row r="187">
          <cell r="BR187">
            <v>200000</v>
          </cell>
        </row>
        <row r="196">
          <cell r="BR196">
            <v>847631.42</v>
          </cell>
        </row>
        <row r="202">
          <cell r="BR202">
            <v>256751</v>
          </cell>
        </row>
        <row r="218">
          <cell r="AN218">
            <v>52217</v>
          </cell>
        </row>
        <row r="234">
          <cell r="BR234">
            <v>251611255.623462</v>
          </cell>
        </row>
      </sheetData>
      <sheetData sheetId="6">
        <row r="216">
          <cell r="BT216">
            <v>754115.063333333</v>
          </cell>
        </row>
      </sheetData>
      <sheetData sheetId="7">
        <row r="16">
          <cell r="BT16">
            <v>95323101</v>
          </cell>
        </row>
        <row r="35">
          <cell r="BT35">
            <v>5893811</v>
          </cell>
        </row>
        <row r="59">
          <cell r="BT59">
            <v>14950614</v>
          </cell>
        </row>
        <row r="87">
          <cell r="BT87">
            <v>5163899</v>
          </cell>
        </row>
        <row r="119">
          <cell r="BT119">
            <v>12396887</v>
          </cell>
        </row>
        <row r="124">
          <cell r="BT124">
            <v>12059700</v>
          </cell>
        </row>
        <row r="131">
          <cell r="BT131">
            <v>929800</v>
          </cell>
        </row>
        <row r="132">
          <cell r="BT132">
            <v>2840700</v>
          </cell>
        </row>
        <row r="133">
          <cell r="BT133">
            <v>3066700</v>
          </cell>
        </row>
        <row r="165">
          <cell r="BT165">
            <v>908786</v>
          </cell>
        </row>
        <row r="171">
          <cell r="BT171">
            <v>675000</v>
          </cell>
        </row>
        <row r="173">
          <cell r="BT173">
            <v>1247007</v>
          </cell>
        </row>
        <row r="180">
          <cell r="BT180">
            <v>369041</v>
          </cell>
        </row>
        <row r="190">
          <cell r="BT190">
            <v>540000</v>
          </cell>
        </row>
        <row r="197">
          <cell r="BT197">
            <v>2200000</v>
          </cell>
        </row>
        <row r="199">
          <cell r="BT199">
            <v>1100000</v>
          </cell>
        </row>
        <row r="205">
          <cell r="BT205">
            <v>500000</v>
          </cell>
        </row>
        <row r="207">
          <cell r="BT207">
            <v>200935.25</v>
          </cell>
        </row>
        <row r="209">
          <cell r="BT209">
            <v>200000</v>
          </cell>
        </row>
        <row r="218">
          <cell r="BT218">
            <v>623216.18</v>
          </cell>
        </row>
        <row r="224">
          <cell r="BT224">
            <v>500000</v>
          </cell>
        </row>
        <row r="230">
          <cell r="BT230">
            <v>0</v>
          </cell>
        </row>
        <row r="240">
          <cell r="BT240">
            <v>173061680.261158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12701255</v>
          </cell>
        </row>
        <row r="82">
          <cell r="BR82">
            <v>5240384</v>
          </cell>
        </row>
        <row r="114">
          <cell r="BR114">
            <v>12176761</v>
          </cell>
        </row>
        <row r="119">
          <cell r="BR119">
            <v>9880464</v>
          </cell>
        </row>
        <row r="127">
          <cell r="BR127">
            <v>929800</v>
          </cell>
        </row>
        <row r="128">
          <cell r="BR128">
            <v>2386700</v>
          </cell>
        </row>
        <row r="129">
          <cell r="BR129">
            <v>3066700</v>
          </cell>
        </row>
        <row r="151">
          <cell r="BR151">
            <v>1500000</v>
          </cell>
        </row>
        <row r="153">
          <cell r="BR153">
            <v>50000</v>
          </cell>
        </row>
        <row r="155">
          <cell r="BR155">
            <v>1172731</v>
          </cell>
        </row>
        <row r="162">
          <cell r="BR162">
            <v>1112944</v>
          </cell>
        </row>
        <row r="169">
          <cell r="BR169">
            <v>450000</v>
          </cell>
        </row>
        <row r="171">
          <cell r="BR171">
            <v>5000000</v>
          </cell>
        </row>
        <row r="173">
          <cell r="BR173">
            <v>1500000</v>
          </cell>
        </row>
        <row r="179">
          <cell r="BR179">
            <v>1000000</v>
          </cell>
        </row>
        <row r="181">
          <cell r="BR181">
            <v>200000</v>
          </cell>
        </row>
        <row r="183">
          <cell r="BR183">
            <v>200000</v>
          </cell>
        </row>
        <row r="192">
          <cell r="BR192">
            <v>750246.08</v>
          </cell>
        </row>
        <row r="198">
          <cell r="BR198">
            <v>400000</v>
          </cell>
        </row>
        <row r="204">
          <cell r="BP204">
            <v>0.100000000093132</v>
          </cell>
        </row>
        <row r="214">
          <cell r="AN214">
            <v>36835</v>
          </cell>
        </row>
        <row r="214">
          <cell r="AP214">
            <v>-36835</v>
          </cell>
        </row>
        <row r="231">
          <cell r="BR231">
            <v>161087522.105576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XML/filtered-attachments/xls/Draw_Sched___121499.xls'#$6.5%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45926.9532349624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5" min="4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Wilton!C45</f>
        <v>7140000</v>
      </c>
      <c r="D11" s="1" t="n">
        <f aca="false">Wilton!D45</f>
        <v>1296410</v>
      </c>
      <c r="E11" s="1" t="n">
        <f aca="false">Wilton!E45</f>
        <v>33024184</v>
      </c>
      <c r="F11" s="1" t="n">
        <f aca="false">Wilton!F45</f>
        <v>225882.6</v>
      </c>
      <c r="G11" s="1" t="n">
        <f aca="false">Wilton!G45</f>
        <v>1752232.9</v>
      </c>
      <c r="H11" s="1" t="n">
        <f aca="false">Wilton!H45</f>
        <v>18800373.5</v>
      </c>
      <c r="I11" s="1" t="n">
        <f aca="false">Wilton!I45</f>
        <v>8037788.40252083</v>
      </c>
      <c r="J11" s="1" t="n">
        <f aca="false">Wilton!J45</f>
        <v>8808343.96206088</v>
      </c>
      <c r="K11" s="1" t="n">
        <f aca="false">Wilton!K45</f>
        <v>6987028.92872204</v>
      </c>
      <c r="L11" s="1" t="n">
        <f aca="false">Wilton!L45</f>
        <v>7789242.4890361</v>
      </c>
      <c r="M11" s="1" t="n">
        <f aca="false">Wilton!M45</f>
        <v>11600775.8308585</v>
      </c>
      <c r="N11" s="1" t="n">
        <f aca="false">Wilton!N45</f>
        <v>17679921.6272104</v>
      </c>
      <c r="O11" s="1" t="n">
        <f aca="false">Wilton!O45</f>
        <v>42265506.2719307</v>
      </c>
      <c r="P11" s="1" t="n">
        <f aca="false">Wilton!P45</f>
        <v>33637081.490714</v>
      </c>
      <c r="Q11" s="1" t="n">
        <f aca="false">Wilton!Q45</f>
        <v>15369763.4005759</v>
      </c>
      <c r="R11" s="1" t="n">
        <f aca="false">Wilton!R45</f>
        <v>8331270.49931619</v>
      </c>
      <c r="S11" s="1" t="n">
        <f aca="false">Wilton!S45</f>
        <v>7493346.10848959</v>
      </c>
      <c r="T11" s="1" t="n">
        <f aca="false">Wilton!T45</f>
        <v>5782539.00551641</v>
      </c>
      <c r="U11" s="1" t="n">
        <f aca="false">Wilton!U45</f>
        <v>15014381.2027102</v>
      </c>
      <c r="V11" s="1" t="n">
        <f aca="false">Wilton!V45</f>
        <v>251036072.219662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Gleason!C46</f>
        <v>0</v>
      </c>
      <c r="D13" s="1" t="n">
        <f aca="false">Gleason!D46</f>
        <v>0</v>
      </c>
      <c r="E13" s="1" t="n">
        <f aca="false">Gleason!E46</f>
        <v>0</v>
      </c>
      <c r="F13" s="1" t="n">
        <f aca="false">Gleason!F46</f>
        <v>0</v>
      </c>
      <c r="G13" s="1" t="n">
        <f aca="false">Gleason!G46</f>
        <v>0</v>
      </c>
      <c r="H13" s="1" t="n">
        <f aca="false">Gleason!H46</f>
        <v>0</v>
      </c>
      <c r="I13" s="1" t="n">
        <f aca="false">Gleason!I46</f>
        <v>0</v>
      </c>
      <c r="J13" s="1" t="n">
        <f aca="false">Gleason!J46</f>
        <v>0</v>
      </c>
      <c r="K13" s="1" t="n">
        <f aca="false">Gleason!L46</f>
        <v>93152637</v>
      </c>
      <c r="L13" s="1" t="n">
        <f aca="false">Gleason!M46</f>
        <v>709310.93</v>
      </c>
      <c r="M13" s="1" t="n">
        <f aca="false">Gleason!N46</f>
        <v>2178270.25600972</v>
      </c>
      <c r="N13" s="1" t="n">
        <f aca="false">Gleason!O46</f>
        <v>7520808.75656311</v>
      </c>
      <c r="O13" s="1" t="n">
        <f aca="false">Gleason!P46</f>
        <v>13925350.2043778</v>
      </c>
      <c r="P13" s="1" t="n">
        <f aca="false">Gleason!Q46</f>
        <v>11492132.3197645</v>
      </c>
      <c r="Q13" s="1" t="n">
        <f aca="false">Gleason!R46</f>
        <v>9563614.5042799</v>
      </c>
      <c r="R13" s="1" t="n">
        <f aca="false">Gleason!S46</f>
        <v>7974796.74782391</v>
      </c>
      <c r="S13" s="1" t="n">
        <f aca="false">Gleason!T46</f>
        <v>6061492.69552046</v>
      </c>
      <c r="T13" s="1" t="n">
        <f aca="false">Gleason!U46</f>
        <v>6772249.91558323</v>
      </c>
      <c r="U13" s="1" t="n">
        <f aca="false">Gleason!V46</f>
        <v>13688390.1256801</v>
      </c>
      <c r="V13" s="1" t="n">
        <f aca="false">Gleason!W46</f>
        <v>173039053.455603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10144670.968722</v>
      </c>
      <c r="P15" s="1" t="n">
        <f aca="false">Wheatland!P46</f>
        <v>10891188.7001862</v>
      </c>
      <c r="Q15" s="1" t="n">
        <f aca="false">Wheatland!Q46</f>
        <v>10126841.3952236</v>
      </c>
      <c r="R15" s="1" t="n">
        <f aca="false">Wheatland!R46</f>
        <v>9041406.57070761</v>
      </c>
      <c r="S15" s="1" t="n">
        <f aca="false">Wheatland!S46</f>
        <v>6325567.92560227</v>
      </c>
      <c r="T15" s="1" t="n">
        <f aca="false">Wheatland!T46</f>
        <v>7192502.43991995</v>
      </c>
      <c r="U15" s="1" t="n">
        <f aca="false">Wheatland!U46</f>
        <v>15674237.7603468</v>
      </c>
      <c r="V15" s="1" t="n">
        <f aca="false">Wheatland!V46</f>
        <v>160876972.14769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101635947.605139</v>
      </c>
      <c r="L17" s="1" t="n">
        <f aca="false">SUM(L10:L15)</f>
        <v>10278669.3490361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66335527.4450305</v>
      </c>
      <c r="P17" s="1" t="n">
        <f aca="false">SUM(P10:P15)</f>
        <v>56020402.5106648</v>
      </c>
      <c r="Q17" s="1" t="n">
        <f aca="false">SUM(Q10:Q15)</f>
        <v>35060219.3000794</v>
      </c>
      <c r="R17" s="1" t="n">
        <f aca="false">SUM(R10:R15)</f>
        <v>25347473.8178477</v>
      </c>
      <c r="S17" s="1" t="n">
        <f aca="false">SUM(S10:S15)</f>
        <v>19880406.7296123</v>
      </c>
      <c r="T17" s="1" t="n">
        <f aca="false">SUM(T10:T15)</f>
        <v>19747291.3610196</v>
      </c>
      <c r="U17" s="1" t="n">
        <f aca="false">SUM(U10:U15)</f>
        <v>44377009.0887371</v>
      </c>
      <c r="V17" s="1" t="n">
        <f aca="false">SUM(V10:V15)</f>
        <v>584952097.822955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261876939.00048</v>
      </c>
      <c r="L18" s="2" t="n">
        <f aca="false">K18+L17</f>
        <v>272155608.349516</v>
      </c>
      <c r="M18" s="2" t="n">
        <f aca="false">L18+M17</f>
        <v>287501037.845224</v>
      </c>
      <c r="N18" s="2" t="n">
        <f aca="false">M18+N17</f>
        <v>318183767.569964</v>
      </c>
      <c r="O18" s="2" t="n">
        <f aca="false">N18+O17</f>
        <v>384519295.014994</v>
      </c>
      <c r="P18" s="2" t="n">
        <f aca="false">O18+P17</f>
        <v>440539697.525659</v>
      </c>
      <c r="Q18" s="2" t="n">
        <f aca="false">P18+Q17</f>
        <v>475599916.825738</v>
      </c>
      <c r="R18" s="2" t="n">
        <f aca="false">Q18+R17</f>
        <v>500947390.643586</v>
      </c>
      <c r="S18" s="2" t="n">
        <f aca="false">R18+S17</f>
        <v>520827797.373198</v>
      </c>
      <c r="T18" s="2" t="n">
        <f aca="false">S18+T17</f>
        <v>540575088.734218</v>
      </c>
      <c r="U18" s="2" t="n">
        <f aca="false">T18+U17</f>
        <v>584952097.822955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3,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XML/filtered-attachments/xls/Draw_Sched___121499.xls'#$Calvert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45926.953235034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-82585.1933333332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1.28"/>
    <col collapsed="false" customWidth="true" hidden="false" outlineLevel="0" max="6" min="6" style="1" width="12.28"/>
    <col collapsed="false" customWidth="true" hidden="false" outlineLevel="0" max="7" min="7" style="1" width="11.28"/>
    <col collapsed="false" customWidth="true" hidden="false" outlineLevel="0" max="8" min="8" style="1" width="11.99"/>
    <col collapsed="false" customWidth="true" hidden="false" outlineLevel="0" max="10" min="9" style="1" width="11.28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6" min="15" style="1" width="12.28"/>
    <col collapsed="false" customWidth="true" hidden="false" outlineLevel="0" max="17" min="17" style="1" width="12.85"/>
    <col collapsed="false" customWidth="true" hidden="false" outlineLevel="0" max="20" min="18" style="1" width="12.28"/>
    <col collapsed="false" customWidth="true" hidden="false" outlineLevel="0" max="21" min="21" style="1" width="13.85"/>
    <col collapsed="false" customWidth="true" hidden="false" outlineLevel="0" max="22" min="22" style="2" width="14.41"/>
    <col collapsed="false" customWidth="true" hidden="false" outlineLevel="0" max="23" min="23" style="1" width="19.99"/>
    <col collapsed="false" customWidth="true" hidden="false" outlineLevel="0" max="24" min="24" style="1" width="12.28"/>
    <col collapsed="false" customWidth="true" hidden="false" outlineLevel="0" max="25" min="25" style="1" width="13.85"/>
    <col collapsed="false" customWidth="false" hidden="false" outlineLevel="0" max="26" min="26" style="1" width="9.14"/>
    <col collapsed="false" customWidth="true" hidden="false" outlineLevel="0" max="28" min="27" style="1" width="9.28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 t="n">
        <v>0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XML/filtered-attachments/xls/Draw_Sched___121499.xls'#$Wilton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45926.9532350648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14"/>
      <c r="W9" s="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P10" s="1" t="n">
        <v>13325691</v>
      </c>
      <c r="Q10" s="1" t="n">
        <v>0</v>
      </c>
      <c r="R10" s="1" t="n">
        <v>0</v>
      </c>
      <c r="U10" s="1" t="n">
        <v>7103247</v>
      </c>
      <c r="V10" s="16" t="n">
        <f aca="false">SUM(C10:U10)</f>
        <v>142064939.75</v>
      </c>
      <c r="W10" s="17" t="s">
        <v>23</v>
      </c>
      <c r="X10" s="1" t="n">
        <f aca="false">[1]Wilton!$BR$12</f>
        <v>142064940</v>
      </c>
      <c r="Y10" s="1" t="n">
        <f aca="false">V10-X10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Q11" s="1" t="n">
        <v>591604.8</v>
      </c>
      <c r="V11" s="16" t="n">
        <f aca="false">SUM(C11:U11)</f>
        <v>5916047.6</v>
      </c>
      <c r="W11" s="17" t="str">
        <f aca="false">W10</f>
        <v>Mike Miller</v>
      </c>
      <c r="X11" s="1" t="n">
        <f aca="false">[1]Wilton!$BR$31</f>
        <v>5916048</v>
      </c>
      <c r="Y11" s="1" t="n">
        <f aca="false">V11-X11</f>
        <v>-0.400000000372529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O12" s="1" t="n">
        <v>1183814.88</v>
      </c>
      <c r="P12" s="1" t="n">
        <v>1775722.31</v>
      </c>
      <c r="Q12" s="1" t="n">
        <v>1302196.36</v>
      </c>
      <c r="U12" s="1" t="n">
        <f aca="false">473525.95+8560</f>
        <v>482085.95</v>
      </c>
      <c r="V12" s="16" t="n">
        <f aca="false">SUM(C12:U12)</f>
        <v>9479079.3</v>
      </c>
      <c r="W12" s="17" t="str">
        <f aca="false">W11</f>
        <v>Mike Miller</v>
      </c>
      <c r="X12" s="1" t="n">
        <f aca="false">[1]Wilton!$BR$142</f>
        <v>9479079</v>
      </c>
      <c r="Y12" s="1" t="n">
        <f aca="false">V12-X12</f>
        <v>0.299999998882413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V13" s="16" t="n">
        <f aca="false">SUM(C13:U13)</f>
        <v>940199.996666667</v>
      </c>
      <c r="W13" s="17" t="str">
        <f aca="false">W12</f>
        <v>Mike Miller</v>
      </c>
      <c r="X13" s="1" t="n">
        <f aca="false">[1]Wilton!$BR$126</f>
        <v>940200</v>
      </c>
      <c r="Y13" s="1" t="n">
        <f aca="false">V13-X13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f aca="false">2824800/12</f>
        <v>235400</v>
      </c>
      <c r="P14" s="1" t="n">
        <f aca="false">2824800/12</f>
        <v>235400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</f>
        <v>235401</v>
      </c>
      <c r="V14" s="16" t="n">
        <f aca="false">SUM(C14:U14)</f>
        <v>2824800</v>
      </c>
      <c r="W14" s="17" t="str">
        <f aca="false">W13</f>
        <v>Mike Miller</v>
      </c>
      <c r="X14" s="1" t="n">
        <f aca="false">[1]Wilton!$BR$127</f>
        <v>2824800</v>
      </c>
      <c r="Y14" s="1" t="n">
        <f aca="false">V14-X14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V15" s="16" t="n">
        <f aca="false">SUM(C15:U15)</f>
        <v>3066700</v>
      </c>
      <c r="W15" s="17" t="str">
        <f aca="false">W14</f>
        <v>Mike Miller</v>
      </c>
      <c r="X15" s="1" t="n">
        <f aca="false">[1]Wilton!$BR$128</f>
        <v>3066700</v>
      </c>
      <c r="Y15" s="1" t="n">
        <f aca="false">V15-X15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f aca="false">(0.3765-0.1751)*X16</f>
        <v>2482944.1908</v>
      </c>
      <c r="P16" s="1" t="n">
        <f aca="false">(0.6104-0.3765)*X16</f>
        <v>2883617.9058</v>
      </c>
      <c r="Q16" s="1" t="n">
        <f aca="false">(0.7911-0.6104)*X16</f>
        <v>2227745.8554</v>
      </c>
      <c r="R16" s="1" t="n">
        <f aca="false">(0.8836-0.7911)*X16</f>
        <v>1140379.035</v>
      </c>
      <c r="S16" s="1" t="n">
        <f aca="false">(0.9397-0.8836)*X16</f>
        <v>691624.474199999</v>
      </c>
      <c r="T16" s="1" t="n">
        <f aca="false">(0.9868-0.9397)*X16</f>
        <v>580668.6762</v>
      </c>
      <c r="U16" s="1" t="n">
        <f aca="false">(1-0.9868)*X16</f>
        <v>162735.1704</v>
      </c>
      <c r="V16" s="16" t="n">
        <f aca="false">SUM(C16:U16)</f>
        <v>11031803.3078</v>
      </c>
      <c r="W16" s="17" t="str">
        <f aca="false">W15</f>
        <v>Mike Miller</v>
      </c>
      <c r="X16" s="1" t="n">
        <f aca="false">[1]Wilton!$BR$55</f>
        <v>12328422</v>
      </c>
      <c r="Y16" s="1" t="n">
        <f aca="false">V16-X16</f>
        <v>-1296618.6922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f aca="false">(0.3765-0.1751)*X17</f>
        <v>1623105.761</v>
      </c>
      <c r="P17" s="1" t="n">
        <f aca="false">(0.6104-0.3765)*X17</f>
        <v>1885026.9985</v>
      </c>
      <c r="Q17" s="1" t="n">
        <f aca="false">(0.7911-0.6104)*X17</f>
        <v>1456282.0805</v>
      </c>
      <c r="R17" s="1" t="n">
        <f aca="false">(0.8836-0.7911)*X17</f>
        <v>745468.1375</v>
      </c>
      <c r="S17" s="1" t="n">
        <f aca="false">(0.9397-0.8836)*X17</f>
        <v>452116.351499999</v>
      </c>
      <c r="T17" s="1" t="n">
        <f aca="false">(0.9868-0.9397)*X17</f>
        <v>379584.3165</v>
      </c>
      <c r="U17" s="1" t="n">
        <f aca="false">(1-0.9868)*X17</f>
        <v>106380.318</v>
      </c>
      <c r="V17" s="16" t="n">
        <f aca="false">SUM(C17:U17)</f>
        <v>6651264.9635</v>
      </c>
      <c r="W17" s="17" t="str">
        <f aca="false">W16</f>
        <v>Mike Miller</v>
      </c>
      <c r="X17" s="1" t="n">
        <f aca="false">[1]Wilton!$BR$81</f>
        <v>8059115</v>
      </c>
      <c r="Y17" s="1" t="n">
        <f aca="false">V17-X17</f>
        <v>-1407850.0365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f aca="false">(0.3765-0.1751)*X18</f>
        <v>6630015.8988</v>
      </c>
      <c r="P18" s="1" t="n">
        <f aca="false">(0.6104-0.3765)*X18</f>
        <v>7699904.2638</v>
      </c>
      <c r="Q18" s="1" t="n">
        <f aca="false">(0.7911-0.6104)*X18</f>
        <v>5948579.3094</v>
      </c>
      <c r="R18" s="1" t="n">
        <f aca="false">(0.8836-0.7911)*X18</f>
        <v>3045066.885</v>
      </c>
      <c r="S18" s="1" t="n">
        <f aca="false">(0.9397-0.8836)*X18</f>
        <v>1846791.9162</v>
      </c>
      <c r="T18" s="1" t="n">
        <f aca="false">(0.9868-0.9397)*X18</f>
        <v>1550515.1382</v>
      </c>
      <c r="U18" s="1" t="n">
        <f aca="false">(1-0.9868)*X18</f>
        <v>434539.2744</v>
      </c>
      <c r="V18" s="16" t="n">
        <f aca="false">SUM(C18:U18)</f>
        <v>27155412.6858</v>
      </c>
      <c r="W18" s="17" t="str">
        <f aca="false">W17</f>
        <v>Mike Miller</v>
      </c>
      <c r="X18" s="1" t="n">
        <f aca="false">[1]Wilton!$BR$114</f>
        <v>32919642</v>
      </c>
      <c r="Y18" s="1" t="n">
        <f aca="false">V18-X18</f>
        <v>-5764229.3142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f aca="false">(0.3765-0.1751)*X19</f>
        <v>1074823.2626</v>
      </c>
      <c r="P19" s="1" t="n">
        <f aca="false">(0.6104-0.3765)*X19</f>
        <v>1248267.9301</v>
      </c>
      <c r="Q19" s="1" t="n">
        <f aca="false">(0.7911-0.6104)*X19</f>
        <v>964352.3513</v>
      </c>
      <c r="R19" s="1" t="n">
        <f aca="false">(0.8836-0.7911)*X19</f>
        <v>493650.2075</v>
      </c>
      <c r="S19" s="1" t="n">
        <f aca="false">(0.9397-0.8836)*X19</f>
        <v>299392.1799</v>
      </c>
      <c r="T19" s="1" t="n">
        <f aca="false">(0.9868-0.9397)*X19</f>
        <v>251361.3489</v>
      </c>
      <c r="U19" s="1" t="n">
        <f aca="false">(1-0.9868)*X19</f>
        <v>70445.2187999999</v>
      </c>
      <c r="V19" s="16" t="n">
        <f aca="false">SUM(C19:U19)</f>
        <v>4402292.4991</v>
      </c>
      <c r="W19" s="17" t="str">
        <f aca="false">W18</f>
        <v>Mike Miller</v>
      </c>
      <c r="X19" s="1" t="n">
        <f aca="false">[1]Wilton!$BR$119</f>
        <v>5336759</v>
      </c>
      <c r="Y19" s="1" t="n">
        <f aca="false">V19-X19</f>
        <v>-934466.5009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V20" s="16" t="n">
        <f aca="false">SUM(C20:U20)</f>
        <v>500000</v>
      </c>
      <c r="W20" s="17" t="str">
        <f aca="false">W19</f>
        <v>Mike Miller</v>
      </c>
      <c r="X20" s="1" t="n">
        <f aca="false">[1]Wilton!$BR$157</f>
        <v>500000</v>
      </c>
      <c r="Y20" s="1" t="n">
        <f aca="false">V20-X20</f>
        <v>0</v>
      </c>
    </row>
    <row r="21" customFormat="false" ht="12.75" hidden="false" customHeight="false" outlineLevel="0" collapsed="false">
      <c r="A21" s="1" t="s">
        <v>106</v>
      </c>
      <c r="F21" s="15"/>
      <c r="N21" s="1" t="n">
        <v>8573073</v>
      </c>
      <c r="O21" s="1" t="n">
        <v>830092</v>
      </c>
      <c r="V21" s="16" t="n">
        <f aca="false">SUM(C21:U21)</f>
        <v>9403165</v>
      </c>
      <c r="W21" s="17" t="str">
        <f aca="false">W20</f>
        <v>Mike Miller</v>
      </c>
      <c r="Y21" s="1" t="n">
        <f aca="false">V21-X21</f>
        <v>9403165</v>
      </c>
    </row>
    <row r="22" customFormat="false" ht="12.75" hidden="false" customHeight="false" outlineLevel="0" collapsed="false">
      <c r="A22" s="1" t="s">
        <v>27</v>
      </c>
      <c r="C22" s="2" t="n">
        <v>0</v>
      </c>
      <c r="F22" s="15"/>
      <c r="P22" s="1" t="n">
        <v>125000</v>
      </c>
      <c r="Q22" s="1" t="n">
        <v>125000</v>
      </c>
      <c r="R22" s="1" t="n">
        <v>125000</v>
      </c>
      <c r="S22" s="1" t="n">
        <v>125000</v>
      </c>
      <c r="T22" s="1" t="n">
        <v>125000</v>
      </c>
      <c r="U22" s="1" t="n">
        <f aca="false">908786-625000</f>
        <v>283786</v>
      </c>
      <c r="V22" s="16" t="n">
        <f aca="false">SUM(C22:U22)</f>
        <v>908786</v>
      </c>
      <c r="W22" s="17" t="s">
        <v>28</v>
      </c>
      <c r="X22" s="1" t="n">
        <f aca="false">[1]Wilton!$BR$151</f>
        <v>908786</v>
      </c>
      <c r="Y22" s="1" t="n">
        <f aca="false">V22-X22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F23" s="15"/>
      <c r="S23" s="1" t="n">
        <v>500000</v>
      </c>
      <c r="T23" s="1" t="n">
        <v>500000</v>
      </c>
      <c r="U23" s="1" t="n">
        <f aca="false">1253881-1000000</f>
        <v>253881</v>
      </c>
      <c r="V23" s="16" t="n">
        <f aca="false">SUM(C23:U23)</f>
        <v>1253881</v>
      </c>
      <c r="W23" s="17" t="str">
        <f aca="false">W16</f>
        <v>Mike Miller</v>
      </c>
      <c r="X23" s="1" t="n">
        <f aca="false">[1]Wilton!$BR$159</f>
        <v>1253881</v>
      </c>
      <c r="Y23" s="1" t="n">
        <f aca="false">V23-X23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F24" s="15" t="n">
        <v>20000</v>
      </c>
      <c r="G24" s="1" t="n">
        <f aca="false">1381361+65000</f>
        <v>1446361</v>
      </c>
      <c r="H24" s="1" t="n">
        <v>8500</v>
      </c>
      <c r="J24" s="1" t="n">
        <v>821965</v>
      </c>
      <c r="K24" s="1" t="n">
        <v>0</v>
      </c>
      <c r="M24" s="1" t="n">
        <v>1000</v>
      </c>
      <c r="N24" s="1" t="n">
        <v>7992</v>
      </c>
      <c r="V24" s="16" t="n">
        <f aca="false">SUM(C24:U24)</f>
        <v>2305818</v>
      </c>
      <c r="W24" s="17" t="s">
        <v>31</v>
      </c>
      <c r="X24" s="1" t="n">
        <f aca="false">[1]Wilton!$BR$166</f>
        <v>2305818.14</v>
      </c>
      <c r="Y24" s="1" t="n">
        <f aca="false">V24-X24</f>
        <v>-0.140000000130385</v>
      </c>
    </row>
    <row r="25" customFormat="false" ht="12.75" hidden="false" customHeight="false" outlineLevel="0" collapsed="false">
      <c r="A25" s="1" t="s">
        <v>32</v>
      </c>
      <c r="C25" s="2" t="n">
        <v>0</v>
      </c>
      <c r="E25" s="1" t="n">
        <v>0</v>
      </c>
      <c r="F25" s="15" t="n">
        <v>0</v>
      </c>
      <c r="H25" s="1" t="n">
        <v>71081</v>
      </c>
      <c r="I25" s="1" t="n">
        <v>13262</v>
      </c>
      <c r="J25" s="1" t="n">
        <v>24704.06</v>
      </c>
      <c r="K25" s="1" t="n">
        <v>9361.22</v>
      </c>
      <c r="L25" s="1" t="n">
        <v>11746.18</v>
      </c>
      <c r="M25" s="1" t="n">
        <v>19878</v>
      </c>
      <c r="N25" s="1" t="n">
        <v>29832</v>
      </c>
      <c r="O25" s="1" t="n">
        <f aca="false">14873-2460</f>
        <v>12413</v>
      </c>
      <c r="P25" s="1" t="n">
        <v>78892</v>
      </c>
      <c r="U25" s="1" t="n">
        <v>78785</v>
      </c>
      <c r="V25" s="16" t="n">
        <f aca="false">SUM(C25:U25)</f>
        <v>349954.46</v>
      </c>
      <c r="W25" s="17" t="str">
        <f aca="false">W24</f>
        <v>Scott Healy</v>
      </c>
    </row>
    <row r="26" customFormat="false" ht="12.75" hidden="false" customHeight="false" outlineLevel="0" collapsed="false">
      <c r="A26" s="1" t="s">
        <v>107</v>
      </c>
      <c r="C26" s="2" t="n">
        <v>0</v>
      </c>
      <c r="F26" s="15"/>
      <c r="M26" s="1" t="n">
        <v>50050</v>
      </c>
      <c r="N26" s="1" t="n">
        <v>160616</v>
      </c>
      <c r="P26" s="1" t="n">
        <f aca="false">1000000-50050-160616</f>
        <v>789334</v>
      </c>
      <c r="V26" s="16" t="n">
        <f aca="false">SUM(C26:U26)</f>
        <v>1000000</v>
      </c>
      <c r="W26" s="17" t="s">
        <v>34</v>
      </c>
      <c r="X26" s="1" t="n">
        <f aca="false">[1]Wilton!$BR$175</f>
        <v>1000000</v>
      </c>
      <c r="Y26" s="1" t="n">
        <f aca="false">V26-X26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250000</v>
      </c>
      <c r="P27" s="1" t="n">
        <v>1750000</v>
      </c>
      <c r="Q27" s="1" t="n">
        <v>1250000</v>
      </c>
      <c r="R27" s="1" t="n">
        <v>1250000</v>
      </c>
      <c r="S27" s="1" t="n">
        <v>1500000</v>
      </c>
      <c r="T27" s="1" t="n">
        <v>250000</v>
      </c>
      <c r="U27" s="1" t="n">
        <v>250000</v>
      </c>
      <c r="V27" s="16" t="n">
        <f aca="false">SUM(C27:U27)</f>
        <v>6500000</v>
      </c>
      <c r="W27" s="17" t="s">
        <v>34</v>
      </c>
      <c r="X27" s="1" t="n">
        <f aca="false">[1]Wilton!$BR$177</f>
        <v>6500000</v>
      </c>
      <c r="Y27" s="1" t="n">
        <f aca="false">V27-X27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500000</v>
      </c>
      <c r="V28" s="16" t="n">
        <f aca="false">SUM(C28:U28)</f>
        <v>1500000</v>
      </c>
      <c r="W28" s="17" t="str">
        <f aca="false">W22</f>
        <v>Kevin Presto</v>
      </c>
      <c r="X28" s="1" t="n">
        <f aca="false">[1]Wilton!$BR$183</f>
        <v>1500000</v>
      </c>
      <c r="Y28" s="1" t="n">
        <f aca="false">V28-X28</f>
        <v>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15"/>
      <c r="M29" s="1" t="n">
        <v>0</v>
      </c>
      <c r="N29" s="1" t="n">
        <v>0</v>
      </c>
      <c r="O29" s="1" t="n">
        <v>266248.5</v>
      </c>
      <c r="V29" s="16" t="n">
        <f aca="false">SUM(C29:U29)</f>
        <v>266248.5</v>
      </c>
      <c r="W29" s="17" t="s">
        <v>31</v>
      </c>
      <c r="X29" s="1" t="n">
        <f aca="false">[1]Wilton!$BR$185</f>
        <v>266248.5</v>
      </c>
      <c r="Y29" s="1" t="n">
        <f aca="false">V29-X29</f>
        <v>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 t="n">
        <v>0</v>
      </c>
      <c r="G30" s="1" t="n">
        <v>7949</v>
      </c>
      <c r="H30" s="1" t="n">
        <v>29402</v>
      </c>
      <c r="I30" s="1" t="n">
        <v>13770.85</v>
      </c>
      <c r="J30" s="1" t="n">
        <v>7746</v>
      </c>
      <c r="K30" s="1" t="n">
        <v>6276</v>
      </c>
      <c r="L30" s="1" t="n">
        <v>6591.41</v>
      </c>
      <c r="M30" s="1" t="n">
        <v>0</v>
      </c>
      <c r="N30" s="1" t="n">
        <v>0</v>
      </c>
      <c r="O30" s="1" t="n">
        <f aca="false">200000/15</f>
        <v>13333.3333333333</v>
      </c>
      <c r="P30" s="1" t="n">
        <f aca="false">200000/15</f>
        <v>13333.3333333333</v>
      </c>
      <c r="Q30" s="1" t="n">
        <f aca="false">200000/15</f>
        <v>13333.3333333333</v>
      </c>
      <c r="R30" s="1" t="n">
        <f aca="false">200000/15</f>
        <v>13333.3333333333</v>
      </c>
      <c r="S30" s="1" t="n">
        <f aca="false">6712-438</f>
        <v>6274</v>
      </c>
      <c r="T30" s="1" t="n">
        <v>5588</v>
      </c>
      <c r="U30" s="1" t="n">
        <f aca="false">6742+33723</f>
        <v>40465</v>
      </c>
      <c r="V30" s="16" t="n">
        <f aca="false">SUM(C30:U30)</f>
        <v>177395.593333333</v>
      </c>
      <c r="W30" s="17" t="s">
        <v>31</v>
      </c>
    </row>
    <row r="31" customFormat="false" ht="12.75" hidden="false" customHeight="false" outlineLevel="0" collapsed="false">
      <c r="A31" s="1" t="s">
        <v>40</v>
      </c>
      <c r="C31" s="2" t="n">
        <v>0</v>
      </c>
      <c r="D31" s="1" t="n">
        <v>0</v>
      </c>
      <c r="E31" s="1" t="n">
        <v>0</v>
      </c>
      <c r="F31" s="15" t="n">
        <v>0</v>
      </c>
      <c r="G31" s="1" t="n">
        <v>0</v>
      </c>
      <c r="H31" s="1" t="n">
        <v>11792</v>
      </c>
      <c r="I31" s="1" t="n">
        <f aca="false">11675+5185</f>
        <v>16860</v>
      </c>
      <c r="J31" s="1" t="n">
        <f aca="false">3599+10838+1916.6</f>
        <v>16353.6</v>
      </c>
      <c r="K31" s="1" t="n">
        <v>33741</v>
      </c>
      <c r="L31" s="1" t="n">
        <f aca="false">20657.14+6342.74</f>
        <v>26999.88</v>
      </c>
      <c r="M31" s="1" t="n">
        <v>47825</v>
      </c>
      <c r="N31" s="1" t="n">
        <v>131162</v>
      </c>
      <c r="O31" s="1" t="n">
        <f aca="false">2145+179148</f>
        <v>181293</v>
      </c>
      <c r="P31" s="1" t="n">
        <f aca="false">37613-2610</f>
        <v>35003</v>
      </c>
      <c r="Q31" s="1" t="n">
        <v>2610</v>
      </c>
      <c r="V31" s="16" t="n">
        <f aca="false">SUM(C31:U31)</f>
        <v>503639.48</v>
      </c>
      <c r="W31" s="17" t="s">
        <v>31</v>
      </c>
    </row>
    <row r="32" customFormat="false" ht="12.75" hidden="false" customHeight="false" outlineLevel="0" collapsed="false">
      <c r="A32" s="1" t="s">
        <v>41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0</v>
      </c>
      <c r="H32" s="1" t="n">
        <v>604.5</v>
      </c>
      <c r="I32" s="1" t="n">
        <v>0</v>
      </c>
      <c r="J32" s="1" t="n">
        <v>21423</v>
      </c>
      <c r="K32" s="1" t="n">
        <v>0</v>
      </c>
      <c r="L32" s="1" t="n">
        <v>75</v>
      </c>
      <c r="M32" s="1" t="n">
        <v>6749</v>
      </c>
      <c r="N32" s="1" t="n">
        <v>4455</v>
      </c>
      <c r="O32" s="1" t="n">
        <v>50000</v>
      </c>
      <c r="P32" s="1" t="n">
        <v>50000</v>
      </c>
      <c r="Q32" s="1" t="n">
        <v>19571</v>
      </c>
      <c r="R32" s="1" t="n">
        <v>5000</v>
      </c>
      <c r="S32" s="1" t="n">
        <f aca="false">153+18251</f>
        <v>18404</v>
      </c>
      <c r="T32" s="1" t="n">
        <v>54925</v>
      </c>
      <c r="U32" s="1" t="n">
        <v>15544</v>
      </c>
      <c r="V32" s="16" t="n">
        <f aca="false">SUM(C32:U32)</f>
        <v>246750.5</v>
      </c>
      <c r="W32" s="17" t="s">
        <v>31</v>
      </c>
      <c r="X32" s="1" t="n">
        <v>0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6800000</v>
      </c>
      <c r="D33" s="18" t="n">
        <f aca="false">SUM(D10:D32)</f>
        <v>1250000</v>
      </c>
      <c r="E33" s="18" t="n">
        <f aca="false">SUM(E10:E32)</f>
        <v>32884800</v>
      </c>
      <c r="F33" s="18" t="n">
        <f aca="false">SUM(F10:F32)</f>
        <v>20000</v>
      </c>
      <c r="G33" s="18" t="n">
        <f aca="false">SUM(G10:G32)</f>
        <v>1454310</v>
      </c>
      <c r="H33" s="18" t="n">
        <f aca="false">SUM(H10:H32)</f>
        <v>18431906.5</v>
      </c>
      <c r="I33" s="18" t="n">
        <f aca="false">SUM(I10:I32)</f>
        <v>7659172.85</v>
      </c>
      <c r="J33" s="18" t="n">
        <f aca="false">SUM(J10:J32)</f>
        <v>8382273.59333333</v>
      </c>
      <c r="K33" s="18" t="n">
        <f aca="false">SUM(K10:K32)</f>
        <v>6523038.55333333</v>
      </c>
      <c r="L33" s="18" t="n">
        <f aca="false">SUM(L10:L32)</f>
        <v>7283592.80333333</v>
      </c>
      <c r="M33" s="18" t="n">
        <f aca="false">SUM(M10:M32)</f>
        <v>11032599.53</v>
      </c>
      <c r="N33" s="18" t="n">
        <f aca="false">SUM(N10:N32)</f>
        <v>17015699.3333333</v>
      </c>
      <c r="O33" s="18" t="n">
        <f aca="false">SUM(O10:O32)</f>
        <v>41374374.9098667</v>
      </c>
      <c r="P33" s="18" t="n">
        <f aca="false">SUM(P10:P32)</f>
        <v>32564730.8748667</v>
      </c>
      <c r="Q33" s="18" t="n">
        <f aca="false">SUM(Q10:Q32)</f>
        <v>14214608.4232667</v>
      </c>
      <c r="R33" s="18" t="n">
        <f aca="false">SUM(R10:R32)</f>
        <v>7131230.93166667</v>
      </c>
      <c r="S33" s="18" t="n">
        <f aca="false">SUM(S10:S32)</f>
        <v>6252936.25513333</v>
      </c>
      <c r="T33" s="18" t="n">
        <f aca="false">SUM(T10:T32)</f>
        <v>4510975.81313334</v>
      </c>
      <c r="U33" s="18" t="n">
        <f aca="false">SUM(U10:U32)</f>
        <v>13661928.2649333</v>
      </c>
      <c r="V33" s="19" t="n">
        <f aca="false">SUM(C33:U33)</f>
        <v>238448178.6362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6800000</v>
      </c>
      <c r="D34" s="18" t="n">
        <f aca="false">+C34+D33</f>
        <v>8050000</v>
      </c>
      <c r="E34" s="18" t="n">
        <f aca="false">+D34+E33</f>
        <v>40934800</v>
      </c>
      <c r="F34" s="18" t="n">
        <f aca="false">+E34+F33</f>
        <v>40954800</v>
      </c>
      <c r="G34" s="18" t="n">
        <f aca="false">+F34+G33</f>
        <v>42409110</v>
      </c>
      <c r="H34" s="18" t="n">
        <f aca="false">+G34+H33</f>
        <v>60841016.5</v>
      </c>
      <c r="I34" s="18" t="n">
        <f aca="false">+H34+I33</f>
        <v>68500189.35</v>
      </c>
      <c r="J34" s="18" t="n">
        <f aca="false">+I34+J33</f>
        <v>76882462.9433333</v>
      </c>
      <c r="K34" s="18" t="n">
        <f aca="false">+J34+K33</f>
        <v>83405501.4966667</v>
      </c>
      <c r="L34" s="18" t="n">
        <f aca="false">+K34+L33</f>
        <v>90689094.3</v>
      </c>
      <c r="M34" s="18" t="n">
        <f aca="false">+L34+M33</f>
        <v>101721693.83</v>
      </c>
      <c r="N34" s="18" t="n">
        <f aca="false">+M34+N33</f>
        <v>118737393.163333</v>
      </c>
      <c r="O34" s="18" t="n">
        <f aca="false">+N34+O33</f>
        <v>160111768.0732</v>
      </c>
      <c r="P34" s="18" t="n">
        <f aca="false">+O34+P33</f>
        <v>192676498.948067</v>
      </c>
      <c r="Q34" s="18" t="n">
        <f aca="false">+P34+Q33</f>
        <v>206891107.371333</v>
      </c>
      <c r="R34" s="18" t="n">
        <f aca="false">+Q34+R33</f>
        <v>214022338.303</v>
      </c>
      <c r="S34" s="18" t="n">
        <f aca="false">+R34+S33</f>
        <v>220275274.558133</v>
      </c>
      <c r="T34" s="18" t="n">
        <f aca="false">+S34+T33</f>
        <v>224786250.371267</v>
      </c>
      <c r="U34" s="18" t="n">
        <f aca="false">+T34+U33</f>
        <v>238448178.6362</v>
      </c>
      <c r="V34" s="20"/>
    </row>
    <row r="35" customFormat="false" ht="12.75" hidden="false" customHeight="false" outlineLevel="0" collapsed="false">
      <c r="A35" s="1" t="s">
        <v>44</v>
      </c>
      <c r="F35" s="15"/>
      <c r="V35" s="21" t="n">
        <f aca="false">+V33/C50/1000</f>
        <v>392.184504335855</v>
      </c>
    </row>
    <row r="36" customFormat="false" ht="12.75" hidden="false" customHeight="false" outlineLevel="0" collapsed="false">
      <c r="F36" s="15"/>
      <c r="V36" s="16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</f>
        <v>66478.9</v>
      </c>
      <c r="H37" s="1" t="n">
        <v>-51000</v>
      </c>
      <c r="V37" s="16" t="n">
        <f aca="false">SUM(C37:U37)</f>
        <v>-6077.50000000001</v>
      </c>
      <c r="W37" s="17" t="s">
        <v>47</v>
      </c>
    </row>
    <row r="38" customFormat="false" ht="12.75" hidden="false" customHeight="false" outlineLevel="0" collapsed="false">
      <c r="A38" s="1" t="s">
        <v>45</v>
      </c>
      <c r="C38" s="2" t="n">
        <v>340000</v>
      </c>
      <c r="D38" s="1" t="n">
        <v>46410</v>
      </c>
      <c r="E38" s="1" t="n">
        <v>139384</v>
      </c>
      <c r="F38" s="15" t="n">
        <f aca="false">205882.6+21556.4</f>
        <v>227439</v>
      </c>
      <c r="G38" s="15" t="n">
        <v>231444</v>
      </c>
      <c r="H38" s="15" t="n">
        <v>419367</v>
      </c>
      <c r="I38" s="15" t="n">
        <f aca="false">(I34+H43)*$C48/12</f>
        <v>378615.552520833</v>
      </c>
      <c r="J38" s="15" t="n">
        <f aca="false">(J34+I43)*$C48/12</f>
        <v>426070.368727543</v>
      </c>
      <c r="K38" s="15" t="n">
        <f aca="false">(K34+J43)*$C48/12</f>
        <v>463711.375388706</v>
      </c>
      <c r="L38" s="15" t="n">
        <v>505639.68570277</v>
      </c>
      <c r="M38" s="15" t="n">
        <v>568176.300858508</v>
      </c>
      <c r="N38" s="15" t="n">
        <v>663422.293877047</v>
      </c>
      <c r="O38" s="15" t="n">
        <f aca="false">(O34+N43)*$C48/12</f>
        <v>891131.362063992</v>
      </c>
      <c r="P38" s="15" t="n">
        <f aca="false">(P34+O43)*$C48/12</f>
        <v>1072350.61584737</v>
      </c>
      <c r="Q38" s="15" t="n">
        <f aca="false">(Q34+P43)*$C48/12</f>
        <v>1155154.97730923</v>
      </c>
      <c r="R38" s="15" t="n">
        <f aca="false">(R34+Q43)*$C48/12</f>
        <v>1200039.56764952</v>
      </c>
      <c r="S38" s="15" t="n">
        <f aca="false">(S34+R43)*$C48/12</f>
        <v>1240409.85335626</v>
      </c>
      <c r="T38" s="15" t="n">
        <f aca="false">(T34+S43)*$C48/12</f>
        <v>1271563.19238308</v>
      </c>
      <c r="U38" s="15" t="n">
        <f aca="false">(U34+T43)*$C48/12</f>
        <v>1352452.93777688</v>
      </c>
      <c r="V38" s="16" t="n">
        <f aca="false">SUM(C38:U38)</f>
        <v>12592782.0834617</v>
      </c>
      <c r="W38" s="17" t="n">
        <f aca="false">W51</f>
        <v>0</v>
      </c>
    </row>
    <row r="39" customFormat="false" ht="12.75" hidden="false" customHeight="false" outlineLevel="0" collapsed="false">
      <c r="A39" s="1" t="s">
        <v>92</v>
      </c>
      <c r="F39" s="15" t="n">
        <v>0</v>
      </c>
      <c r="G39" s="15" t="n">
        <v>0</v>
      </c>
      <c r="H39" s="15" t="n">
        <v>0</v>
      </c>
      <c r="I39" s="15" t="n">
        <v>0</v>
      </c>
      <c r="J39" s="15"/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 t="n">
        <v>0</v>
      </c>
      <c r="S39" s="15" t="n">
        <v>0</v>
      </c>
      <c r="T39" s="15" t="n">
        <v>0</v>
      </c>
      <c r="U39" s="15" t="n">
        <v>0</v>
      </c>
      <c r="V39" s="16" t="n">
        <f aca="false">SUM(C39:U39)</f>
        <v>0</v>
      </c>
      <c r="W39" s="17" t="n">
        <f aca="false">W38</f>
        <v>0</v>
      </c>
    </row>
    <row r="40" customFormat="false" ht="12.75" hidden="false" customHeight="false" outlineLevel="0" collapsed="false">
      <c r="A40" s="1" t="s">
        <v>108</v>
      </c>
      <c r="C40" s="2" t="n">
        <v>0</v>
      </c>
      <c r="H40" s="1" t="n">
        <v>100</v>
      </c>
      <c r="K40" s="1" t="n">
        <f aca="false">220+59</f>
        <v>279</v>
      </c>
      <c r="L40" s="1" t="n">
        <v>10</v>
      </c>
      <c r="M40" s="1" t="n">
        <v>0</v>
      </c>
      <c r="N40" s="1" t="n">
        <v>800</v>
      </c>
      <c r="V40" s="16" t="n">
        <f aca="false">SUM(C40:U40)</f>
        <v>1189</v>
      </c>
      <c r="W40" s="17"/>
    </row>
    <row r="41" customFormat="false" ht="12.75" hidden="false" customHeight="false" outlineLevel="0" collapsed="false">
      <c r="A41" s="1" t="s">
        <v>93</v>
      </c>
      <c r="C41" s="2" t="n">
        <v>0</v>
      </c>
      <c r="U41" s="1" t="n">
        <v>0</v>
      </c>
      <c r="V41" s="16" t="n">
        <f aca="false">SUM(C41:U41)</f>
        <v>0</v>
      </c>
      <c r="W41" s="17" t="str">
        <f aca="false">W23</f>
        <v>Mike Miller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340000</v>
      </c>
      <c r="D42" s="18" t="n">
        <f aca="false">SUM(D37:D41)</f>
        <v>46410</v>
      </c>
      <c r="E42" s="18" t="n">
        <f aca="false">SUM(E37:E41)</f>
        <v>139384</v>
      </c>
      <c r="F42" s="18" t="n">
        <f aca="false">SUM(F37:F41)</f>
        <v>205882.6</v>
      </c>
      <c r="G42" s="18" t="n">
        <f aca="false">SUM(G37:G41)</f>
        <v>297922.9</v>
      </c>
      <c r="H42" s="18" t="n">
        <f aca="false">SUM(H37:H41)</f>
        <v>368467</v>
      </c>
      <c r="I42" s="18" t="n">
        <f aca="false">SUM(I37:I41)</f>
        <v>378615.552520833</v>
      </c>
      <c r="J42" s="18" t="n">
        <f aca="false">SUM(J37:J41)</f>
        <v>426070.368727543</v>
      </c>
      <c r="K42" s="18" t="n">
        <f aca="false">SUM(K37:K41)</f>
        <v>463990.375388706</v>
      </c>
      <c r="L42" s="18" t="n">
        <f aca="false">SUM(L37:L41)</f>
        <v>505649.68570277</v>
      </c>
      <c r="M42" s="18" t="n">
        <f aca="false">SUM(M37:M41)</f>
        <v>568176.300858508</v>
      </c>
      <c r="N42" s="18" t="n">
        <f aca="false">SUM(N37:N41)</f>
        <v>664222.293877047</v>
      </c>
      <c r="O42" s="18" t="n">
        <f aca="false">SUM(O37:O41)</f>
        <v>891131.362063992</v>
      </c>
      <c r="P42" s="18" t="n">
        <f aca="false">SUM(P37:P41)</f>
        <v>1072350.61584737</v>
      </c>
      <c r="Q42" s="18" t="n">
        <f aca="false">SUM(Q37:Q41)</f>
        <v>1155154.97730923</v>
      </c>
      <c r="R42" s="18" t="n">
        <f aca="false">SUM(R37:R41)</f>
        <v>1200039.56764952</v>
      </c>
      <c r="S42" s="18" t="n">
        <f aca="false">SUM(S37:S41)</f>
        <v>1240409.85335626</v>
      </c>
      <c r="T42" s="18" t="n">
        <f aca="false">SUM(T37:T41)</f>
        <v>1271563.19238308</v>
      </c>
      <c r="U42" s="18" t="n">
        <f aca="false">SUM(U37:U41)</f>
        <v>1352452.93777688</v>
      </c>
      <c r="V42" s="19" t="n">
        <f aca="false">SUM(C42:U42)</f>
        <v>12587893.5834617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340000</v>
      </c>
      <c r="D43" s="18" t="n">
        <f aca="false">+D42+C43</f>
        <v>386410</v>
      </c>
      <c r="E43" s="18" t="n">
        <f aca="false">+E42+D43</f>
        <v>525794</v>
      </c>
      <c r="F43" s="18" t="n">
        <f aca="false">+F42+E43</f>
        <v>731676.6</v>
      </c>
      <c r="G43" s="18" t="n">
        <f aca="false">+G42+F43</f>
        <v>1029599.5</v>
      </c>
      <c r="H43" s="18" t="n">
        <f aca="false">+H42+G43</f>
        <v>1398066.5</v>
      </c>
      <c r="I43" s="18" t="n">
        <f aca="false">+I42+H43</f>
        <v>1776682.05252083</v>
      </c>
      <c r="J43" s="18" t="n">
        <f aca="false">+J42+I43</f>
        <v>2202752.42124838</v>
      </c>
      <c r="K43" s="18" t="n">
        <f aca="false">+K42+J43</f>
        <v>2666742.79663708</v>
      </c>
      <c r="L43" s="18" t="n">
        <f aca="false">+L42+K43</f>
        <v>3172392.48233985</v>
      </c>
      <c r="M43" s="18" t="n">
        <f aca="false">+M42+L43</f>
        <v>3740568.78319836</v>
      </c>
      <c r="N43" s="18" t="n">
        <f aca="false">+N42+M43</f>
        <v>4404791.07707541</v>
      </c>
      <c r="O43" s="18" t="n">
        <f aca="false">+O42+N43</f>
        <v>5295922.4391394</v>
      </c>
      <c r="P43" s="18" t="n">
        <f aca="false">+P42+O43</f>
        <v>6368273.05498677</v>
      </c>
      <c r="Q43" s="18" t="n">
        <f aca="false">+Q42+P43</f>
        <v>7523428.032296</v>
      </c>
      <c r="R43" s="18" t="n">
        <f aca="false">+R42+Q43</f>
        <v>8723467.59994552</v>
      </c>
      <c r="S43" s="18" t="n">
        <f aca="false">+S42+R43</f>
        <v>9963877.45330178</v>
      </c>
      <c r="T43" s="18" t="n">
        <f aca="false">+T42+S43</f>
        <v>11235440.6456849</v>
      </c>
      <c r="U43" s="18" t="n">
        <f aca="false">+U42+T43</f>
        <v>12587893.5834617</v>
      </c>
      <c r="V43" s="16"/>
    </row>
    <row r="44" customFormat="false" ht="12.75" hidden="false" customHeight="false" outlineLevel="0" collapsed="false">
      <c r="V44" s="16"/>
    </row>
    <row r="45" customFormat="false" ht="12.75" hidden="false" customHeight="false" outlineLevel="0" collapsed="false">
      <c r="A45" s="2" t="s">
        <v>109</v>
      </c>
      <c r="B45" s="2"/>
      <c r="C45" s="2" t="n">
        <f aca="false">+C33+C42</f>
        <v>7140000</v>
      </c>
      <c r="D45" s="2" t="n">
        <f aca="false">+D33+D42</f>
        <v>1296410</v>
      </c>
      <c r="E45" s="2" t="n">
        <f aca="false">+E33+E42</f>
        <v>33024184</v>
      </c>
      <c r="F45" s="2" t="n">
        <f aca="false">+F33+F42</f>
        <v>225882.6</v>
      </c>
      <c r="G45" s="2" t="n">
        <f aca="false">+G33+G42</f>
        <v>1752232.9</v>
      </c>
      <c r="H45" s="2" t="n">
        <f aca="false">+H33+H42</f>
        <v>18800373.5</v>
      </c>
      <c r="I45" s="2" t="n">
        <f aca="false">+I33+I42</f>
        <v>8037788.40252083</v>
      </c>
      <c r="J45" s="2" t="n">
        <f aca="false">+J33+J42</f>
        <v>8808343.96206088</v>
      </c>
      <c r="K45" s="2" t="n">
        <f aca="false">+K33+K42</f>
        <v>6987028.92872204</v>
      </c>
      <c r="L45" s="2" t="n">
        <f aca="false">+L33+L42</f>
        <v>7789242.4890361</v>
      </c>
      <c r="M45" s="2" t="n">
        <f aca="false">+M33+M42</f>
        <v>11600775.8308585</v>
      </c>
      <c r="N45" s="2" t="n">
        <f aca="false">+N33+N42</f>
        <v>17679921.6272104</v>
      </c>
      <c r="O45" s="2" t="n">
        <f aca="false">+O33+O42</f>
        <v>42265506.2719307</v>
      </c>
      <c r="P45" s="2" t="n">
        <f aca="false">+P33+P42</f>
        <v>33637081.490714</v>
      </c>
      <c r="Q45" s="2" t="n">
        <f aca="false">+Q33+Q42</f>
        <v>15369763.4005759</v>
      </c>
      <c r="R45" s="2" t="n">
        <f aca="false">+R33+R42</f>
        <v>8331270.49931619</v>
      </c>
      <c r="S45" s="2" t="n">
        <f aca="false">+S33+S42</f>
        <v>7493346.10848959</v>
      </c>
      <c r="T45" s="2" t="n">
        <f aca="false">+T33+T42</f>
        <v>5782539.00551641</v>
      </c>
      <c r="U45" s="2" t="n">
        <f aca="false">+U33+U42</f>
        <v>15014381.2027102</v>
      </c>
      <c r="V45" s="16" t="n">
        <f aca="false">SUM(C45:U45)</f>
        <v>251036072.219662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7140000</v>
      </c>
      <c r="D46" s="2" t="n">
        <f aca="false">C46+D45</f>
        <v>8436410</v>
      </c>
      <c r="E46" s="2" t="n">
        <f aca="false">D46+E45</f>
        <v>41460594</v>
      </c>
      <c r="F46" s="2" t="n">
        <f aca="false">E46+F45</f>
        <v>41686476.6</v>
      </c>
      <c r="G46" s="2" t="n">
        <f aca="false">F46+G45</f>
        <v>43438709.5</v>
      </c>
      <c r="H46" s="2" t="n">
        <f aca="false">G46+H45</f>
        <v>62239083</v>
      </c>
      <c r="I46" s="2" t="n">
        <f aca="false">H46+I45</f>
        <v>70276871.4025208</v>
      </c>
      <c r="J46" s="2" t="n">
        <f aca="false">I46+J45</f>
        <v>79085215.3645817</v>
      </c>
      <c r="K46" s="2" t="n">
        <f aca="false">J46+K45</f>
        <v>86072244.2933037</v>
      </c>
      <c r="L46" s="2" t="n">
        <f aca="false">K46+L45</f>
        <v>93861486.7823398</v>
      </c>
      <c r="M46" s="2" t="n">
        <f aca="false">L46+M45</f>
        <v>105462262.613198</v>
      </c>
      <c r="N46" s="2" t="n">
        <f aca="false">M46+N45</f>
        <v>123142184.240409</v>
      </c>
      <c r="O46" s="2" t="n">
        <f aca="false">N46+O45</f>
        <v>165407690.512339</v>
      </c>
      <c r="P46" s="2" t="n">
        <f aca="false">O46+P45</f>
        <v>199044772.003053</v>
      </c>
      <c r="Q46" s="2" t="n">
        <f aca="false">P46+Q45</f>
        <v>214414535.403629</v>
      </c>
      <c r="R46" s="2" t="n">
        <f aca="false">Q46+R45</f>
        <v>222745805.902946</v>
      </c>
      <c r="S46" s="2" t="n">
        <f aca="false">R46+S45</f>
        <v>230239152.011435</v>
      </c>
      <c r="T46" s="2" t="n">
        <f aca="false">S46+T45</f>
        <v>236021691.016952</v>
      </c>
      <c r="U46" s="2" t="n">
        <f aca="false">T46+U45</f>
        <v>251036072.219662</v>
      </c>
      <c r="V46" s="1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" t="s">
        <v>44</v>
      </c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1" t="n">
        <f aca="false">+V45/C50/1000</f>
        <v>412.888276677075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5" t="s">
        <v>94</v>
      </c>
      <c r="B48" s="2"/>
      <c r="C48" s="8" t="n">
        <v>0.065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1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95</v>
      </c>
      <c r="B49" s="2"/>
      <c r="C49" s="8" t="n">
        <v>0.0035</v>
      </c>
      <c r="D49" s="33" t="n">
        <v>245672000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/>
      <c r="B50" s="2"/>
      <c r="C50" s="2" t="n">
        <v>608</v>
      </c>
      <c r="D50" s="2" t="s">
        <v>54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55</v>
      </c>
      <c r="C51" s="2" t="n">
        <v>0</v>
      </c>
      <c r="U51" s="1" t="n">
        <v>0</v>
      </c>
      <c r="V51" s="22" t="n">
        <f aca="false">SUM(C51:U51)</f>
        <v>0</v>
      </c>
      <c r="W51" s="17" t="n">
        <f aca="false">W40</f>
        <v>0</v>
      </c>
    </row>
    <row r="52" customFormat="false" ht="12.75" hidden="false" customHeight="false" outlineLevel="0" collapsed="false">
      <c r="A52" s="15"/>
      <c r="B52" s="2"/>
      <c r="C52" s="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6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56</v>
      </c>
      <c r="C53" s="2" t="n">
        <f aca="false">+C45-C38</f>
        <v>6800000</v>
      </c>
      <c r="D53" s="2" t="n">
        <f aca="false">+D45-D38</f>
        <v>1250000</v>
      </c>
      <c r="E53" s="2" t="n">
        <f aca="false">+E45-E38</f>
        <v>32884800</v>
      </c>
      <c r="F53" s="2" t="n">
        <f aca="false">+F45-F38</f>
        <v>-1556.39999999999</v>
      </c>
      <c r="G53" s="2" t="n">
        <f aca="false">+G45-G38</f>
        <v>1520788.9</v>
      </c>
      <c r="H53" s="2" t="n">
        <f aca="false">+H45-H38</f>
        <v>18381006.5</v>
      </c>
      <c r="I53" s="2" t="n">
        <f aca="false">+I45-I38</f>
        <v>7659172.85</v>
      </c>
      <c r="J53" s="2" t="n">
        <f aca="false">+J45-J38</f>
        <v>8382273.59333333</v>
      </c>
      <c r="K53" s="2" t="n">
        <f aca="false">+K45-K38</f>
        <v>6523317.55333333</v>
      </c>
      <c r="L53" s="2" t="n">
        <f aca="false">+L45-L38</f>
        <v>7283602.80333333</v>
      </c>
      <c r="M53" s="2" t="n">
        <f aca="false">+M45-M38</f>
        <v>11032599.53</v>
      </c>
      <c r="N53" s="2" t="n">
        <f aca="false">+N45-N38</f>
        <v>17016499.3333333</v>
      </c>
      <c r="O53" s="2" t="n">
        <f aca="false">+O45-O38</f>
        <v>41374374.9098667</v>
      </c>
      <c r="P53" s="2" t="n">
        <f aca="false">+P45-P38</f>
        <v>32564730.8748667</v>
      </c>
      <c r="Q53" s="2" t="n">
        <f aca="false">+Q45-Q38</f>
        <v>14214608.4232667</v>
      </c>
      <c r="R53" s="2" t="n">
        <f aca="false">+R45-R38</f>
        <v>7131230.93166667</v>
      </c>
      <c r="S53" s="2" t="n">
        <f aca="false">+S45-S38</f>
        <v>6252936.25513333</v>
      </c>
      <c r="T53" s="2" t="n">
        <f aca="false">+T45-T38</f>
        <v>4510975.81313334</v>
      </c>
      <c r="U53" s="2" t="n">
        <f aca="false">+U45-U38</f>
        <v>13661928.2649333</v>
      </c>
      <c r="V53" s="16" t="n">
        <f aca="false">SUM(C53:U53)</f>
        <v>238443290.1362</v>
      </c>
    </row>
    <row r="54" customFormat="false" ht="9.75" hidden="false" customHeight="true" outlineLevel="0" collapsed="false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16"/>
    </row>
    <row r="55" customFormat="false" ht="12.75" hidden="false" customHeight="false" outlineLevel="0" collapsed="false">
      <c r="V55" s="16"/>
    </row>
    <row r="56" customFormat="false" ht="20.25" hidden="false" customHeight="false" outlineLevel="0" collapsed="false">
      <c r="A56" s="24" t="s">
        <v>80</v>
      </c>
      <c r="V56" s="16"/>
      <c r="Y56" s="1" t="s">
        <v>110</v>
      </c>
    </row>
    <row r="57" customFormat="false" ht="12.75" hidden="false" customHeight="false" outlineLevel="0" collapsed="false">
      <c r="A57" s="9" t="s">
        <v>20</v>
      </c>
      <c r="V57" s="16"/>
      <c r="Y57" s="1" t="s">
        <v>111</v>
      </c>
    </row>
    <row r="58" customFormat="false" ht="12.75" hidden="false" customHeight="false" outlineLevel="0" collapsed="false">
      <c r="A58" s="1" t="s">
        <v>32</v>
      </c>
      <c r="C58" s="2" t="n">
        <v>0</v>
      </c>
      <c r="D58" s="1" t="n">
        <v>0</v>
      </c>
      <c r="E58" s="1" t="n">
        <v>0</v>
      </c>
      <c r="F58" s="15" t="n">
        <v>8000</v>
      </c>
      <c r="G58" s="1" t="n">
        <v>24712</v>
      </c>
      <c r="H58" s="1" t="n">
        <v>0</v>
      </c>
      <c r="I58" s="1" t="n">
        <v>0</v>
      </c>
      <c r="J58" s="1" t="n">
        <v>14873.37</v>
      </c>
      <c r="K58" s="1" t="n">
        <v>2460</v>
      </c>
      <c r="L58" s="1" t="n">
        <v>0</v>
      </c>
      <c r="M58" s="1" t="n">
        <v>0</v>
      </c>
      <c r="N58" s="1" t="n">
        <v>0</v>
      </c>
      <c r="O58" s="1" t="n">
        <v>0</v>
      </c>
      <c r="P58" s="1" t="n">
        <v>0</v>
      </c>
      <c r="Q58" s="1" t="n">
        <v>0</v>
      </c>
      <c r="R58" s="1" t="n">
        <v>0</v>
      </c>
      <c r="S58" s="1" t="n">
        <v>0</v>
      </c>
      <c r="T58" s="1" t="n">
        <v>0</v>
      </c>
      <c r="U58" s="1" t="n">
        <v>0</v>
      </c>
      <c r="V58" s="16" t="n">
        <f aca="false">SUM(C58:U58)</f>
        <v>50045.37</v>
      </c>
      <c r="W58" s="17" t="s">
        <v>31</v>
      </c>
      <c r="X58" s="1" t="n">
        <f aca="false">V58+V25</f>
        <v>399999.83</v>
      </c>
      <c r="Y58" s="1" t="n">
        <f aca="false">[1]Wilton!$BR$173</f>
        <v>400000</v>
      </c>
      <c r="Z58" s="1" t="n">
        <f aca="false">Y58-X58</f>
        <v>0.169999999983702</v>
      </c>
    </row>
    <row r="59" customFormat="false" ht="12.75" hidden="false" customHeight="false" outlineLevel="0" collapsed="false">
      <c r="A59" s="1" t="s">
        <v>40</v>
      </c>
      <c r="C59" s="2" t="n">
        <v>0</v>
      </c>
      <c r="D59" s="1" t="n">
        <v>1236</v>
      </c>
      <c r="E59" s="1" t="n">
        <f aca="false">56608-22604+22500</f>
        <v>56504</v>
      </c>
      <c r="F59" s="15" t="n">
        <f aca="false">5706+21114</f>
        <v>26820</v>
      </c>
      <c r="G59" s="1" t="n">
        <f aca="false">9652+1899</f>
        <v>11551</v>
      </c>
      <c r="H59" s="1" t="n">
        <v>0</v>
      </c>
      <c r="I59" s="1" t="n">
        <f aca="false">169479.45+30387.78</f>
        <v>199867.23</v>
      </c>
      <c r="J59" s="1" t="n">
        <f aca="false">566.91+3047.17+16608.78+17351.65+10439.68</f>
        <v>48014.19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V59" s="16" t="n">
        <f aca="false">SUM(C59:U59)</f>
        <v>343992.42</v>
      </c>
      <c r="W59" s="17" t="str">
        <f aca="false">W58</f>
        <v>Scott Healy</v>
      </c>
      <c r="X59" s="1" t="n">
        <f aca="false">V59+V31</f>
        <v>847631.9</v>
      </c>
      <c r="Y59" s="1" t="n">
        <f aca="false">[1]Wilton!$BR$196</f>
        <v>847631.42</v>
      </c>
      <c r="Z59" s="1" t="n">
        <f aca="false">Y59-X59</f>
        <v>-0.479999999981374</v>
      </c>
    </row>
    <row r="60" customFormat="false" ht="12.75" hidden="false" customHeight="false" outlineLevel="0" collapsed="false">
      <c r="A60" s="1" t="s">
        <v>39</v>
      </c>
      <c r="C60" s="2" t="n">
        <v>0</v>
      </c>
      <c r="D60" s="1" t="n">
        <v>0</v>
      </c>
      <c r="E60" s="1" t="n">
        <v>22604</v>
      </c>
      <c r="F60" s="15" t="n">
        <v>0</v>
      </c>
      <c r="G60" s="1" t="n">
        <v>0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6" t="n">
        <f aca="false">SUM(C60:U60)</f>
        <v>22604</v>
      </c>
      <c r="W60" s="17" t="str">
        <f aca="false">W59</f>
        <v>Scott Healy</v>
      </c>
      <c r="X60" s="1" t="n">
        <f aca="false">V60+V30</f>
        <v>199999.593333333</v>
      </c>
      <c r="Y60" s="1" t="n">
        <f aca="false">[1]Wilton!$BR$187</f>
        <v>200000</v>
      </c>
      <c r="Z60" s="1" t="n">
        <f aca="false">Y60-X60</f>
        <v>0.406666666676756</v>
      </c>
    </row>
    <row r="61" customFormat="false" ht="12.75" hidden="false" customHeight="false" outlineLevel="0" collapsed="false">
      <c r="A61" s="1" t="s">
        <v>41</v>
      </c>
      <c r="C61" s="2" t="n">
        <v>0</v>
      </c>
      <c r="D61" s="1" t="n">
        <v>0</v>
      </c>
      <c r="E61" s="1" t="n">
        <v>0</v>
      </c>
      <c r="F61" s="15" t="n">
        <v>10000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6" t="n">
        <f aca="false">SUM(C61:U61)</f>
        <v>10000</v>
      </c>
      <c r="W61" s="17" t="str">
        <f aca="false">W60</f>
        <v>Scott Healy</v>
      </c>
      <c r="X61" s="1" t="n">
        <f aca="false">V61+V32</f>
        <v>256750.5</v>
      </c>
      <c r="Y61" s="1" t="n">
        <f aca="false">[1]Wilton!$BR$202</f>
        <v>256751</v>
      </c>
      <c r="Z61" s="1" t="n">
        <f aca="false">Y61-X61</f>
        <v>0.5</v>
      </c>
    </row>
    <row r="62" customFormat="false" ht="12.75" hidden="false" customHeight="false" outlineLevel="0" collapsed="false">
      <c r="A62" s="2" t="s">
        <v>112</v>
      </c>
      <c r="C62" s="18" t="n">
        <f aca="false">SUM(C58:C61)</f>
        <v>0</v>
      </c>
      <c r="D62" s="18" t="n">
        <f aca="false">SUM(D58:D61)</f>
        <v>1236</v>
      </c>
      <c r="E62" s="18" t="n">
        <f aca="false">SUM(E58:E61)</f>
        <v>79108</v>
      </c>
      <c r="F62" s="18" t="n">
        <f aca="false">SUM(F58:F61)</f>
        <v>44820</v>
      </c>
      <c r="G62" s="18" t="n">
        <f aca="false">SUM(G58:G61)</f>
        <v>36263</v>
      </c>
      <c r="H62" s="18" t="n">
        <f aca="false">SUM(H58:H61)</f>
        <v>0</v>
      </c>
      <c r="I62" s="18" t="n">
        <f aca="false">SUM(I58:I61)</f>
        <v>199867.23</v>
      </c>
      <c r="J62" s="18" t="n">
        <f aca="false">SUM(J58:J61)</f>
        <v>62887.56</v>
      </c>
      <c r="K62" s="18" t="n">
        <f aca="false">SUM(K58:K61)</f>
        <v>2460</v>
      </c>
      <c r="L62" s="18" t="n">
        <f aca="false">SUM(L58:L61)</f>
        <v>0</v>
      </c>
      <c r="M62" s="18" t="n">
        <f aca="false">SUM(M58:M61)</f>
        <v>0</v>
      </c>
      <c r="N62" s="18" t="n">
        <f aca="false">SUM(N58:N61)</f>
        <v>0</v>
      </c>
      <c r="O62" s="18" t="n">
        <f aca="false">SUM(O58:O61)</f>
        <v>0</v>
      </c>
      <c r="P62" s="18" t="n">
        <f aca="false">SUM(P58:P61)</f>
        <v>0</v>
      </c>
      <c r="Q62" s="18" t="n">
        <f aca="false">SUM(Q58:Q61)</f>
        <v>0</v>
      </c>
      <c r="R62" s="18" t="n">
        <f aca="false">SUM(R58:R61)</f>
        <v>0</v>
      </c>
      <c r="S62" s="18" t="n">
        <f aca="false">SUM(S58:S61)</f>
        <v>0</v>
      </c>
      <c r="T62" s="18" t="n">
        <f aca="false">SUM(T58:T61)</f>
        <v>0</v>
      </c>
      <c r="U62" s="18" t="n">
        <f aca="false">SUM(U58:U61)</f>
        <v>0</v>
      </c>
      <c r="V62" s="19" t="n">
        <f aca="false">SUM(C62:U62)</f>
        <v>426641.79</v>
      </c>
    </row>
    <row r="63" customFormat="false" ht="12.75" hidden="false" customHeight="false" outlineLevel="0" collapsed="false">
      <c r="A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16"/>
    </row>
    <row r="64" customFormat="false" ht="12.75" hidden="false" customHeight="false" outlineLevel="0" collapsed="false">
      <c r="A64" s="2" t="s">
        <v>97</v>
      </c>
      <c r="D64" s="2"/>
      <c r="E64" s="2"/>
      <c r="F64" s="2"/>
      <c r="G64" s="2" t="n">
        <v>-56500</v>
      </c>
      <c r="H64" s="2" t="n">
        <f aca="false">1-35</f>
        <v>-34</v>
      </c>
      <c r="I64" s="2" t="n">
        <v>-69954</v>
      </c>
      <c r="J64" s="2" t="n">
        <v>-22011</v>
      </c>
      <c r="K64" s="2" t="n">
        <f aca="false">-98-861</f>
        <v>-959</v>
      </c>
      <c r="L64" s="2" t="n">
        <f aca="false">-3</f>
        <v>-3</v>
      </c>
      <c r="M64" s="2" t="n">
        <f aca="false">[1]Wilton!$AN$218</f>
        <v>52217</v>
      </c>
      <c r="N64" s="2" t="n">
        <f aca="false">-233-52264</f>
        <v>-52497</v>
      </c>
      <c r="O64" s="2"/>
      <c r="P64" s="2"/>
      <c r="Q64" s="2"/>
      <c r="R64" s="2"/>
      <c r="S64" s="2"/>
      <c r="T64" s="2"/>
      <c r="U64" s="2"/>
      <c r="V64" s="16" t="n">
        <f aca="false">SUM(G64:U64)</f>
        <v>-149741</v>
      </c>
    </row>
    <row r="65" customFormat="false" ht="12.75" hidden="false" customHeight="false" outlineLevel="0" collapsed="false">
      <c r="A65" s="18" t="s">
        <v>98</v>
      </c>
      <c r="B65" s="34"/>
      <c r="C65" s="18" t="n">
        <f aca="false">SUM(C62:C64)</f>
        <v>0</v>
      </c>
      <c r="D65" s="18" t="n">
        <f aca="false">SUM(D62:D64)</f>
        <v>1236</v>
      </c>
      <c r="E65" s="18" t="n">
        <f aca="false">SUM(E62:E64)</f>
        <v>79108</v>
      </c>
      <c r="F65" s="18" t="n">
        <f aca="false">SUM(F62:F64)</f>
        <v>44820</v>
      </c>
      <c r="G65" s="18" t="n">
        <f aca="false">SUM(G62:G64)</f>
        <v>-20237</v>
      </c>
      <c r="H65" s="18" t="n">
        <f aca="false">SUM(H62:H64)</f>
        <v>-34</v>
      </c>
      <c r="I65" s="18" t="n">
        <f aca="false">SUM(I62:I64)</f>
        <v>129913.23</v>
      </c>
      <c r="J65" s="18" t="n">
        <f aca="false">SUM(J62:J64)</f>
        <v>40876.56</v>
      </c>
      <c r="K65" s="18" t="n">
        <f aca="false">SUM(K62:K64)</f>
        <v>1501</v>
      </c>
      <c r="L65" s="18" t="n">
        <f aca="false">SUM(L62:L64)</f>
        <v>-3</v>
      </c>
      <c r="M65" s="18" t="n">
        <f aca="false">SUM(M62:M64)</f>
        <v>52217</v>
      </c>
      <c r="N65" s="18" t="n">
        <f aca="false">SUM(N62:N64)</f>
        <v>-52497</v>
      </c>
      <c r="O65" s="18" t="n">
        <f aca="false">SUM(O62:O64)</f>
        <v>0</v>
      </c>
      <c r="P65" s="18" t="n">
        <f aca="false">SUM(P62:P64)</f>
        <v>0</v>
      </c>
      <c r="Q65" s="18" t="n">
        <f aca="false">SUM(Q62:Q64)</f>
        <v>0</v>
      </c>
      <c r="R65" s="18" t="n">
        <f aca="false">SUM(R62:R64)</f>
        <v>0</v>
      </c>
      <c r="S65" s="18" t="n">
        <f aca="false">SUM(S62:S64)</f>
        <v>0</v>
      </c>
      <c r="T65" s="18" t="n">
        <f aca="false">SUM(T62:T64)</f>
        <v>0</v>
      </c>
      <c r="U65" s="18" t="n">
        <f aca="false">SUM(U62:U64)</f>
        <v>0</v>
      </c>
      <c r="V65" s="18" t="n">
        <f aca="false">SUM(V62:V64)</f>
        <v>276900.79</v>
      </c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</row>
    <row r="66" customFormat="false" ht="12.75" hidden="false" customHeight="false" outlineLevel="0" collapsed="false">
      <c r="A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16"/>
    </row>
    <row r="67" customFormat="false" ht="12.75" hidden="false" customHeight="false" outlineLevel="0" collapsed="false">
      <c r="A67" s="2" t="s">
        <v>113</v>
      </c>
      <c r="V67" s="16"/>
    </row>
    <row r="68" customFormat="false" ht="12.75" hidden="false" customHeight="false" outlineLevel="0" collapsed="false">
      <c r="A68" s="1" t="s">
        <v>39</v>
      </c>
      <c r="E68" s="1" t="n">
        <v>19729</v>
      </c>
      <c r="F68" s="1" t="n">
        <v>0</v>
      </c>
      <c r="H68" s="1" t="n">
        <v>12698.23</v>
      </c>
      <c r="J68" s="1" t="n">
        <v>5725</v>
      </c>
      <c r="V68" s="16" t="n">
        <f aca="false">SUM(C68:U68)</f>
        <v>38152.23</v>
      </c>
      <c r="W68" s="17" t="str">
        <f aca="false">+W61</f>
        <v>Scott Healy</v>
      </c>
    </row>
    <row r="69" customFormat="false" ht="12.75" hidden="false" customHeight="false" outlineLevel="0" collapsed="false">
      <c r="A69" s="1" t="s">
        <v>40</v>
      </c>
      <c r="D69" s="1" t="n">
        <v>1343</v>
      </c>
      <c r="E69" s="15" t="n">
        <f aca="false">24234.66+4681.29</f>
        <v>28915.95</v>
      </c>
      <c r="F69" s="1" t="n">
        <f aca="false">19059+269.69</f>
        <v>19328.69</v>
      </c>
      <c r="G69" s="1" t="n">
        <v>568</v>
      </c>
      <c r="H69" s="1" t="n">
        <v>68419</v>
      </c>
      <c r="L69" s="1" t="n">
        <v>591.45</v>
      </c>
      <c r="V69" s="16" t="n">
        <f aca="false">SUM(C69:U69)</f>
        <v>119166.09</v>
      </c>
      <c r="W69" s="17" t="str">
        <f aca="false">W68</f>
        <v>Scott Healy</v>
      </c>
    </row>
    <row r="70" customFormat="false" ht="12.75" hidden="false" customHeight="false" outlineLevel="0" collapsed="false">
      <c r="A70" s="1" t="s">
        <v>41</v>
      </c>
      <c r="C70" s="2" t="n">
        <v>52133</v>
      </c>
      <c r="G70" s="1" t="n">
        <v>1331</v>
      </c>
      <c r="V70" s="16" t="n">
        <f aca="false">SUM(C70:U70)</f>
        <v>53464</v>
      </c>
      <c r="W70" s="17" t="str">
        <f aca="false">W69</f>
        <v>Scott Healy</v>
      </c>
    </row>
    <row r="71" customFormat="false" ht="12.75" hidden="false" customHeight="false" outlineLevel="0" collapsed="false">
      <c r="A71" s="1" t="s">
        <v>30</v>
      </c>
      <c r="C71" s="2" t="n">
        <v>87500</v>
      </c>
      <c r="V71" s="16" t="n">
        <f aca="false">SUM(C71:U71)</f>
        <v>87500</v>
      </c>
    </row>
    <row r="72" customFormat="false" ht="12.75" hidden="false" customHeight="false" outlineLevel="0" collapsed="false">
      <c r="A72" s="2" t="s">
        <v>114</v>
      </c>
      <c r="C72" s="18" t="n">
        <f aca="false">SUM(C68:C71)</f>
        <v>139633</v>
      </c>
      <c r="D72" s="18" t="n">
        <f aca="false">SUM(D68:D71)</f>
        <v>1343</v>
      </c>
      <c r="E72" s="18" t="n">
        <f aca="false">SUM(E68:E71)</f>
        <v>48644.95</v>
      </c>
      <c r="F72" s="18" t="n">
        <f aca="false">SUM(F68:F71)</f>
        <v>19328.69</v>
      </c>
      <c r="G72" s="18" t="n">
        <f aca="false">SUM(G68:G71)</f>
        <v>1899</v>
      </c>
      <c r="H72" s="18" t="n">
        <f aca="false">SUM(H68:H71)</f>
        <v>81117.23</v>
      </c>
      <c r="I72" s="18" t="n">
        <f aca="false">SUM(I68:I71)</f>
        <v>0</v>
      </c>
      <c r="J72" s="18" t="n">
        <f aca="false">SUM(J68:J71)</f>
        <v>5725</v>
      </c>
      <c r="K72" s="18" t="n">
        <f aca="false">SUM(K68:K71)</f>
        <v>0</v>
      </c>
      <c r="L72" s="18" t="n">
        <f aca="false">SUM(L68:L71)</f>
        <v>591.45</v>
      </c>
      <c r="M72" s="18" t="n">
        <f aca="false">SUM(M68:M71)</f>
        <v>0</v>
      </c>
      <c r="N72" s="18" t="n">
        <f aca="false">SUM(N68:N71)</f>
        <v>0</v>
      </c>
      <c r="O72" s="18" t="n">
        <f aca="false">SUM(O68:O71)</f>
        <v>0</v>
      </c>
      <c r="P72" s="18" t="n">
        <f aca="false">SUM(P68:P71)</f>
        <v>0</v>
      </c>
      <c r="Q72" s="18" t="n">
        <f aca="false">SUM(Q68:Q71)</f>
        <v>0</v>
      </c>
      <c r="R72" s="18" t="n">
        <f aca="false">SUM(R68:R71)</f>
        <v>0</v>
      </c>
      <c r="S72" s="18" t="n">
        <f aca="false">SUM(S68:S71)</f>
        <v>0</v>
      </c>
      <c r="T72" s="18" t="n">
        <f aca="false">SUM(T68:T71)</f>
        <v>0</v>
      </c>
      <c r="U72" s="18" t="n">
        <f aca="false">SUM(U68:U71)</f>
        <v>0</v>
      </c>
      <c r="V72" s="19" t="n">
        <f aca="false">SUM(C72:U72)</f>
        <v>298282.32</v>
      </c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V74" s="16"/>
    </row>
    <row r="75" customFormat="false" ht="13.5" hidden="false" customHeight="false" outlineLevel="0" collapsed="false">
      <c r="A75" s="2" t="s">
        <v>115</v>
      </c>
      <c r="C75" s="37" t="n">
        <f aca="false">+C45+C65+C72</f>
        <v>7279633</v>
      </c>
      <c r="D75" s="37" t="n">
        <f aca="false">+D45+D65+D72</f>
        <v>1298989</v>
      </c>
      <c r="E75" s="37" t="n">
        <f aca="false">+E45+E65+E72</f>
        <v>33151936.95</v>
      </c>
      <c r="F75" s="37" t="n">
        <f aca="false">+F45+F65+F72</f>
        <v>290031.29</v>
      </c>
      <c r="G75" s="37" t="n">
        <f aca="false">+G45+G65+G72</f>
        <v>1733894.9</v>
      </c>
      <c r="H75" s="37" t="n">
        <f aca="false">+H45+H65+H72</f>
        <v>18881456.73</v>
      </c>
      <c r="I75" s="37" t="n">
        <f aca="false">+I45+I65+I72</f>
        <v>8167701.63252083</v>
      </c>
      <c r="J75" s="37" t="n">
        <f aca="false">+J45+J65+J72</f>
        <v>8854945.52206088</v>
      </c>
      <c r="K75" s="37" t="n">
        <f aca="false">+K45+K65+K72</f>
        <v>6988529.92872204</v>
      </c>
      <c r="L75" s="37" t="n">
        <f aca="false">+L45+L65+L72</f>
        <v>7789830.9390361</v>
      </c>
      <c r="M75" s="37" t="n">
        <f aca="false">+M45+M65+M72</f>
        <v>11652992.8308585</v>
      </c>
      <c r="N75" s="37" t="n">
        <f aca="false">+N45+N65+N72</f>
        <v>17627424.6272104</v>
      </c>
      <c r="O75" s="37" t="n">
        <f aca="false">+O45+O65+O72</f>
        <v>42265506.2719307</v>
      </c>
      <c r="P75" s="37" t="n">
        <f aca="false">+P45+P65+P72</f>
        <v>33637081.490714</v>
      </c>
      <c r="Q75" s="37" t="n">
        <f aca="false">+Q45+Q65+Q72</f>
        <v>15369763.4005759</v>
      </c>
      <c r="R75" s="37" t="n">
        <f aca="false">+R45+R65+R72</f>
        <v>8331270.49931619</v>
      </c>
      <c r="S75" s="37" t="n">
        <f aca="false">+S45+S65+S72</f>
        <v>7493346.10848959</v>
      </c>
      <c r="T75" s="37" t="n">
        <f aca="false">+T45+T65+T72</f>
        <v>5782539.00551641</v>
      </c>
      <c r="U75" s="37" t="n">
        <f aca="false">+U45+U65+U72</f>
        <v>15014381.2027102</v>
      </c>
      <c r="V75" s="38" t="n">
        <f aca="false">SUM(C75:U75)</f>
        <v>251611255.329662</v>
      </c>
    </row>
    <row r="76" customFormat="false" ht="12.75" hidden="false" customHeight="false" outlineLevel="0" collapsed="false">
      <c r="U76" s="0"/>
      <c r="V76" s="39" t="n">
        <f aca="false">V75-[1]Wilton!$BR$234</f>
        <v>-0.293799996376038</v>
      </c>
    </row>
    <row r="77" customFormat="false" ht="12.75" hidden="false" customHeight="false" outlineLevel="0" collapsed="false">
      <c r="U77" s="0"/>
      <c r="V77" s="0"/>
    </row>
    <row r="78" customFormat="false" ht="12.75" hidden="false" customHeight="false" outlineLevel="0" collapsed="false">
      <c r="U78" s="0"/>
      <c r="V78" s="0"/>
    </row>
  </sheetData>
  <mergeCells count="1"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T54" activePane="bottomRight" state="frozen"/>
      <selection pane="topLeft" activeCell="A1" activeCellId="0" sqref="A1"/>
      <selection pane="topRight" activeCell="T1" activeCellId="0" sqref="T1"/>
      <selection pane="bottomLeft" activeCell="A54" activeCellId="0" sqref="A54"/>
      <selection pane="bottomRight" activeCell="Z54" activeCellId="0" sqref="Z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21" min="12" style="1" width="12.28"/>
    <col collapsed="false" customWidth="true" hidden="false" outlineLevel="0" max="22" min="22" style="1" width="12.14"/>
    <col collapsed="false" customWidth="true" hidden="false" outlineLevel="0" max="23" min="23" style="2" width="13.56"/>
    <col collapsed="false" customWidth="true" hidden="false" outlineLevel="0" max="24" min="24" style="1" width="19.99"/>
    <col collapsed="false" customWidth="true" hidden="false" outlineLevel="0" max="26" min="25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3,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 t="str">
        <f aca="true">CELL("filename")</f>
        <v>'file:///mnt/12tb/@roms/datasets/enron/EDRM Enron Email Data Set v2 XML/filtered-attachments/xls/Draw_Sched___121499.xls'#$Gleason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" t="n">
        <f aca="true">NOW()</f>
        <v>45926.9532351013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3" t="s">
        <v>6</v>
      </c>
      <c r="X6" s="13" t="s">
        <v>19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4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W8" s="16"/>
    </row>
    <row r="9" customFormat="false" ht="12.75" hidden="false" customHeight="false" outlineLevel="0" collapsed="false">
      <c r="A9" s="9" t="s">
        <v>58</v>
      </c>
      <c r="W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f aca="false">1553625-393211</f>
        <v>1160414</v>
      </c>
      <c r="R10" s="1" t="n">
        <v>0</v>
      </c>
      <c r="U10" s="1" t="n">
        <v>11</v>
      </c>
      <c r="V10" s="1" t="n">
        <f aca="false">3081531-1282310</f>
        <v>1799221</v>
      </c>
      <c r="W10" s="16" t="n">
        <f aca="false">SUM(C10:V10)</f>
        <v>60842740</v>
      </c>
      <c r="X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</f>
        <v>3066105</v>
      </c>
      <c r="W11" s="16" t="n">
        <f aca="false">SUM(C11:V11)</f>
        <v>34480361</v>
      </c>
      <c r="X11" s="23" t="s">
        <v>23</v>
      </c>
      <c r="Y11" s="1" t="n">
        <f aca="false">[1]Gleason!$BT$16</f>
        <v>95323101</v>
      </c>
      <c r="Z11" s="1" t="n">
        <f aca="false">W10+W11-Y11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v>1765743.3</v>
      </c>
      <c r="R12" s="1" t="n">
        <v>645575.4</v>
      </c>
      <c r="S12" s="1" t="n">
        <f aca="false">531586.8-58500</f>
        <v>473086.8</v>
      </c>
      <c r="T12" s="1" t="n">
        <v>0</v>
      </c>
      <c r="W12" s="16" t="n">
        <f aca="false">SUM(C12:V12)</f>
        <v>5893810.8</v>
      </c>
      <c r="X12" s="23" t="s">
        <v>23</v>
      </c>
      <c r="Y12" s="1" t="n">
        <f aca="false">[1]Gleason!$BT$35</f>
        <v>5893811</v>
      </c>
      <c r="Z12" s="1" t="n">
        <f aca="false">W12-Y12</f>
        <v>-0.200000000186265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W13" s="16" t="n">
        <f aca="false">SUM(C13:V13)</f>
        <v>929800</v>
      </c>
      <c r="X13" s="23" t="s">
        <v>23</v>
      </c>
      <c r="Y13" s="1" t="n">
        <f aca="false">[1]Gleason!$BT$131</f>
        <v>929800</v>
      </c>
      <c r="Z13" s="1" t="n">
        <f aca="false">W13-Y13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f aca="false">2840700/12</f>
        <v>236725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2840700/12+6+3</f>
        <v>236734</v>
      </c>
      <c r="W14" s="16" t="n">
        <f aca="false">SUM(C14:V14)</f>
        <v>2840700</v>
      </c>
      <c r="X14" s="23" t="s">
        <v>23</v>
      </c>
      <c r="Y14" s="1" t="n">
        <f aca="false">[1]Gleason!$BT$132</f>
        <v>2840700</v>
      </c>
      <c r="Z14" s="1" t="n">
        <f aca="false">W14-Y14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W15" s="16" t="n">
        <f aca="false">SUM(C15:V15)</f>
        <v>3066700</v>
      </c>
      <c r="X15" s="23" t="s">
        <v>23</v>
      </c>
      <c r="Y15" s="1" t="n">
        <f aca="false">[1]Gleason!$BT$133</f>
        <v>3066700</v>
      </c>
      <c r="Z15" s="1" t="n">
        <f aca="false">W15-Y15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P16" s="1" t="n">
        <f aca="false">(0.2939-0.145)*Y16</f>
        <v>2226146.4246</v>
      </c>
      <c r="Q16" s="1" t="n">
        <f aca="false">(0.4765-0.2939)*Y16</f>
        <v>2729982.1164</v>
      </c>
      <c r="R16" s="1" t="n">
        <f aca="false">(0.6457-0.4765)*Y16</f>
        <v>2529643.8888</v>
      </c>
      <c r="S16" s="1" t="n">
        <f aca="false">(0.7795-0.6457)*Y16</f>
        <v>2000392.1532</v>
      </c>
      <c r="T16" s="1" t="n">
        <f aca="false">(0.8617-0.7795)*Y16</f>
        <v>1228940.4708</v>
      </c>
      <c r="U16" s="1" t="n">
        <f aca="false">(0.9293-0.8617)*Y16</f>
        <v>1010661.5064</v>
      </c>
      <c r="V16" s="1" t="n">
        <f aca="false">(1-0.9293)*Y16</f>
        <v>1057008.4098</v>
      </c>
      <c r="W16" s="16" t="n">
        <f aca="false">SUM(C16:V16)</f>
        <v>13203592.97</v>
      </c>
      <c r="X16" s="23"/>
      <c r="Y16" s="1" t="n">
        <f aca="false">[1]Gleason!$BT$59</f>
        <v>14950614</v>
      </c>
      <c r="Z16" s="1" t="n">
        <f aca="false">W16-Y16</f>
        <v>-1747021.03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P17" s="1" t="n">
        <f aca="false">(0.2939-0.145)*Y17</f>
        <v>768904.5611</v>
      </c>
      <c r="Q17" s="1" t="n">
        <f aca="false">(0.4765-0.2939)*Y17</f>
        <v>942927.9574</v>
      </c>
      <c r="R17" s="1" t="n">
        <f aca="false">(0.6457-0.4765)*Y17</f>
        <v>873731.7108</v>
      </c>
      <c r="S17" s="1" t="n">
        <f aca="false">(0.7795-0.6457)*Y17</f>
        <v>690929.6862</v>
      </c>
      <c r="T17" s="1" t="n">
        <f aca="false">(0.8617-0.7795)*Y17</f>
        <v>424472.4978</v>
      </c>
      <c r="U17" s="1" t="n">
        <f aca="false">(0.9293-0.8617)*Y17</f>
        <v>349079.5724</v>
      </c>
      <c r="V17" s="1" t="n">
        <f aca="false">(1-0.9293)*Y17</f>
        <v>365087.6593</v>
      </c>
      <c r="W17" s="16" t="n">
        <f aca="false">SUM(C17:V17)</f>
        <v>4499154.645</v>
      </c>
      <c r="X17" s="23"/>
      <c r="Y17" s="1" t="n">
        <f aca="false">[1]Gleason!$BT$87</f>
        <v>5163899</v>
      </c>
      <c r="Z17" s="1" t="n">
        <f aca="false">W17-Y17</f>
        <v>-664744.355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P18" s="1" t="n">
        <f aca="false">(0.2939-0.145)*Y18</f>
        <v>1845896.4743</v>
      </c>
      <c r="Q18" s="1" t="n">
        <f aca="false">(0.4765-0.2939)*Y18</f>
        <v>2263671.5662</v>
      </c>
      <c r="R18" s="1" t="n">
        <f aca="false">(0.6457-0.4765)*Y18</f>
        <v>2097553.2804</v>
      </c>
      <c r="S18" s="1" t="n">
        <f aca="false">(0.7795-0.6457)*Y18</f>
        <v>1658703.4806</v>
      </c>
      <c r="T18" s="1" t="n">
        <f aca="false">(0.8617-0.7795)*Y18</f>
        <v>1019024.1114</v>
      </c>
      <c r="U18" s="1" t="n">
        <f aca="false">(0.9293-0.8617)*Y18</f>
        <v>838029.5612</v>
      </c>
      <c r="V18" s="1" t="n">
        <f aca="false">(1-0.9293)*Y18</f>
        <v>876459.9109</v>
      </c>
      <c r="W18" s="16" t="n">
        <f aca="false">SUM(C18:V18)</f>
        <v>10803926.385</v>
      </c>
      <c r="X18" s="23"/>
      <c r="Y18" s="1" t="n">
        <f aca="false">[1]Gleason!$BT$119</f>
        <v>12396887</v>
      </c>
      <c r="Z18" s="1" t="n">
        <f aca="false">W18-Y18</f>
        <v>-1592960.615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P19" s="1" t="n">
        <f aca="false">(0.2939-0.145)*Y19</f>
        <v>1795689.33</v>
      </c>
      <c r="Q19" s="1" t="n">
        <f aca="false">(0.4765-0.2939)*Y19</f>
        <v>2202101.22</v>
      </c>
      <c r="R19" s="1" t="n">
        <f aca="false">(0.6457-0.4765)*Y19</f>
        <v>2040501.24</v>
      </c>
      <c r="S19" s="1" t="n">
        <f aca="false">(0.7795-0.6457)*Y19</f>
        <v>1613587.86</v>
      </c>
      <c r="T19" s="1" t="n">
        <f aca="false">(0.8617-0.7795)*Y19</f>
        <v>991307.340000001</v>
      </c>
      <c r="U19" s="1" t="n">
        <f aca="false">(0.9293-0.8617)*Y19</f>
        <v>815235.72</v>
      </c>
      <c r="V19" s="1" t="n">
        <f aca="false">(1-0.9293)*Y19</f>
        <v>852620.79</v>
      </c>
      <c r="W19" s="16" t="n">
        <f aca="false">SUM(C19:V19)</f>
        <v>10311043.5</v>
      </c>
      <c r="X19" s="23" t="s">
        <v>23</v>
      </c>
      <c r="Y19" s="1" t="n">
        <f aca="false">[1]Gleason!$BT$124</f>
        <v>12059700</v>
      </c>
      <c r="Z19" s="1" t="n">
        <f aca="false">W19-Y19</f>
        <v>-1748656.5</v>
      </c>
    </row>
    <row r="20" customFormat="false" ht="12.75" hidden="false" customHeight="false" outlineLevel="0" collapsed="false">
      <c r="A20" s="1" t="s">
        <v>105</v>
      </c>
      <c r="U20" s="1" t="n">
        <v>0</v>
      </c>
      <c r="V20" s="1" t="n">
        <v>675000</v>
      </c>
      <c r="W20" s="16" t="n">
        <f aca="false">SUM(C20:V20)</f>
        <v>675000</v>
      </c>
      <c r="X20" s="23" t="s">
        <v>23</v>
      </c>
      <c r="Y20" s="1" t="n">
        <f aca="false">[1]Gleason!$BT$171</f>
        <v>675000</v>
      </c>
      <c r="Z20" s="1" t="n">
        <f aca="false">W20-Y20</f>
        <v>0</v>
      </c>
    </row>
    <row r="21" customFormat="false" ht="13.5" hidden="false" customHeight="true" outlineLevel="0" collapsed="false">
      <c r="A21" s="1" t="s">
        <v>106</v>
      </c>
      <c r="O21" s="1" t="n">
        <v>5344605</v>
      </c>
      <c r="P21" s="1" t="n">
        <v>408777</v>
      </c>
      <c r="W21" s="16" t="n">
        <f aca="false">SUM(C21:V21)</f>
        <v>5753382</v>
      </c>
      <c r="X21" s="23" t="s">
        <v>23</v>
      </c>
      <c r="Y21" s="1" t="n">
        <v>0</v>
      </c>
      <c r="Z21" s="1" t="n">
        <f aca="false">W21-Y21</f>
        <v>5753382</v>
      </c>
    </row>
    <row r="22" customFormat="false" ht="12.75" hidden="false" customHeight="false" outlineLevel="0" collapsed="false">
      <c r="A22" s="1" t="s">
        <v>27</v>
      </c>
      <c r="Q22" s="1" t="n">
        <v>150000</v>
      </c>
      <c r="R22" s="1" t="n">
        <v>150000</v>
      </c>
      <c r="S22" s="1" t="n">
        <v>150000</v>
      </c>
      <c r="T22" s="1" t="n">
        <v>150000</v>
      </c>
      <c r="U22" s="1" t="n">
        <v>150000</v>
      </c>
      <c r="V22" s="1" t="n">
        <f aca="false">908786-750000</f>
        <v>158786</v>
      </c>
      <c r="W22" s="16" t="n">
        <f aca="false">SUM(C22:V22)</f>
        <v>908786</v>
      </c>
      <c r="X22" s="23" t="s">
        <v>28</v>
      </c>
      <c r="Y22" s="1" t="n">
        <f aca="false">[1]Gleason!$BT$165</f>
        <v>908786</v>
      </c>
      <c r="Z22" s="1" t="n">
        <f aca="false">W22-Y22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W23" s="16" t="n">
        <f aca="false">SUM(C23:V23)</f>
        <v>1247007</v>
      </c>
      <c r="X23" s="23" t="s">
        <v>23</v>
      </c>
      <c r="Y23" s="1" t="n">
        <f aca="false">[1]Gleason!$BT$173</f>
        <v>1247007</v>
      </c>
      <c r="Z23" s="1" t="n">
        <f aca="false">W23-Y23</f>
        <v>0</v>
      </c>
    </row>
    <row r="24" customFormat="false" ht="12.75" hidden="false" customHeight="false" outlineLevel="0" collapsed="false">
      <c r="A24" s="1" t="s">
        <v>30</v>
      </c>
      <c r="L24" s="1" t="n">
        <v>369041</v>
      </c>
      <c r="N24" s="1" t="n">
        <v>0</v>
      </c>
      <c r="W24" s="16" t="n">
        <f aca="false">SUM(C24:V24)</f>
        <v>369041</v>
      </c>
      <c r="X24" s="23" t="s">
        <v>61</v>
      </c>
      <c r="Y24" s="1" t="n">
        <f aca="false">[1]Gleason!$BT$180</f>
        <v>369041</v>
      </c>
      <c r="Z24" s="1" t="n">
        <f aca="false">W24-Y24</f>
        <v>0</v>
      </c>
    </row>
    <row r="25" customFormat="false" ht="12.75" hidden="false" customHeight="false" outlineLevel="0" collapsed="false">
      <c r="A25" s="1" t="s">
        <v>32</v>
      </c>
      <c r="F25" s="31"/>
      <c r="L25" s="1" t="n">
        <v>69419</v>
      </c>
      <c r="M25" s="1" t="n">
        <v>190571</v>
      </c>
      <c r="N25" s="1" t="n">
        <v>0</v>
      </c>
      <c r="O25" s="1" t="n">
        <v>264856</v>
      </c>
      <c r="P25" s="1" t="n">
        <v>15154</v>
      </c>
      <c r="W25" s="16" t="n">
        <f aca="false">SUM(C25:V25)</f>
        <v>540000</v>
      </c>
      <c r="X25" s="23" t="str">
        <f aca="false">X24</f>
        <v>Ben Jacoby</v>
      </c>
    </row>
    <row r="26" customFormat="false" ht="12.75" hidden="false" customHeight="false" outlineLevel="0" collapsed="false">
      <c r="A26" s="1" t="s">
        <v>33</v>
      </c>
      <c r="F26" s="32"/>
      <c r="P26" s="1" t="n">
        <v>375000</v>
      </c>
      <c r="Q26" s="1" t="n">
        <v>125000</v>
      </c>
      <c r="R26" s="1" t="n">
        <v>125000</v>
      </c>
      <c r="S26" s="1" t="n">
        <v>125000</v>
      </c>
      <c r="T26" s="1" t="n">
        <v>350000</v>
      </c>
      <c r="W26" s="16" t="n">
        <f aca="false">SUM(C26:V26)</f>
        <v>1100000</v>
      </c>
      <c r="X26" s="23" t="s">
        <v>34</v>
      </c>
      <c r="Y26" s="1" t="n">
        <f aca="false">[1]Gleason!$BT$199</f>
        <v>1100000</v>
      </c>
      <c r="Z26" s="1" t="n">
        <f aca="false">W26-Y26</f>
        <v>0</v>
      </c>
    </row>
    <row r="27" customFormat="false" ht="12.75" hidden="false" customHeight="false" outlineLevel="0" collapsed="false">
      <c r="A27" s="1" t="s">
        <v>90</v>
      </c>
      <c r="F27" s="32"/>
      <c r="N27" s="1" t="n">
        <v>18018</v>
      </c>
      <c r="P27" s="1" t="n">
        <f aca="false">2200000-18018</f>
        <v>2181982</v>
      </c>
      <c r="W27" s="16" t="n">
        <f aca="false">SUM(C27:V27)</f>
        <v>2200000</v>
      </c>
      <c r="X27" s="23"/>
      <c r="Y27" s="1" t="n">
        <f aca="false">[1]Gleason!$BT$197</f>
        <v>2200000</v>
      </c>
      <c r="Z27" s="1" t="n">
        <f aca="false">W27-Y27</f>
        <v>0</v>
      </c>
    </row>
    <row r="28" customFormat="false" ht="12.75" hidden="false" customHeight="false" outlineLevel="0" collapsed="false">
      <c r="A28" s="1" t="s">
        <v>36</v>
      </c>
      <c r="F28" s="32"/>
      <c r="T28" s="1" t="n">
        <v>0</v>
      </c>
      <c r="U28" s="1" t="n">
        <v>250000</v>
      </c>
      <c r="V28" s="1" t="n">
        <v>250000</v>
      </c>
      <c r="W28" s="16" t="n">
        <f aca="false">SUM(C28:V28)</f>
        <v>500000</v>
      </c>
      <c r="X28" s="23" t="str">
        <f aca="false">X22</f>
        <v>Kevin Presto</v>
      </c>
      <c r="Y28" s="1" t="n">
        <f aca="false">[1]Gleason!$BT$205</f>
        <v>500000</v>
      </c>
      <c r="Z28" s="1" t="n">
        <f aca="false">W28-Y28</f>
        <v>0</v>
      </c>
    </row>
    <row r="29" customFormat="false" ht="12.75" hidden="false" customHeight="false" outlineLevel="0" collapsed="false">
      <c r="A29" s="1" t="s">
        <v>63</v>
      </c>
      <c r="F29" s="32"/>
      <c r="V29" s="1" t="n">
        <v>0</v>
      </c>
      <c r="W29" s="16" t="n">
        <f aca="false">SUM(C29:V29)</f>
        <v>0</v>
      </c>
      <c r="X29" s="23" t="s">
        <v>64</v>
      </c>
      <c r="Y29" s="1" t="n">
        <v>0</v>
      </c>
      <c r="Z29" s="1" t="n">
        <f aca="false">W29-Y29</f>
        <v>0</v>
      </c>
    </row>
    <row r="30" customFormat="false" ht="12.75" hidden="false" customHeight="false" outlineLevel="0" collapsed="false">
      <c r="A30" s="1" t="s">
        <v>38</v>
      </c>
      <c r="F30" s="32"/>
      <c r="N30" s="1" t="n">
        <v>0</v>
      </c>
      <c r="O30" s="1" t="n">
        <v>0</v>
      </c>
      <c r="P30" s="1" t="n">
        <v>200935</v>
      </c>
      <c r="W30" s="16" t="n">
        <f aca="false">SUM(C30:V30)</f>
        <v>200935</v>
      </c>
      <c r="X30" s="23"/>
      <c r="Y30" s="1" t="n">
        <f aca="false">[1]Gleason!$BT$207</f>
        <v>200935.25</v>
      </c>
      <c r="Z30" s="1" t="n">
        <f aca="false">W30-Y30</f>
        <v>-0.25</v>
      </c>
    </row>
    <row r="31" customFormat="false" ht="12.75" hidden="false" customHeight="false" outlineLevel="0" collapsed="false">
      <c r="A31" s="1" t="s">
        <v>39</v>
      </c>
      <c r="F31" s="15"/>
      <c r="G31" s="15"/>
      <c r="H31" s="15"/>
      <c r="I31" s="15"/>
      <c r="J31" s="15"/>
      <c r="K31" s="15"/>
      <c r="L31" s="15" t="n">
        <v>33713</v>
      </c>
      <c r="M31" s="1" t="n">
        <v>0</v>
      </c>
      <c r="N31" s="1" t="n">
        <v>0</v>
      </c>
      <c r="O31" s="1" t="n">
        <v>0</v>
      </c>
      <c r="P31" s="1" t="n">
        <v>20000</v>
      </c>
      <c r="Q31" s="1" t="n">
        <f aca="false">11111.1111111111+11173</f>
        <v>22284.1111111111</v>
      </c>
      <c r="R31" s="1" t="n">
        <f aca="false">11111.1111111111+12759</f>
        <v>23870.1111111111</v>
      </c>
      <c r="S31" s="1" t="n">
        <v>11111.1111111111</v>
      </c>
      <c r="T31" s="1" t="n">
        <v>11111.1111111111</v>
      </c>
      <c r="U31" s="1" t="n">
        <v>31111</v>
      </c>
      <c r="V31" s="1" t="n">
        <f aca="false">13620+20000</f>
        <v>33620</v>
      </c>
      <c r="W31" s="16" t="n">
        <f aca="false">SUM(C31:V31)</f>
        <v>186820.444444444</v>
      </c>
      <c r="X31" s="23"/>
    </row>
    <row r="32" customFormat="false" ht="12.75" hidden="false" customHeight="false" outlineLevel="0" collapsed="false">
      <c r="A32" s="1" t="s">
        <v>40</v>
      </c>
      <c r="F32" s="32"/>
      <c r="L32" s="1" t="n">
        <v>137136</v>
      </c>
      <c r="M32" s="1" t="n">
        <v>5262</v>
      </c>
      <c r="N32" s="1" t="n">
        <v>18874</v>
      </c>
      <c r="O32" s="1" t="n">
        <v>113219</v>
      </c>
      <c r="P32" s="1" t="n">
        <f aca="false">83611.75-912</f>
        <v>82699.75</v>
      </c>
      <c r="Q32" s="1" t="n">
        <f aca="false">22033+191013</f>
        <v>213046</v>
      </c>
      <c r="R32" s="1" t="n">
        <v>10010</v>
      </c>
      <c r="S32" s="1" t="n">
        <f aca="false">30286.69-14452</f>
        <v>15834.69</v>
      </c>
      <c r="T32" s="1" t="n">
        <f aca="false">13074-3457+1916</f>
        <v>11533</v>
      </c>
      <c r="U32" s="1" t="n">
        <v>9698</v>
      </c>
      <c r="V32" s="1" t="n">
        <v>0</v>
      </c>
      <c r="W32" s="16" t="n">
        <f aca="false">SUM(C32:V32)</f>
        <v>617312.44</v>
      </c>
      <c r="X32" s="23"/>
    </row>
    <row r="33" customFormat="false" ht="12.75" hidden="false" customHeight="false" outlineLevel="0" collapsed="false">
      <c r="A33" s="1" t="s">
        <v>41</v>
      </c>
      <c r="L33" s="1" t="n">
        <v>14302</v>
      </c>
      <c r="M33" s="1" t="n">
        <v>13886</v>
      </c>
      <c r="N33" s="1" t="n">
        <v>27415</v>
      </c>
      <c r="O33" s="1" t="n">
        <v>13908</v>
      </c>
      <c r="P33" s="1" t="n">
        <f aca="false">50000+72844</f>
        <v>122844</v>
      </c>
      <c r="Q33" s="1" t="n">
        <f aca="false">68298</f>
        <v>68298</v>
      </c>
      <c r="R33" s="1" t="n">
        <f aca="false">18820-11693</f>
        <v>7127</v>
      </c>
      <c r="S33" s="1" t="n">
        <v>132585</v>
      </c>
      <c r="T33" s="1" t="n">
        <v>96092</v>
      </c>
      <c r="U33" s="1" t="n">
        <v>0</v>
      </c>
      <c r="V33" s="1" t="n">
        <v>0</v>
      </c>
      <c r="W33" s="16" t="n">
        <f aca="false">SUM(C33:V33)</f>
        <v>496457</v>
      </c>
      <c r="X33" s="23"/>
    </row>
    <row r="34" customFormat="false" ht="12.75" hidden="false" customHeight="false" outlineLevel="0" collapsed="false">
      <c r="A34" s="1" t="s">
        <v>42</v>
      </c>
      <c r="C34" s="18" t="n">
        <f aca="false">SUM(C9:C33)</f>
        <v>0</v>
      </c>
      <c r="D34" s="18" t="n">
        <f aca="false">SUM(D9:D33)</f>
        <v>0</v>
      </c>
      <c r="E34" s="18" t="n">
        <f aca="false">SUM(E9:E33)</f>
        <v>0</v>
      </c>
      <c r="F34" s="18" t="n">
        <f aca="false">SUM(F9:F33)</f>
        <v>0</v>
      </c>
      <c r="G34" s="18" t="n">
        <f aca="false">SUM(G9:G33)</f>
        <v>0</v>
      </c>
      <c r="H34" s="18" t="n">
        <f aca="false">SUM(H9:H33)</f>
        <v>0</v>
      </c>
      <c r="I34" s="18" t="n">
        <f aca="false">SUM(I9:I33)</f>
        <v>0</v>
      </c>
      <c r="J34" s="18" t="n">
        <f aca="false">SUM(J9:J33)</f>
        <v>0</v>
      </c>
      <c r="K34" s="18" t="n">
        <f aca="false">SUM(K10:K33)</f>
        <v>0</v>
      </c>
      <c r="L34" s="18" t="n">
        <f aca="false">SUM(L10:L33)</f>
        <v>88825774</v>
      </c>
      <c r="M34" s="18" t="n">
        <f aca="false">SUM(M10:M33)</f>
        <v>209719</v>
      </c>
      <c r="N34" s="18" t="n">
        <f aca="false">SUM(N10:N33)</f>
        <v>1660822.33333333</v>
      </c>
      <c r="O34" s="18" t="n">
        <f aca="false">SUM(O10:O33)</f>
        <v>6962875.33333333</v>
      </c>
      <c r="P34" s="18" t="n">
        <f aca="false">SUM(P10:P33)</f>
        <v>13292394.1733333</v>
      </c>
      <c r="Q34" s="18" t="n">
        <f aca="false">SUM(Q10:Q33)</f>
        <v>10797262.6044444</v>
      </c>
      <c r="R34" s="18" t="n">
        <f aca="false">SUM(R10:R33)</f>
        <v>8817220.96444445</v>
      </c>
      <c r="S34" s="18" t="n">
        <f aca="false">SUM(S10:S33)</f>
        <v>7185439.11444444</v>
      </c>
      <c r="T34" s="18" t="n">
        <f aca="false">SUM(T10:T33)</f>
        <v>5239478.86444445</v>
      </c>
      <c r="U34" s="18" t="n">
        <f aca="false">SUM(U10:U33)</f>
        <v>5913750.69333333</v>
      </c>
      <c r="V34" s="18" t="n">
        <f aca="false">SUM(V10:V33)</f>
        <v>12761833.1033333</v>
      </c>
      <c r="W34" s="19" t="n">
        <f aca="false">SUM(C34:V34)</f>
        <v>161666570.184444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0</v>
      </c>
      <c r="D35" s="18" t="n">
        <f aca="false">+D34</f>
        <v>0</v>
      </c>
      <c r="E35" s="18" t="n">
        <f aca="false">+E34</f>
        <v>0</v>
      </c>
      <c r="F35" s="18" t="n">
        <f aca="false">+F34</f>
        <v>0</v>
      </c>
      <c r="G35" s="18" t="n">
        <f aca="false">+G34</f>
        <v>0</v>
      </c>
      <c r="H35" s="18" t="n">
        <f aca="false">+H34</f>
        <v>0</v>
      </c>
      <c r="I35" s="18" t="n">
        <f aca="false">+I34</f>
        <v>0</v>
      </c>
      <c r="J35" s="18" t="n">
        <f aca="false">+J34</f>
        <v>0</v>
      </c>
      <c r="K35" s="18" t="n">
        <f aca="false">+K34</f>
        <v>0</v>
      </c>
      <c r="L35" s="18" t="n">
        <f aca="false">+K35+L34</f>
        <v>88825774</v>
      </c>
      <c r="M35" s="18" t="n">
        <f aca="false">+L35+M34</f>
        <v>89035493</v>
      </c>
      <c r="N35" s="18" t="n">
        <f aca="false">+M35+N34</f>
        <v>90696315.3333333</v>
      </c>
      <c r="O35" s="18" t="n">
        <f aca="false">+N35+O34</f>
        <v>97659190.6666667</v>
      </c>
      <c r="P35" s="18" t="n">
        <f aca="false">+O35+P34</f>
        <v>110951584.84</v>
      </c>
      <c r="Q35" s="18" t="n">
        <f aca="false">+P35+Q34</f>
        <v>121748847.444444</v>
      </c>
      <c r="R35" s="18" t="n">
        <f aca="false">+Q35+R34</f>
        <v>130566068.408889</v>
      </c>
      <c r="S35" s="18" t="n">
        <f aca="false">+R35+S34</f>
        <v>137751507.523333</v>
      </c>
      <c r="T35" s="18" t="n">
        <f aca="false">+S35+T34</f>
        <v>142990986.387778</v>
      </c>
      <c r="U35" s="18" t="n">
        <f aca="false">+T35+U34</f>
        <v>148904737.081111</v>
      </c>
      <c r="V35" s="18" t="n">
        <f aca="false">+U35+V34</f>
        <v>161666570.184444</v>
      </c>
      <c r="W35" s="16"/>
    </row>
    <row r="36" customFormat="false" ht="12.75" hidden="false" customHeight="false" outlineLevel="0" collapsed="false">
      <c r="A36" s="1" t="s">
        <v>44</v>
      </c>
      <c r="D36" s="2"/>
      <c r="E36" s="2"/>
      <c r="F36" s="2"/>
      <c r="G36" s="2"/>
      <c r="H36" s="2"/>
      <c r="I36" s="2"/>
      <c r="J36" s="2"/>
      <c r="K36" s="2"/>
      <c r="L36" s="2"/>
      <c r="W36" s="21" t="n">
        <f aca="false">+W34/C53/1000</f>
        <v>316.99327487146</v>
      </c>
    </row>
    <row r="37" customFormat="false" ht="12.75" hidden="false" customHeight="false" outlineLevel="0" collapsed="false">
      <c r="D37" s="2"/>
      <c r="E37" s="2"/>
      <c r="F37" s="2"/>
      <c r="G37" s="2"/>
      <c r="H37" s="2"/>
      <c r="I37" s="2"/>
      <c r="J37" s="2"/>
      <c r="K37" s="2"/>
      <c r="L37" s="2"/>
      <c r="W37" s="21"/>
    </row>
    <row r="38" customFormat="false" ht="12.75" hidden="false" customHeight="false" outlineLevel="0" collapsed="false">
      <c r="A38" s="1" t="s">
        <v>91</v>
      </c>
      <c r="D38" s="2"/>
      <c r="E38" s="2"/>
      <c r="F38" s="2"/>
      <c r="G38" s="2"/>
      <c r="H38" s="2"/>
      <c r="I38" s="2"/>
      <c r="J38" s="2"/>
      <c r="K38" s="2"/>
      <c r="L38" s="2"/>
      <c r="M38" s="1" t="n">
        <v>-6077</v>
      </c>
      <c r="W38" s="16" t="n">
        <f aca="false">SUM(C38:V38)</f>
        <v>-6077</v>
      </c>
      <c r="X38" s="17" t="s">
        <v>47</v>
      </c>
    </row>
    <row r="39" customFormat="false" ht="12.75" hidden="false" customHeight="false" outlineLevel="0" collapsed="false">
      <c r="A39" s="1" t="s">
        <v>45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  <c r="K39" s="2" t="n">
        <v>0</v>
      </c>
      <c r="L39" s="2" t="n">
        <f aca="false">4326863</f>
        <v>4326863</v>
      </c>
      <c r="M39" s="15" t="n">
        <v>505668.93</v>
      </c>
      <c r="N39" s="15" t="n">
        <v>517447.922676389</v>
      </c>
      <c r="O39" s="15" t="n">
        <f aca="false">(O35+N44)*$C51/12</f>
        <v>557933.423229775</v>
      </c>
      <c r="P39" s="15" t="n">
        <f aca="false">(P35+O44)*$C51/12</f>
        <v>632956.031044492</v>
      </c>
      <c r="Q39" s="15" t="n">
        <f aca="false">(Q35+P44)*$C51/12</f>
        <v>694869.715320057</v>
      </c>
      <c r="R39" s="15" t="n">
        <f aca="false">(R35+Q44)*$C51/12</f>
        <v>746393.539835448</v>
      </c>
      <c r="S39" s="15" t="n">
        <f aca="false">(S35+R44)*$C51/12</f>
        <v>789357.633379464</v>
      </c>
      <c r="T39" s="15" t="n">
        <f aca="false">(T35+S44)*$C51/12</f>
        <v>822013.83107601</v>
      </c>
      <c r="U39" s="15" t="n">
        <f aca="false">(U35+T44)*$C51/12</f>
        <v>858499.222249894</v>
      </c>
      <c r="V39" s="15" t="n">
        <f aca="false">(V35+U44)*$C51/12-5719</f>
        <v>926557.022346803</v>
      </c>
      <c r="W39" s="16" t="n">
        <f aca="false">SUM(C39:V39)</f>
        <v>11378560.2711583</v>
      </c>
      <c r="X39" s="17" t="str">
        <f aca="false">X54</f>
        <v>Rodney Malcolm</v>
      </c>
    </row>
    <row r="40" customFormat="false" ht="12.75" hidden="false" customHeight="false" outlineLevel="0" collapsed="false">
      <c r="A40" s="1" t="s">
        <v>92</v>
      </c>
      <c r="D40" s="2"/>
      <c r="E40" s="2"/>
      <c r="F40" s="2"/>
      <c r="G40" s="2"/>
      <c r="H40" s="2"/>
      <c r="I40" s="2"/>
      <c r="J40" s="2"/>
      <c r="K40" s="2"/>
      <c r="L40" s="2"/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 t="n">
        <v>0</v>
      </c>
      <c r="W40" s="16" t="n">
        <f aca="false">SUM(C40:V40)</f>
        <v>0</v>
      </c>
      <c r="X40" s="17" t="str">
        <f aca="false">X39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W41" s="16" t="n">
        <f aca="false">SUM(C41:V41)</f>
        <v>0</v>
      </c>
      <c r="X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V42" s="1" t="n">
        <f aca="false">[1]Gleason!$BT$230</f>
        <v>0</v>
      </c>
      <c r="W42" s="16" t="n">
        <f aca="false">SUM(C42:V42)</f>
        <v>0</v>
      </c>
      <c r="X42" s="17" t="str">
        <f aca="false">X25</f>
        <v>Ben Jacoby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0</v>
      </c>
      <c r="D43" s="18" t="n">
        <f aca="false">SUM(D38:D42)</f>
        <v>0</v>
      </c>
      <c r="E43" s="18" t="n">
        <f aca="false">SUM(E38:E42)</f>
        <v>0</v>
      </c>
      <c r="F43" s="18" t="n">
        <f aca="false">SUM(F38:F42)</f>
        <v>0</v>
      </c>
      <c r="G43" s="18" t="n">
        <f aca="false">SUM(G38:G42)</f>
        <v>0</v>
      </c>
      <c r="H43" s="18" t="n">
        <f aca="false">SUM(H38:H42)</f>
        <v>0</v>
      </c>
      <c r="I43" s="18" t="n">
        <f aca="false">SUM(I38:I42)</f>
        <v>0</v>
      </c>
      <c r="J43" s="18" t="n">
        <f aca="false">SUM(J38:J42)</f>
        <v>0</v>
      </c>
      <c r="K43" s="18" t="n">
        <f aca="false">SUM(K38:K42)</f>
        <v>0</v>
      </c>
      <c r="L43" s="18" t="n">
        <f aca="false">SUM(L38:L42)</f>
        <v>4326863</v>
      </c>
      <c r="M43" s="18" t="n">
        <f aca="false">SUM(M38:M42)</f>
        <v>499591.93</v>
      </c>
      <c r="N43" s="18" t="n">
        <f aca="false">SUM(N38:N42)</f>
        <v>517447.922676389</v>
      </c>
      <c r="O43" s="18" t="n">
        <f aca="false">SUM(O38:O42)</f>
        <v>557933.423229775</v>
      </c>
      <c r="P43" s="18" t="n">
        <f aca="false">SUM(P38:P42)</f>
        <v>632956.031044492</v>
      </c>
      <c r="Q43" s="18" t="n">
        <f aca="false">SUM(Q38:Q42)</f>
        <v>694869.715320057</v>
      </c>
      <c r="R43" s="18" t="n">
        <f aca="false">SUM(R38:R42)</f>
        <v>746393.539835448</v>
      </c>
      <c r="S43" s="18" t="n">
        <f aca="false">SUM(S38:S42)</f>
        <v>789357.633379464</v>
      </c>
      <c r="T43" s="18" t="n">
        <f aca="false">SUM(T38:T42)</f>
        <v>822013.83107601</v>
      </c>
      <c r="U43" s="18" t="n">
        <f aca="false">SUM(U38:U42)</f>
        <v>858499.222249894</v>
      </c>
      <c r="V43" s="18" t="n">
        <f aca="false">SUM(V38:V42)</f>
        <v>926557.022346803</v>
      </c>
      <c r="W43" s="19" t="n">
        <f aca="false">SUM(C43:V43)</f>
        <v>11372483.2711583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0</v>
      </c>
      <c r="D44" s="18" t="n">
        <f aca="false">+D43</f>
        <v>0</v>
      </c>
      <c r="E44" s="18" t="n">
        <f aca="false">+E43</f>
        <v>0</v>
      </c>
      <c r="F44" s="18" t="n">
        <f aca="false">+F43</f>
        <v>0</v>
      </c>
      <c r="G44" s="18" t="n">
        <f aca="false">+G43</f>
        <v>0</v>
      </c>
      <c r="H44" s="18" t="n">
        <f aca="false">+H43</f>
        <v>0</v>
      </c>
      <c r="I44" s="18" t="n">
        <f aca="false">+I43</f>
        <v>0</v>
      </c>
      <c r="J44" s="18" t="n">
        <f aca="false">+J43</f>
        <v>0</v>
      </c>
      <c r="K44" s="18" t="n">
        <f aca="false">+K43</f>
        <v>0</v>
      </c>
      <c r="L44" s="18" t="n">
        <f aca="false">+L43</f>
        <v>4326863</v>
      </c>
      <c r="M44" s="18" t="n">
        <f aca="false">L44+M43</f>
        <v>4826454.93</v>
      </c>
      <c r="N44" s="18" t="n">
        <f aca="false">M44+N43</f>
        <v>5343902.85267639</v>
      </c>
      <c r="O44" s="18" t="n">
        <f aca="false">N44+O43</f>
        <v>5901836.27590616</v>
      </c>
      <c r="P44" s="18" t="n">
        <f aca="false">O44+P43</f>
        <v>6534792.30695066</v>
      </c>
      <c r="Q44" s="18" t="n">
        <f aca="false">P44+Q43</f>
        <v>7229662.02227071</v>
      </c>
      <c r="R44" s="18" t="n">
        <f aca="false">Q44+R43</f>
        <v>7976055.56210616</v>
      </c>
      <c r="S44" s="18" t="n">
        <f aca="false">R44+S43</f>
        <v>8765413.19548562</v>
      </c>
      <c r="T44" s="18" t="n">
        <f aca="false">S44+T43</f>
        <v>9587427.02656163</v>
      </c>
      <c r="U44" s="18" t="n">
        <f aca="false">T44+U43</f>
        <v>10445926.2488115</v>
      </c>
      <c r="V44" s="18" t="n">
        <f aca="false">U44+V43</f>
        <v>11372483.2711583</v>
      </c>
      <c r="W44" s="16"/>
    </row>
    <row r="45" customFormat="false" ht="12.75" hidden="false" customHeight="false" outlineLevel="0" collapsed="false">
      <c r="D45" s="2"/>
      <c r="E45" s="2"/>
      <c r="F45" s="2"/>
      <c r="G45" s="2"/>
      <c r="H45" s="2"/>
      <c r="I45" s="2"/>
      <c r="J45" s="2"/>
      <c r="K45" s="2"/>
      <c r="L45" s="2"/>
      <c r="W45" s="16"/>
    </row>
    <row r="46" customFormat="false" ht="12.75" hidden="false" customHeight="false" outlineLevel="0" collapsed="false">
      <c r="A46" s="2" t="s">
        <v>65</v>
      </c>
      <c r="B46" s="2"/>
      <c r="C46" s="2" t="n">
        <f aca="false">+C34+C43</f>
        <v>0</v>
      </c>
      <c r="D46" s="2" t="n">
        <f aca="false">+D34+D43</f>
        <v>0</v>
      </c>
      <c r="E46" s="2" t="n">
        <f aca="false">+E34+E43</f>
        <v>0</v>
      </c>
      <c r="F46" s="2" t="n">
        <f aca="false">+F34+F43</f>
        <v>0</v>
      </c>
      <c r="G46" s="2" t="n">
        <f aca="false">+G34+G43</f>
        <v>0</v>
      </c>
      <c r="H46" s="2" t="n">
        <f aca="false">+H34+H43</f>
        <v>0</v>
      </c>
      <c r="I46" s="2" t="n">
        <f aca="false">+I34+I43</f>
        <v>0</v>
      </c>
      <c r="J46" s="2" t="n">
        <f aca="false">+J34+J43</f>
        <v>0</v>
      </c>
      <c r="K46" s="2" t="n">
        <f aca="false">+K34+K43</f>
        <v>0</v>
      </c>
      <c r="L46" s="2" t="n">
        <f aca="false">+L34+L43</f>
        <v>93152637</v>
      </c>
      <c r="M46" s="2" t="n">
        <f aca="false">+M34+M43</f>
        <v>709310.93</v>
      </c>
      <c r="N46" s="2" t="n">
        <f aca="false">+N34+N43</f>
        <v>2178270.25600972</v>
      </c>
      <c r="O46" s="2" t="n">
        <f aca="false">+O34+O43</f>
        <v>7520808.75656311</v>
      </c>
      <c r="P46" s="2" t="n">
        <f aca="false">+P34+P43</f>
        <v>13925350.2043778</v>
      </c>
      <c r="Q46" s="2" t="n">
        <f aca="false">+Q34+Q43</f>
        <v>11492132.3197645</v>
      </c>
      <c r="R46" s="2" t="n">
        <f aca="false">+R34+R43</f>
        <v>9563614.5042799</v>
      </c>
      <c r="S46" s="2" t="n">
        <f aca="false">+S34+S43</f>
        <v>7974796.74782391</v>
      </c>
      <c r="T46" s="2" t="n">
        <f aca="false">+T34+T43</f>
        <v>6061492.69552046</v>
      </c>
      <c r="U46" s="2" t="n">
        <f aca="false">+U34+U43</f>
        <v>6772249.91558323</v>
      </c>
      <c r="V46" s="2" t="n">
        <f aca="false">+V34+V43</f>
        <v>13688390.1256801</v>
      </c>
      <c r="W46" s="16" t="n">
        <f aca="false">SUM(C46:V46)</f>
        <v>173039053.455603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0</v>
      </c>
      <c r="D47" s="2" t="n">
        <f aca="false">D46</f>
        <v>0</v>
      </c>
      <c r="E47" s="2" t="n">
        <f aca="false">E46</f>
        <v>0</v>
      </c>
      <c r="F47" s="2" t="n">
        <f aca="false">F46</f>
        <v>0</v>
      </c>
      <c r="G47" s="2" t="n">
        <f aca="false">G46</f>
        <v>0</v>
      </c>
      <c r="H47" s="2" t="n">
        <f aca="false">H46</f>
        <v>0</v>
      </c>
      <c r="I47" s="2" t="n">
        <f aca="false">I46</f>
        <v>0</v>
      </c>
      <c r="J47" s="2" t="n">
        <f aca="false">J46</f>
        <v>0</v>
      </c>
      <c r="K47" s="2" t="n">
        <f aca="false">K46</f>
        <v>0</v>
      </c>
      <c r="L47" s="2" t="n">
        <f aca="false">L46</f>
        <v>93152637</v>
      </c>
      <c r="M47" s="2" t="n">
        <f aca="false">M46+L47</f>
        <v>93861947.93</v>
      </c>
      <c r="N47" s="2" t="n">
        <f aca="false">N46+M47</f>
        <v>96040218.1860097</v>
      </c>
      <c r="O47" s="2" t="n">
        <f aca="false">O46+N47</f>
        <v>103561026.942573</v>
      </c>
      <c r="P47" s="2" t="n">
        <f aca="false">P46+O47</f>
        <v>117486377.146951</v>
      </c>
      <c r="Q47" s="2" t="n">
        <f aca="false">Q46+P47</f>
        <v>128978509.466715</v>
      </c>
      <c r="R47" s="2" t="n">
        <f aca="false">R46+Q47</f>
        <v>138542123.970995</v>
      </c>
      <c r="S47" s="2" t="n">
        <f aca="false">S46+R47</f>
        <v>146516920.718819</v>
      </c>
      <c r="T47" s="2" t="n">
        <f aca="false">T46+S47</f>
        <v>152578413.414339</v>
      </c>
      <c r="U47" s="2" t="n">
        <f aca="false">U46+T47</f>
        <v>159350663.329923</v>
      </c>
      <c r="V47" s="2" t="n">
        <f aca="false">V46+U47</f>
        <v>173039053.455603</v>
      </c>
      <c r="W47" s="16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16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1" t="n">
        <f aca="false">+W46/C53/1000</f>
        <v>339.292261677653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94</v>
      </c>
      <c r="B51" s="2"/>
      <c r="C51" s="8" t="n">
        <v>0.065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16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95</v>
      </c>
      <c r="B52" s="2"/>
      <c r="C52" s="8" t="n">
        <v>0.0035</v>
      </c>
      <c r="D52" s="33" t="n">
        <v>174500000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16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44</v>
      </c>
      <c r="B53" s="2"/>
      <c r="C53" s="2" t="n">
        <v>510</v>
      </c>
      <c r="D53" s="2" t="s">
        <v>54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16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55</v>
      </c>
      <c r="C54" s="2" t="n">
        <v>0</v>
      </c>
      <c r="V54" s="1" t="n">
        <v>0</v>
      </c>
      <c r="W54" s="22" t="n">
        <f aca="false">SUM(C54:V54)</f>
        <v>0</v>
      </c>
      <c r="X54" s="17" t="str">
        <f aca="false">X41</f>
        <v>Rodney Malcolm</v>
      </c>
    </row>
    <row r="55" customFormat="false" ht="12.75" hidden="false" customHeight="false" outlineLevel="0" collapsed="false">
      <c r="A55" s="15"/>
      <c r="B55" s="2"/>
      <c r="C55" s="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6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" t="s">
        <v>56</v>
      </c>
      <c r="C56" s="2" t="n">
        <f aca="false">+C46-C39</f>
        <v>0</v>
      </c>
      <c r="D56" s="2" t="n">
        <f aca="false">+D46-D39</f>
        <v>0</v>
      </c>
      <c r="E56" s="2" t="n">
        <f aca="false">+E46-E39</f>
        <v>0</v>
      </c>
      <c r="F56" s="2" t="n">
        <f aca="false">+F46-F39</f>
        <v>0</v>
      </c>
      <c r="G56" s="2" t="n">
        <f aca="false">+G46-G39</f>
        <v>0</v>
      </c>
      <c r="H56" s="2" t="n">
        <f aca="false">+H46-H39</f>
        <v>0</v>
      </c>
      <c r="I56" s="2" t="n">
        <f aca="false">+I46-I39</f>
        <v>0</v>
      </c>
      <c r="J56" s="2" t="n">
        <f aca="false">+J46-J39</f>
        <v>0</v>
      </c>
      <c r="K56" s="2" t="n">
        <f aca="false">+K46-K39</f>
        <v>0</v>
      </c>
      <c r="L56" s="2"/>
      <c r="M56" s="2" t="n">
        <f aca="false">+M46-M39</f>
        <v>203642</v>
      </c>
      <c r="N56" s="2" t="n">
        <f aca="false">+N46-N39</f>
        <v>1660822.33333333</v>
      </c>
      <c r="O56" s="2" t="n">
        <f aca="false">+O46-O39</f>
        <v>6962875.33333333</v>
      </c>
      <c r="P56" s="2" t="n">
        <f aca="false">+P46-P39</f>
        <v>13292394.1733333</v>
      </c>
      <c r="Q56" s="2" t="n">
        <f aca="false">+Q46-Q39</f>
        <v>10797262.6044444</v>
      </c>
      <c r="R56" s="2" t="n">
        <f aca="false">+R46-R39</f>
        <v>8817220.96444445</v>
      </c>
      <c r="S56" s="2" t="n">
        <f aca="false">+S46-S39</f>
        <v>7185439.11444444</v>
      </c>
      <c r="T56" s="2" t="n">
        <f aca="false">+T46-T39</f>
        <v>5239478.86444445</v>
      </c>
      <c r="U56" s="2" t="n">
        <f aca="false">+U46-U39</f>
        <v>5913750.69333333</v>
      </c>
      <c r="V56" s="2" t="n">
        <f aca="false">+V46-V39</f>
        <v>12761833.1033333</v>
      </c>
      <c r="W56" s="16" t="n">
        <f aca="false">SUM(C56:V56)</f>
        <v>72834719.1844444</v>
      </c>
    </row>
    <row r="57" customFormat="false" ht="12.75" hidden="false" customHeight="false" outlineLevel="0" collapsed="false">
      <c r="W57" s="16"/>
    </row>
    <row r="58" customFormat="false" ht="12.75" hidden="false" customHeight="false" outlineLevel="0" collapsed="false">
      <c r="W58" s="16"/>
    </row>
    <row r="59" customFormat="false" ht="20.25" hidden="false" customHeight="false" outlineLevel="0" collapsed="false">
      <c r="A59" s="24" t="s">
        <v>80</v>
      </c>
      <c r="W59" s="16"/>
    </row>
    <row r="60" customFormat="false" ht="12.75" hidden="false" customHeight="false" outlineLevel="0" collapsed="false">
      <c r="A60" s="2" t="s">
        <v>116</v>
      </c>
      <c r="W60" s="16"/>
    </row>
    <row r="61" customFormat="false" ht="12.75" hidden="false" customHeight="false" outlineLevel="0" collapsed="false">
      <c r="A61" s="40" t="s">
        <v>117</v>
      </c>
      <c r="B61" s="41"/>
      <c r="H61" s="1" t="n">
        <f aca="false">135487+48439.18</f>
        <v>183926.18</v>
      </c>
      <c r="I61" s="1" t="n">
        <v>0</v>
      </c>
      <c r="J61" s="1" t="n">
        <v>2645</v>
      </c>
      <c r="K61" s="1" t="n">
        <v>0</v>
      </c>
      <c r="L61" s="1" t="n">
        <f aca="false">-SUM(G61:K61)-M61</f>
        <v>-194774.18</v>
      </c>
      <c r="M61" s="1" t="n">
        <v>8203</v>
      </c>
      <c r="Q61" s="1" t="n">
        <v>0</v>
      </c>
      <c r="W61" s="16" t="n">
        <f aca="false">SUM(C61:V61)</f>
        <v>0</v>
      </c>
      <c r="X61" s="40" t="s">
        <v>117</v>
      </c>
      <c r="Z61" s="1" t="n">
        <f aca="false">W61+W25</f>
        <v>540000</v>
      </c>
      <c r="AA61" s="1" t="n">
        <f aca="false">[1]Gleason!$BT$190</f>
        <v>540000</v>
      </c>
      <c r="AB61" s="1" t="n">
        <f aca="false">Z61-AA61</f>
        <v>0</v>
      </c>
    </row>
    <row r="62" customFormat="false" ht="12.75" hidden="false" customHeight="false" outlineLevel="0" collapsed="false">
      <c r="A62" s="40" t="s">
        <v>118</v>
      </c>
      <c r="B62" s="41"/>
      <c r="E62" s="1" t="n">
        <v>0</v>
      </c>
      <c r="F62" s="1" t="n">
        <v>3543</v>
      </c>
      <c r="H62" s="1" t="n">
        <v>2193</v>
      </c>
      <c r="I62" s="1" t="n">
        <v>0</v>
      </c>
      <c r="K62" s="1" t="n">
        <v>0</v>
      </c>
      <c r="L62" s="1" t="n">
        <f aca="false">-SUM(G62:K62)</f>
        <v>-2193</v>
      </c>
      <c r="W62" s="16" t="n">
        <f aca="false">SUM(C62:V62)</f>
        <v>3543</v>
      </c>
      <c r="X62" s="40" t="s">
        <v>118</v>
      </c>
      <c r="Z62" s="1" t="n">
        <f aca="false">W62+W33</f>
        <v>500000</v>
      </c>
      <c r="AA62" s="1" t="n">
        <f aca="false">[1]Gleason!$BT$224</f>
        <v>500000</v>
      </c>
      <c r="AB62" s="1" t="n">
        <f aca="false">Z62-AA62</f>
        <v>0</v>
      </c>
    </row>
    <row r="63" customFormat="false" ht="12.75" hidden="false" customHeight="false" outlineLevel="0" collapsed="false">
      <c r="A63" s="40" t="s">
        <v>119</v>
      </c>
      <c r="B63" s="41"/>
      <c r="D63" s="1" t="n">
        <v>0</v>
      </c>
      <c r="I63" s="1" t="n">
        <v>0</v>
      </c>
      <c r="K63" s="1" t="n">
        <v>0</v>
      </c>
      <c r="L63" s="1" t="n">
        <f aca="false">-SUM(G63:K63)</f>
        <v>-0</v>
      </c>
      <c r="W63" s="16" t="n">
        <f aca="false">SUM(C63:V63)</f>
        <v>0</v>
      </c>
      <c r="X63" s="40" t="s">
        <v>119</v>
      </c>
      <c r="Z63" s="1" t="n">
        <f aca="false">W63</f>
        <v>0</v>
      </c>
      <c r="AA63" s="1" t="n">
        <v>0</v>
      </c>
      <c r="AB63" s="1" t="n">
        <f aca="false">Z63-AA63</f>
        <v>0</v>
      </c>
    </row>
    <row r="64" customFormat="false" ht="12.75" hidden="false" customHeight="false" outlineLevel="0" collapsed="false">
      <c r="A64" s="40" t="s">
        <v>120</v>
      </c>
      <c r="B64" s="41"/>
      <c r="C64" s="2" t="n">
        <v>0</v>
      </c>
      <c r="D64" s="1" t="n">
        <v>0</v>
      </c>
      <c r="E64" s="1" t="n">
        <v>5000</v>
      </c>
      <c r="F64" s="1" t="n">
        <f aca="false">716+188</f>
        <v>904</v>
      </c>
      <c r="G64" s="1" t="n">
        <v>7490.5</v>
      </c>
      <c r="H64" s="1" t="n">
        <v>2410.51</v>
      </c>
      <c r="I64" s="1" t="n">
        <v>0</v>
      </c>
      <c r="L64" s="1" t="n">
        <f aca="false">-SUM(G64:K64)</f>
        <v>-9901.01</v>
      </c>
      <c r="W64" s="16" t="n">
        <f aca="false">SUM(C64:V64)</f>
        <v>5904</v>
      </c>
      <c r="X64" s="40" t="s">
        <v>120</v>
      </c>
      <c r="Z64" s="1" t="n">
        <f aca="false">W64+W32</f>
        <v>623216.44</v>
      </c>
      <c r="AA64" s="1" t="n">
        <f aca="false">[1]Gleason!$BT$218</f>
        <v>623216.18</v>
      </c>
      <c r="AB64" s="1" t="n">
        <f aca="false">Z64-AA64</f>
        <v>0.259999999892898</v>
      </c>
    </row>
    <row r="65" customFormat="false" ht="12.75" hidden="false" customHeight="false" outlineLevel="0" collapsed="false">
      <c r="A65" s="40" t="s">
        <v>39</v>
      </c>
      <c r="B65" s="41"/>
      <c r="F65" s="1" t="n">
        <v>11817</v>
      </c>
      <c r="G65" s="1" t="n">
        <v>1079</v>
      </c>
      <c r="H65" s="1" t="n">
        <f aca="false">862+910.57</f>
        <v>1772.57</v>
      </c>
      <c r="I65" s="1" t="n">
        <v>0</v>
      </c>
      <c r="K65" s="1" t="n">
        <v>0</v>
      </c>
      <c r="L65" s="1" t="n">
        <f aca="false">-SUM(G65:K65)+1362.81</f>
        <v>-1488.76</v>
      </c>
      <c r="W65" s="16" t="n">
        <f aca="false">SUM(C65:V65)</f>
        <v>13179.81</v>
      </c>
      <c r="X65" s="40" t="s">
        <v>39</v>
      </c>
      <c r="Z65" s="1" t="n">
        <f aca="false">W65+W31</f>
        <v>200000.254444444</v>
      </c>
      <c r="AA65" s="1" t="n">
        <f aca="false">[1]Gleason!$BT$209</f>
        <v>200000</v>
      </c>
      <c r="AB65" s="1" t="n">
        <f aca="false">Z65-AA65</f>
        <v>0.254444444435649</v>
      </c>
    </row>
    <row r="66" customFormat="false" ht="12.75" hidden="false" customHeight="false" outlineLevel="0" collapsed="false">
      <c r="A66" s="2" t="s">
        <v>121</v>
      </c>
      <c r="C66" s="18" t="n">
        <f aca="false">SUM(C61:C65)</f>
        <v>0</v>
      </c>
      <c r="D66" s="18" t="n">
        <f aca="false">SUM(D61:D65)</f>
        <v>0</v>
      </c>
      <c r="E66" s="18" t="n">
        <f aca="false">SUM(E61:E65)</f>
        <v>5000</v>
      </c>
      <c r="F66" s="18" t="n">
        <f aca="false">SUM(F61:F65)</f>
        <v>16264</v>
      </c>
      <c r="G66" s="18" t="n">
        <f aca="false">SUM(G61:G65)</f>
        <v>8569.5</v>
      </c>
      <c r="H66" s="18" t="n">
        <f aca="false">SUM(H61:H65)</f>
        <v>190302.26</v>
      </c>
      <c r="I66" s="18" t="n">
        <f aca="false">SUM(I61:I65)</f>
        <v>0</v>
      </c>
      <c r="J66" s="18" t="n">
        <f aca="false">SUM(J61:J65)</f>
        <v>2645</v>
      </c>
      <c r="K66" s="18" t="n">
        <f aca="false">SUM(K61:K65)</f>
        <v>0</v>
      </c>
      <c r="L66" s="18" t="n">
        <f aca="false">SUM(L61:L65)</f>
        <v>-208356.95</v>
      </c>
      <c r="M66" s="18" t="n">
        <f aca="false">SUM(M61:M65)</f>
        <v>8203</v>
      </c>
      <c r="N66" s="18" t="n">
        <f aca="false">SUM(N61:N65)</f>
        <v>0</v>
      </c>
      <c r="O66" s="18" t="n">
        <f aca="false">SUM(O61:O65)</f>
        <v>0</v>
      </c>
      <c r="P66" s="18" t="n">
        <f aca="false">SUM(P61:P65)</f>
        <v>0</v>
      </c>
      <c r="Q66" s="18" t="n">
        <f aca="false">SUM(Q61:Q65)</f>
        <v>0</v>
      </c>
      <c r="R66" s="18" t="n">
        <f aca="false">SUM(R61:R65)</f>
        <v>0</v>
      </c>
      <c r="S66" s="18" t="n">
        <f aca="false">SUM(S61:S65)</f>
        <v>0</v>
      </c>
      <c r="T66" s="18" t="n">
        <f aca="false">SUM(T61:T65)</f>
        <v>0</v>
      </c>
      <c r="U66" s="18" t="n">
        <f aca="false">SUM(U61:U65)</f>
        <v>0</v>
      </c>
      <c r="V66" s="18" t="n">
        <f aca="false">SUM(V61:V65)</f>
        <v>0</v>
      </c>
      <c r="W66" s="19" t="n">
        <f aca="false">SUM(C66:V66)</f>
        <v>22626.81</v>
      </c>
    </row>
    <row r="67" customFormat="false" ht="12.7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6"/>
    </row>
    <row r="68" customFormat="false" ht="12.75" hidden="false" customHeight="false" outlineLevel="0" collapsed="false">
      <c r="A68" s="1" t="s">
        <v>97</v>
      </c>
      <c r="G68" s="1" t="n">
        <v>0</v>
      </c>
      <c r="H68" s="1" t="n">
        <v>0</v>
      </c>
      <c r="I68" s="1" t="n">
        <v>0</v>
      </c>
      <c r="J68" s="1" t="n">
        <v>0</v>
      </c>
      <c r="K68" s="1" t="n">
        <v>0</v>
      </c>
      <c r="L68" s="1" t="n">
        <v>0</v>
      </c>
      <c r="O68" s="1" t="n">
        <f aca="false">[1]Gleason!$AR$237</f>
        <v>0</v>
      </c>
      <c r="W68" s="16" t="n">
        <f aca="false">SUM(C68:V68)</f>
        <v>0</v>
      </c>
    </row>
    <row r="69" customFormat="false" ht="12.75" hidden="false" customHeight="false" outlineLevel="0" collapsed="false">
      <c r="A69" s="18" t="s">
        <v>98</v>
      </c>
      <c r="B69" s="34"/>
      <c r="C69" s="18" t="n">
        <f aca="false">SUM(C68)</f>
        <v>0</v>
      </c>
      <c r="D69" s="18" t="n">
        <f aca="false">SUM(D66:D68)</f>
        <v>0</v>
      </c>
      <c r="E69" s="18" t="n">
        <f aca="false">SUM(E66:E68)</f>
        <v>5000</v>
      </c>
      <c r="F69" s="18" t="n">
        <f aca="false">SUM(F66:F68)</f>
        <v>16264</v>
      </c>
      <c r="G69" s="18" t="n">
        <f aca="false">SUM(G66:G68)</f>
        <v>8569.5</v>
      </c>
      <c r="H69" s="18" t="n">
        <f aca="false">SUM(H66:H68)</f>
        <v>190302.26</v>
      </c>
      <c r="I69" s="18" t="n">
        <f aca="false">SUM(I66:I68)</f>
        <v>0</v>
      </c>
      <c r="J69" s="18" t="n">
        <f aca="false">SUM(J66:J68)</f>
        <v>2645</v>
      </c>
      <c r="K69" s="18" t="n">
        <f aca="false">SUM(K66:K68)</f>
        <v>0</v>
      </c>
      <c r="L69" s="18" t="n">
        <f aca="false">SUM(L66:L68)</f>
        <v>-208356.95</v>
      </c>
      <c r="M69" s="18" t="n">
        <f aca="false">SUM(M66:M68)</f>
        <v>8203</v>
      </c>
      <c r="N69" s="18" t="n">
        <f aca="false">SUM(N66:N68)</f>
        <v>0</v>
      </c>
      <c r="O69" s="18" t="n">
        <f aca="false">SUM(O66:O68)</f>
        <v>0</v>
      </c>
      <c r="P69" s="18" t="n">
        <f aca="false">SUM(P66:P68)</f>
        <v>0</v>
      </c>
      <c r="Q69" s="18" t="n">
        <f aca="false">SUM(Q66:Q68)</f>
        <v>0</v>
      </c>
      <c r="R69" s="18" t="n">
        <f aca="false">SUM(R66:R68)</f>
        <v>0</v>
      </c>
      <c r="S69" s="18" t="n">
        <f aca="false">SUM(S66:S68)</f>
        <v>0</v>
      </c>
      <c r="T69" s="18" t="n">
        <f aca="false">SUM(T66:T68)</f>
        <v>0</v>
      </c>
      <c r="U69" s="18" t="n">
        <f aca="false">SUM(U66:U68)</f>
        <v>0</v>
      </c>
      <c r="V69" s="18" t="n">
        <f aca="false">SUM(V66:V68)</f>
        <v>0</v>
      </c>
      <c r="W69" s="18" t="n">
        <f aca="false">SUM(W66:W68)</f>
        <v>22626.81</v>
      </c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</row>
    <row r="70" customFormat="false" ht="12.75" hidden="false" customHeight="false" outlineLevel="0" collapsed="false">
      <c r="A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6"/>
    </row>
    <row r="71" customFormat="false" ht="12.75" hidden="false" customHeight="false" outlineLevel="0" collapsed="false">
      <c r="W71" s="16"/>
    </row>
    <row r="72" customFormat="false" ht="12.75" hidden="false" customHeight="false" outlineLevel="0" collapsed="false">
      <c r="A72" s="2" t="s">
        <v>122</v>
      </c>
      <c r="C72" s="2" t="n">
        <f aca="false">+C46+C69+C66</f>
        <v>0</v>
      </c>
      <c r="D72" s="2" t="n">
        <f aca="false">+D46+D69+D66</f>
        <v>0</v>
      </c>
      <c r="E72" s="2" t="n">
        <f aca="false">+E69+E46</f>
        <v>5000</v>
      </c>
      <c r="F72" s="2" t="n">
        <f aca="false">+F69+F46</f>
        <v>16264</v>
      </c>
      <c r="G72" s="2" t="n">
        <f aca="false">+G69+G46</f>
        <v>8569.5</v>
      </c>
      <c r="H72" s="2" t="n">
        <f aca="false">+H69+H46</f>
        <v>190302.26</v>
      </c>
      <c r="I72" s="2" t="n">
        <f aca="false">+I69+I46</f>
        <v>0</v>
      </c>
      <c r="J72" s="2" t="n">
        <f aca="false">+J69+J46</f>
        <v>2645</v>
      </c>
      <c r="K72" s="2" t="n">
        <f aca="false">+K69+K46</f>
        <v>0</v>
      </c>
      <c r="L72" s="2" t="n">
        <f aca="false">D69:L69+L46</f>
        <v>92944280.05</v>
      </c>
      <c r="M72" s="2" t="n">
        <f aca="false">+M69+M46</f>
        <v>717513.93</v>
      </c>
      <c r="N72" s="2" t="n">
        <f aca="false">+N69+N46</f>
        <v>2178270.25600972</v>
      </c>
      <c r="O72" s="2" t="n">
        <f aca="false">+O69+O46</f>
        <v>7520808.75656311</v>
      </c>
      <c r="P72" s="2" t="n">
        <f aca="false">+P69+P46</f>
        <v>13925350.2043778</v>
      </c>
      <c r="Q72" s="2" t="n">
        <f aca="false">+Q69+Q46</f>
        <v>11492132.3197645</v>
      </c>
      <c r="R72" s="2" t="n">
        <f aca="false">+R69+R46</f>
        <v>9563614.5042799</v>
      </c>
      <c r="S72" s="2" t="n">
        <f aca="false">+S69+S46</f>
        <v>7974796.74782391</v>
      </c>
      <c r="T72" s="2" t="n">
        <f aca="false">+T69+T46</f>
        <v>6061492.69552046</v>
      </c>
      <c r="U72" s="2" t="n">
        <f aca="false">+U69+U46</f>
        <v>6772249.91558323</v>
      </c>
      <c r="V72" s="2" t="n">
        <f aca="false">+V69+V46</f>
        <v>13688390.1256801</v>
      </c>
      <c r="W72" s="2" t="n">
        <f aca="false">SUM(C72:V72)</f>
        <v>173061680.265603</v>
      </c>
    </row>
    <row r="73" customFormat="false" ht="12.75" hidden="false" customHeight="false" outlineLevel="0" collapsed="false">
      <c r="W73" s="2" t="n">
        <f aca="false">W72-[1]Gleason!$BT$240</f>
        <v>0.00444447994232178</v>
      </c>
    </row>
  </sheetData>
  <mergeCells count="1">
    <mergeCell ref="Q5:W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3.99"/>
    <col collapsed="false" customWidth="true" hidden="false" outlineLevel="0" max="11" min="5" style="1" width="11.28"/>
    <col collapsed="false" customWidth="true" hidden="false" outlineLevel="0" max="12" min="12" style="1" width="12.14"/>
    <col collapsed="false" customWidth="true" hidden="false" outlineLevel="0" max="13" min="13" style="1" width="11.28"/>
    <col collapsed="false" customWidth="true" hidden="false" outlineLevel="0" max="21" min="14" style="1" width="12.28"/>
    <col collapsed="false" customWidth="true" hidden="false" outlineLevel="0" max="22" min="22" style="2" width="13.85"/>
    <col collapsed="false" customWidth="true" hidden="false" outlineLevel="0" max="23" min="23" style="1" width="19.99"/>
    <col collapsed="false" customWidth="true" hidden="false" outlineLevel="0" max="24" min="24" style="1" width="12.28"/>
    <col collapsed="false" customWidth="true" hidden="false" outlineLevel="0" max="25" min="25" style="1" width="10.85"/>
    <col collapsed="false" customWidth="false" hidden="false" outlineLevel="0" max="257" min="26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3,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XML/filtered-attachments/xls/Draw_Sched___121499.xls'#$Wheatland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45926.9532351306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V8" s="16"/>
    </row>
    <row r="9" customFormat="false" ht="12.75" hidden="false" customHeight="false" outlineLevel="0" collapsed="false">
      <c r="A9" s="9" t="s">
        <v>67</v>
      </c>
      <c r="V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1072769</v>
      </c>
      <c r="P10" s="1" t="n">
        <f aca="false">1072769-318421</f>
        <v>754348</v>
      </c>
      <c r="Q10" s="1" t="n">
        <v>100000</v>
      </c>
      <c r="R10" s="1" t="n">
        <v>1072769</v>
      </c>
      <c r="T10" s="1" t="n">
        <v>231601</v>
      </c>
      <c r="U10" s="1" t="n">
        <f aca="false">85821500-81565943+66200+1033169</f>
        <v>5354926</v>
      </c>
      <c r="V10" s="16" t="n">
        <f aca="false">SUM(C10:U10)</f>
        <v>86219301.23</v>
      </c>
      <c r="W10" s="23" t="s">
        <v>23</v>
      </c>
      <c r="X10" s="1" t="n">
        <f aca="false">[1]Wheatland!$BR$12</f>
        <v>86219301</v>
      </c>
      <c r="Y10" s="1" t="n">
        <f aca="false">V10-X10</f>
        <v>0.230000004172325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595253.1</v>
      </c>
      <c r="Q11" s="1" t="n">
        <v>595253.1</v>
      </c>
      <c r="R11" s="1" t="n">
        <v>793670.8</v>
      </c>
      <c r="S11" s="1" t="n">
        <v>0</v>
      </c>
      <c r="V11" s="16" t="n">
        <f aca="false">SUM(C11:U11)</f>
        <v>4440534.3</v>
      </c>
      <c r="W11" s="23" t="s">
        <v>23</v>
      </c>
      <c r="X11" s="1" t="n">
        <f aca="false">[1]Wheatland!$BR$32</f>
        <v>4440534</v>
      </c>
      <c r="Y11" s="1" t="n">
        <f aca="false">V11-X11</f>
        <v>0.299999999813736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O12" s="1" t="n">
        <f aca="false">(0.2689-0.1174)*X12</f>
        <v>1924240.1325</v>
      </c>
      <c r="P12" s="1" t="n">
        <f aca="false">(0.4673-0.2689)*X12</f>
        <v>2519928.992</v>
      </c>
      <c r="Q12" s="1" t="n">
        <f aca="false">(0.6503-0.4673)*X12</f>
        <v>2324329.665</v>
      </c>
      <c r="R12" s="1" t="n">
        <f aca="false">(0.7833-0.6503)*X12</f>
        <v>1689266.915</v>
      </c>
      <c r="S12" s="1" t="n">
        <f aca="false">(0.8703-0.7833)*X12</f>
        <v>1105009.185</v>
      </c>
      <c r="T12" s="1" t="n">
        <f aca="false">(0.9476-0.8703)*X12</f>
        <v>981807.011500001</v>
      </c>
      <c r="U12" s="1" t="n">
        <f aca="false">(1-0.9476)*X12</f>
        <v>665545.762</v>
      </c>
      <c r="V12" s="16" t="n">
        <f aca="false">SUM(C12:U12)</f>
        <v>11837073.663</v>
      </c>
      <c r="W12" s="23" t="s">
        <v>23</v>
      </c>
      <c r="X12" s="1" t="n">
        <f aca="false">[1]Wheatland!$BR$56</f>
        <v>12701255</v>
      </c>
      <c r="Y12" s="1" t="n">
        <f aca="false">V12-X12</f>
        <v>-864181.336999999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O13" s="1" t="n">
        <f aca="false">(0.2689-0.1174)*X13</f>
        <v>793918.176</v>
      </c>
      <c r="P13" s="1" t="n">
        <f aca="false">(0.4673-0.2689)*X13</f>
        <v>1039692.1856</v>
      </c>
      <c r="Q13" s="1" t="n">
        <f aca="false">(0.6503-0.4673)*X13</f>
        <v>958990.272</v>
      </c>
      <c r="R13" s="1" t="n">
        <f aca="false">(0.7833-0.6503)*X13</f>
        <v>696971.072</v>
      </c>
      <c r="S13" s="1" t="n">
        <f aca="false">(0.8703-0.7833)*X13</f>
        <v>455913.408</v>
      </c>
      <c r="T13" s="1" t="n">
        <f aca="false">(0.9476-0.8703)*X13</f>
        <v>405081.6832</v>
      </c>
      <c r="U13" s="1" t="n">
        <f aca="false">(1-0.9476)*X13</f>
        <v>274596.1216</v>
      </c>
      <c r="V13" s="16" t="n">
        <f aca="false">SUM(C13:U13)</f>
        <v>4740695.9184</v>
      </c>
      <c r="W13" s="23"/>
      <c r="X13" s="1" t="n">
        <f aca="false">[1]Wheatland!$BR$82</f>
        <v>5240384</v>
      </c>
      <c r="Y13" s="1" t="n">
        <f aca="false">V13-X13</f>
        <v>-499688.0816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O14" s="1" t="n">
        <f aca="false">(0.2689-0.1174)*X14</f>
        <v>1844779.2915</v>
      </c>
      <c r="P14" s="1" t="n">
        <f aca="false">(0.4673-0.2689)*X14</f>
        <v>2415869.3824</v>
      </c>
      <c r="Q14" s="1" t="n">
        <f aca="false">(0.6503-0.4673)*X14</f>
        <v>2228347.263</v>
      </c>
      <c r="R14" s="1" t="n">
        <f aca="false">(0.7833-0.6503)*X14</f>
        <v>1619509.213</v>
      </c>
      <c r="S14" s="1" t="n">
        <f aca="false">(0.8703-0.7833)*X14</f>
        <v>1059378.207</v>
      </c>
      <c r="T14" s="1" t="n">
        <f aca="false">(0.9476-0.8703)*X14</f>
        <v>941263.6253</v>
      </c>
      <c r="U14" s="1" t="n">
        <f aca="false">(1-0.9476)*X14</f>
        <v>638062.2764</v>
      </c>
      <c r="V14" s="16" t="n">
        <f aca="false">SUM(C14:U14)</f>
        <v>10808552.2586</v>
      </c>
      <c r="W14" s="23"/>
      <c r="X14" s="1" t="n">
        <f aca="false">[1]Wheatland!$BR$114</f>
        <v>12176761</v>
      </c>
      <c r="Y14" s="1" t="n">
        <f aca="false">V14-X14</f>
        <v>-1368208.7414</v>
      </c>
    </row>
    <row r="15" customFormat="false" ht="12.75" hidden="false" customHeight="false" outlineLevel="0" collapsed="false">
      <c r="A15" s="1" t="s">
        <v>104</v>
      </c>
      <c r="N15" s="1" t="n">
        <v>0</v>
      </c>
      <c r="O15" s="1" t="n">
        <f aca="false">(0.2689-0.1174)*X15</f>
        <v>1496890.296</v>
      </c>
      <c r="P15" s="1" t="n">
        <f aca="false">(0.4673-0.2689)*X15</f>
        <v>1960284.0576</v>
      </c>
      <c r="Q15" s="1" t="n">
        <f aca="false">(0.6503-0.4673)*X15</f>
        <v>1808124.912</v>
      </c>
      <c r="R15" s="1" t="n">
        <f aca="false">(0.7833-0.6503)*X15</f>
        <v>1314101.712</v>
      </c>
      <c r="S15" s="1" t="n">
        <f aca="false">(0.8703-0.7833)*X15</f>
        <v>859600.368</v>
      </c>
      <c r="T15" s="1" t="n">
        <f aca="false">(0.9476-0.8703)*X15</f>
        <v>763759.8672</v>
      </c>
      <c r="U15" s="1" t="n">
        <f aca="false">(1-0.9476)*X15</f>
        <v>517736.3136</v>
      </c>
      <c r="V15" s="16" t="n">
        <f aca="false">SUM(C15:U15)</f>
        <v>8720497.5264</v>
      </c>
      <c r="W15" s="23"/>
      <c r="X15" s="1" t="n">
        <f aca="false">[1]Wheatland!$BR$119</f>
        <v>9880464</v>
      </c>
      <c r="Y15" s="1" t="n">
        <f aca="false">V15-X15</f>
        <v>-1159966.4736</v>
      </c>
    </row>
    <row r="16" customFormat="false" ht="12.75" hidden="false" customHeight="false" outlineLevel="0" collapsed="false">
      <c r="A16" s="1" t="s">
        <v>105</v>
      </c>
      <c r="U16" s="1" t="n">
        <v>50000</v>
      </c>
      <c r="V16" s="16" t="n">
        <f aca="false">SUM(C16:U16)</f>
        <v>50000</v>
      </c>
      <c r="W16" s="23"/>
      <c r="X16" s="1" t="n">
        <f aca="false">[1]Wheatland!$BR$153</f>
        <v>50000</v>
      </c>
      <c r="Y16" s="1" t="n">
        <f aca="false">V16-X16</f>
        <v>0</v>
      </c>
    </row>
    <row r="17" customFormat="false" ht="12.75" hidden="false" customHeight="false" outlineLevel="0" collapsed="false">
      <c r="A17" s="1" t="s">
        <v>106</v>
      </c>
      <c r="N17" s="1" t="n">
        <v>3651557</v>
      </c>
      <c r="O17" s="1" t="n">
        <v>240488</v>
      </c>
      <c r="V17" s="16" t="n">
        <f aca="false">SUM(C17:U17)</f>
        <v>3892045</v>
      </c>
      <c r="W17" s="23"/>
      <c r="Y17" s="1" t="n">
        <f aca="false">V17-X17</f>
        <v>3892045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f aca="false">929800/12</f>
        <v>77483.3333333333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V18" s="16" t="n">
        <f aca="false">SUM(C18:U18)</f>
        <v>929800</v>
      </c>
      <c r="W18" s="23"/>
      <c r="X18" s="1" t="n">
        <f aca="false">[1]Wheatland!$BR$127</f>
        <v>929800</v>
      </c>
      <c r="Y18" s="1" t="n">
        <f aca="false">V18-X18</f>
        <v>0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f aca="false">2386700/12</f>
        <v>198891.666666667</v>
      </c>
      <c r="P19" s="1" t="n">
        <f aca="false">2386700/12</f>
        <v>198891.666666667</v>
      </c>
      <c r="Q19" s="1" t="n">
        <f aca="false">2386700/12</f>
        <v>198891.666666667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</f>
        <v>198900.666666667</v>
      </c>
      <c r="V19" s="16" t="n">
        <f aca="false">SUM(C19:U19)</f>
        <v>2386700.00333333</v>
      </c>
      <c r="W19" s="23"/>
      <c r="X19" s="1" t="n">
        <f aca="false">[1]Wheatland!$BR$128</f>
        <v>2386700</v>
      </c>
      <c r="Y19" s="1" t="n">
        <f aca="false">V19-X19</f>
        <v>0.00333333294838667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V20" s="16" t="n">
        <f aca="false">SUM(C20:U20)</f>
        <v>3066700</v>
      </c>
      <c r="W20" s="23"/>
      <c r="X20" s="1" t="n">
        <f aca="false">[1]Wheatland!$BR$129</f>
        <v>3066700</v>
      </c>
      <c r="Y20" s="1" t="n">
        <f aca="false">V20-X20</f>
        <v>0</v>
      </c>
    </row>
    <row r="21" customFormat="false" ht="12.75" hidden="false" customHeight="false" outlineLevel="0" collapsed="false">
      <c r="A21" s="1" t="s">
        <v>27</v>
      </c>
      <c r="C21" s="2" t="n">
        <v>0</v>
      </c>
      <c r="P21" s="1" t="n">
        <v>125000</v>
      </c>
      <c r="Q21" s="1" t="n">
        <v>125000</v>
      </c>
      <c r="R21" s="1" t="n">
        <v>125000</v>
      </c>
      <c r="S21" s="1" t="n">
        <v>125000</v>
      </c>
      <c r="T21" s="1" t="n">
        <v>125000</v>
      </c>
      <c r="U21" s="1" t="n">
        <f aca="false">908786-625000</f>
        <v>283786</v>
      </c>
      <c r="V21" s="16" t="n">
        <f aca="false">SUM(C21:U21)</f>
        <v>908786</v>
      </c>
      <c r="W21" s="23" t="s">
        <v>28</v>
      </c>
      <c r="X21" s="1" t="n">
        <v>908786</v>
      </c>
      <c r="Y21" s="1" t="n">
        <f aca="false">V21-X21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U22" s="1" t="n">
        <f aca="false">1500000-38084</f>
        <v>1461916</v>
      </c>
      <c r="V22" s="16" t="n">
        <f aca="false">SUM(C22:U22)</f>
        <v>1500000</v>
      </c>
      <c r="W22" s="23"/>
      <c r="X22" s="1" t="n">
        <f aca="false">[1]Wheatland!$BR$151</f>
        <v>1500000</v>
      </c>
      <c r="Y22" s="1" t="n">
        <f aca="false">V22-X22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V23" s="16" t="n">
        <f aca="false">SUM(C23:U23)</f>
        <v>1172731</v>
      </c>
      <c r="W23" s="23" t="str">
        <f aca="false">W12</f>
        <v>Mike Miller</v>
      </c>
      <c r="X23" s="1" t="n">
        <f aca="false">[1]Wheatland!$BR$155</f>
        <v>1172731</v>
      </c>
      <c r="Y23" s="1" t="n">
        <f aca="false">V23-X23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1000</v>
      </c>
      <c r="V24" s="16" t="n">
        <f aca="false">SUM(C24:U24)</f>
        <v>1112944.26</v>
      </c>
      <c r="W24" s="23" t="s">
        <v>69</v>
      </c>
      <c r="X24" s="1" t="n">
        <f aca="false">[1]Wheatland!$BR$162</f>
        <v>1112944</v>
      </c>
      <c r="Y24" s="1" t="n">
        <f aca="false">V24-X24</f>
        <v>0.260000000009313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53061</v>
      </c>
      <c r="P25" s="1" t="n">
        <v>48575</v>
      </c>
      <c r="V25" s="16" t="n">
        <f aca="false">SUM(C25:U25)</f>
        <v>313820.42</v>
      </c>
      <c r="W25" s="23" t="str">
        <f aca="false">W24</f>
        <v>Steve Dowd</v>
      </c>
    </row>
    <row r="26" customFormat="false" ht="12.75" hidden="false" customHeight="false" outlineLevel="0" collapsed="false">
      <c r="A26" s="1" t="s">
        <v>107</v>
      </c>
      <c r="C26" s="2" t="n">
        <v>0</v>
      </c>
      <c r="F26" s="15"/>
      <c r="L26" s="1" t="n">
        <v>10000</v>
      </c>
      <c r="P26" s="1" t="n">
        <v>500000</v>
      </c>
      <c r="Q26" s="1" t="n">
        <v>500000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v>1500000</v>
      </c>
      <c r="V26" s="16" t="n">
        <f aca="false">SUM(C26:U26)</f>
        <v>5000000</v>
      </c>
      <c r="W26" s="23" t="s">
        <v>34</v>
      </c>
      <c r="X26" s="1" t="n">
        <f aca="false">[1]Wheatland!$BR$171</f>
        <v>5000000</v>
      </c>
      <c r="Y26" s="1" t="n">
        <f aca="false">V26-X26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Q27" s="1" t="n">
        <v>500000</v>
      </c>
      <c r="R27" s="1" t="n">
        <v>166666.666666667</v>
      </c>
      <c r="S27" s="1" t="n">
        <v>166666.666666667</v>
      </c>
      <c r="T27" s="1" t="n">
        <v>166666.666666667</v>
      </c>
      <c r="U27" s="1" t="n">
        <v>500000</v>
      </c>
      <c r="V27" s="16" t="n">
        <f aca="false">SUM(C27:U27)</f>
        <v>1500000</v>
      </c>
      <c r="W27" s="23" t="s">
        <v>34</v>
      </c>
      <c r="X27" s="1" t="n">
        <f aca="false">[1]Wheatland!$BR$173</f>
        <v>1500000</v>
      </c>
      <c r="Y27" s="1" t="n">
        <f aca="false">V27-X27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V28" s="16" t="n">
        <f aca="false">SUM(C28:U28)</f>
        <v>1000000</v>
      </c>
      <c r="W28" s="23" t="str">
        <f aca="false">W21</f>
        <v>Kevin Presto</v>
      </c>
      <c r="X28" s="1" t="n">
        <f aca="false">[1]Wheatland!$BR$179</f>
        <v>1000000</v>
      </c>
      <c r="Y28" s="1" t="n">
        <f aca="false">V28-X28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V29" s="16" t="n">
        <f aca="false">SUM(C29:U29)</f>
        <v>0</v>
      </c>
      <c r="W29" s="23" t="s">
        <v>64</v>
      </c>
      <c r="X29" s="1" t="n">
        <v>0</v>
      </c>
      <c r="Y29" s="1" t="n">
        <f aca="false">V29-X29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200000</v>
      </c>
      <c r="V30" s="16" t="n">
        <f aca="false">SUM(C30:U30)</f>
        <v>200000</v>
      </c>
      <c r="W30" s="23"/>
      <c r="X30" s="1" t="n">
        <f aca="false">[1]Wheatland!$BR$181</f>
        <v>200000</v>
      </c>
      <c r="Y30" s="1" t="n">
        <f aca="false">V30-X30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11111.1111111111</v>
      </c>
      <c r="P31" s="1" t="n">
        <v>11111.1111111111</v>
      </c>
      <c r="Q31" s="1" t="n">
        <v>11111.1111111111</v>
      </c>
      <c r="R31" s="1" t="n">
        <v>11111.1111111111</v>
      </c>
      <c r="S31" s="1" t="n">
        <v>11111.1111111111</v>
      </c>
      <c r="T31" s="1" t="n">
        <v>11111.1111111111</v>
      </c>
      <c r="U31" s="1" t="n">
        <f aca="false">3500+37229</f>
        <v>40729</v>
      </c>
      <c r="V31" s="16" t="n">
        <f aca="false">SUM(C31:U31)</f>
        <v>185198.226666667</v>
      </c>
      <c r="W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f aca="false">28571.4285714286+191013</f>
        <v>219584.428571429</v>
      </c>
      <c r="P32" s="1" t="n">
        <v>28571.4285714286</v>
      </c>
      <c r="Q32" s="1" t="n">
        <v>28571.4285714286</v>
      </c>
      <c r="R32" s="1" t="n">
        <v>56516</v>
      </c>
      <c r="S32" s="1" t="n">
        <v>22986</v>
      </c>
      <c r="V32" s="16" t="n">
        <f aca="false">SUM(C32:U32)</f>
        <v>600530.975714286</v>
      </c>
      <c r="W32" s="23" t="n">
        <f aca="false">W31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325000-35000-17556</f>
        <v>272444</v>
      </c>
      <c r="P33" s="1" t="n">
        <v>10000</v>
      </c>
      <c r="Q33" s="1" t="n">
        <v>10000</v>
      </c>
      <c r="R33" s="1" t="n">
        <v>10000</v>
      </c>
      <c r="S33" s="1" t="n">
        <v>10000</v>
      </c>
      <c r="T33" s="1" t="n">
        <v>7559</v>
      </c>
      <c r="U33" s="1" t="n">
        <f aca="false">2441+1962</f>
        <v>4403</v>
      </c>
      <c r="V33" s="16" t="n">
        <f aca="false">SUM(C33:U33)</f>
        <v>400000.39</v>
      </c>
      <c r="W33" s="23" t="n">
        <f aca="false">W32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9597166.63568254</v>
      </c>
      <c r="P34" s="18" t="n">
        <f aca="false">SUM(P8:P33)</f>
        <v>10285008.2572825</v>
      </c>
      <c r="Q34" s="18" t="n">
        <f aca="false">SUM(Q8:Q33)</f>
        <v>9466102.75168254</v>
      </c>
      <c r="R34" s="18" t="n">
        <f aca="false">SUM(R8:R33)</f>
        <v>8331957.48977778</v>
      </c>
      <c r="S34" s="18" t="n">
        <f aca="false">SUM(S8:S33)</f>
        <v>5582039.94577778</v>
      </c>
      <c r="T34" s="18" t="n">
        <f aca="false">SUM(T8:T33)</f>
        <v>6410224.96497778</v>
      </c>
      <c r="U34" s="18" t="n">
        <f aca="false">SUM(U8:U33)</f>
        <v>14807515.4736</v>
      </c>
      <c r="V34" s="19" t="n">
        <f aca="false">SUM(C34:U34)</f>
        <v>150985911.172114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96103062.2890159</v>
      </c>
      <c r="P35" s="18" t="n">
        <f aca="false">+O35+P34</f>
        <v>106388070.546298</v>
      </c>
      <c r="Q35" s="18" t="n">
        <f aca="false">+P35+Q34</f>
        <v>115854173.297981</v>
      </c>
      <c r="R35" s="18" t="n">
        <f aca="false">+Q35+R34</f>
        <v>124186130.787759</v>
      </c>
      <c r="S35" s="18" t="n">
        <f aca="false">+R35+S34</f>
        <v>129768170.733537</v>
      </c>
      <c r="T35" s="18" t="n">
        <f aca="false">+S35+T34</f>
        <v>136178395.698514</v>
      </c>
      <c r="U35" s="18" t="n">
        <f aca="false">+T35+U34</f>
        <v>150985911.172114</v>
      </c>
      <c r="V35" s="16"/>
    </row>
    <row r="36" customFormat="false" ht="12.75" hidden="false" customHeight="false" outlineLevel="0" collapsed="false">
      <c r="A36" s="1" t="s">
        <v>44</v>
      </c>
      <c r="F36" s="15"/>
      <c r="V36" s="21" t="n">
        <f aca="false">+V34/C51/1000</f>
        <v>321.246619515137</v>
      </c>
    </row>
    <row r="37" customFormat="false" ht="12.75" hidden="false" customHeight="false" outlineLevel="0" collapsed="false">
      <c r="F37" s="15"/>
      <c r="V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V38" s="16" t="n">
        <f aca="false">SUM(C38:U38)</f>
        <v>-6077.50000000001</v>
      </c>
      <c r="W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f aca="false">(O35+N44)*$C49/12</f>
        <v>547504.333039433</v>
      </c>
      <c r="P39" s="15" t="n">
        <f aca="false">(P35+O44)*$C49/12</f>
        <v>606180.442903677</v>
      </c>
      <c r="Q39" s="15" t="n">
        <f aca="false">(Q35+P44)*$C49/12</f>
        <v>660738.643541019</v>
      </c>
      <c r="R39" s="15" t="n">
        <f aca="false">(R35+Q44)*$C49/12</f>
        <v>709449.080929829</v>
      </c>
      <c r="S39" s="15" t="n">
        <f aca="false">(S35+R44)*$C49/12</f>
        <v>743527.979824495</v>
      </c>
      <c r="T39" s="15" t="n">
        <f aca="false">(T35+S44)*$C49/12</f>
        <v>782277.474942174</v>
      </c>
      <c r="U39" s="15" t="n">
        <f aca="false">(U35+T44)*$C49/12</f>
        <v>866722.186746778</v>
      </c>
      <c r="V39" s="16" t="n">
        <f aca="false">SUM(C39:U39)</f>
        <v>9897138.37557606</v>
      </c>
      <c r="W39" s="17" t="str">
        <f aca="false">W52</f>
        <v>Rodney Malcolm</v>
      </c>
      <c r="X39" s="1" t="n">
        <f aca="false">V39</f>
        <v>9897138.37557606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6" t="n">
        <f aca="false">SUM(C40:U40)</f>
        <v>0</v>
      </c>
      <c r="W40" s="17" t="str">
        <f aca="false">W39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V41" s="16" t="n">
        <f aca="false">SUM(C41:U41)</f>
        <v>0</v>
      </c>
      <c r="W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f aca="false">[1]Wheatland!$BP$204</f>
        <v>0.100000000093132</v>
      </c>
      <c r="V42" s="16" t="n">
        <f aca="false">SUM(C42:U42)</f>
        <v>0.100000000093132</v>
      </c>
      <c r="W42" s="17" t="str">
        <f aca="false">W24</f>
        <v>Steve Dowd</v>
      </c>
      <c r="X42" s="1" t="n">
        <f aca="false">V42</f>
        <v>0.100000000093132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547504.333039433</v>
      </c>
      <c r="P43" s="18" t="n">
        <f aca="false">SUM(P38:P42)</f>
        <v>606180.442903677</v>
      </c>
      <c r="Q43" s="18" t="n">
        <f aca="false">SUM(Q38:Q42)</f>
        <v>660738.643541019</v>
      </c>
      <c r="R43" s="18" t="n">
        <f aca="false">SUM(R38:R42)</f>
        <v>709449.080929829</v>
      </c>
      <c r="S43" s="18" t="n">
        <f aca="false">SUM(S38:S42)</f>
        <v>743527.979824495</v>
      </c>
      <c r="T43" s="18" t="n">
        <f aca="false">SUM(T38:T42)</f>
        <v>782277.474942174</v>
      </c>
      <c r="U43" s="18" t="n">
        <f aca="false">SUM(U38:U42)</f>
        <v>866722.286746778</v>
      </c>
      <c r="V43" s="19" t="n">
        <f aca="false">SUM(C43:U43)</f>
        <v>9891060.97557606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5522165.06668809</v>
      </c>
      <c r="P44" s="18" t="n">
        <f aca="false">+P43+O44</f>
        <v>6128345.50959176</v>
      </c>
      <c r="Q44" s="18" t="n">
        <f aca="false">+Q43+P44</f>
        <v>6789084.15313278</v>
      </c>
      <c r="R44" s="18" t="n">
        <f aca="false">+R43+Q44</f>
        <v>7498533.23406261</v>
      </c>
      <c r="S44" s="18" t="n">
        <f aca="false">+S43+R44</f>
        <v>8242061.21388711</v>
      </c>
      <c r="T44" s="18" t="n">
        <f aca="false">+T43+S44</f>
        <v>9024338.68882928</v>
      </c>
      <c r="U44" s="18" t="n">
        <f aca="false">+U43+T44</f>
        <v>9891060.97557606</v>
      </c>
      <c r="V44" s="16"/>
    </row>
    <row r="45" customFormat="false" ht="12.75" hidden="false" customHeight="false" outlineLevel="0" collapsed="false">
      <c r="V45" s="16"/>
    </row>
    <row r="46" customFormat="false" ht="12.75" hidden="false" customHeight="false" outlineLevel="0" collapsed="false">
      <c r="A46" s="2" t="s">
        <v>123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10144670.968722</v>
      </c>
      <c r="P46" s="2" t="n">
        <f aca="false">+P34+P43</f>
        <v>10891188.7001862</v>
      </c>
      <c r="Q46" s="2" t="n">
        <f aca="false">+Q34+Q43</f>
        <v>10126841.3952236</v>
      </c>
      <c r="R46" s="2" t="n">
        <f aca="false">+R34+R43</f>
        <v>9041406.57070761</v>
      </c>
      <c r="S46" s="2" t="n">
        <f aca="false">+S34+S43</f>
        <v>6325567.92560227</v>
      </c>
      <c r="T46" s="2" t="n">
        <f aca="false">+T34+T43</f>
        <v>7192502.43991995</v>
      </c>
      <c r="U46" s="2" t="n">
        <f aca="false">+U34+U43</f>
        <v>15674237.7603468</v>
      </c>
      <c r="V46" s="16" t="n">
        <f aca="false">SUM(C46:U46)</f>
        <v>160876972.14769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101625227.355704</v>
      </c>
      <c r="P47" s="2" t="n">
        <f aca="false">O47+P46</f>
        <v>112516416.05589</v>
      </c>
      <c r="Q47" s="2" t="n">
        <f aca="false">P47+Q46</f>
        <v>122643257.451114</v>
      </c>
      <c r="R47" s="2" t="n">
        <f aca="false">Q47+R46</f>
        <v>131684664.021821</v>
      </c>
      <c r="S47" s="2" t="n">
        <f aca="false">R47+S46</f>
        <v>138010231.947424</v>
      </c>
      <c r="T47" s="2" t="n">
        <f aca="false">S47+T46</f>
        <v>145202734.387344</v>
      </c>
      <c r="U47" s="2" t="n">
        <f aca="false">T47+U46</f>
        <v>160876972.14769</v>
      </c>
      <c r="V47" s="1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1" t="n">
        <f aca="false">+V46/C51/1000</f>
        <v>342.291430101469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6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V52" s="22" t="n">
        <f aca="false">SUM(C52:U52)</f>
        <v>0</v>
      </c>
      <c r="W52" s="17" t="str">
        <f aca="false">W41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1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9597166.63568254</v>
      </c>
      <c r="P54" s="2" t="n">
        <f aca="false">+P46-P39</f>
        <v>10285008.2572825</v>
      </c>
      <c r="Q54" s="2" t="n">
        <f aca="false">+Q46-Q39</f>
        <v>9466102.75168254</v>
      </c>
      <c r="R54" s="2" t="n">
        <f aca="false">+R46-R39</f>
        <v>8331957.48977778</v>
      </c>
      <c r="S54" s="2" t="n">
        <f aca="false">+S46-S39</f>
        <v>5582039.94577778</v>
      </c>
      <c r="T54" s="2" t="n">
        <f aca="false">+T46-T39</f>
        <v>6410224.96497778</v>
      </c>
      <c r="U54" s="2" t="n">
        <f aca="false">+U46-U39</f>
        <v>14807515.5736</v>
      </c>
      <c r="V54" s="22" t="n">
        <f aca="false">SUM(C54:U54)</f>
        <v>150979833.772114</v>
      </c>
    </row>
    <row r="55" customFormat="false" ht="12.75" hidden="false" customHeight="false" outlineLevel="0" collapsed="false">
      <c r="V55" s="16"/>
    </row>
    <row r="56" customFormat="false" ht="12.75" hidden="false" customHeight="false" outlineLevel="0" collapsed="false">
      <c r="C56" s="1"/>
      <c r="V56" s="16"/>
    </row>
    <row r="57" customFormat="false" ht="20.25" hidden="false" customHeight="false" outlineLevel="0" collapsed="false">
      <c r="A57" s="24" t="s">
        <v>80</v>
      </c>
      <c r="V57" s="16"/>
    </row>
    <row r="58" customFormat="false" ht="12.75" hidden="false" customHeight="false" outlineLevel="0" collapsed="false">
      <c r="A58" s="2" t="s">
        <v>66</v>
      </c>
      <c r="V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V59" s="16" t="n">
        <f aca="false">SUM(C59:U59)</f>
        <v>136180</v>
      </c>
      <c r="W59" s="17" t="str">
        <f aca="false">+W42</f>
        <v>Steve Dowd</v>
      </c>
      <c r="X59" s="1" t="n">
        <f aca="false">V59+V25</f>
        <v>450000.42</v>
      </c>
      <c r="Y59" s="1" t="n">
        <f aca="false">[1]Wheatland!$BR$169</f>
        <v>450000</v>
      </c>
      <c r="Z59" s="1" t="n">
        <f aca="false">Y59-X59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6" t="n">
        <f aca="false">SUM(C60:U60)</f>
        <v>149715.2</v>
      </c>
      <c r="W60" s="17" t="str">
        <f aca="false">+W59</f>
        <v>Steve Dowd</v>
      </c>
      <c r="X60" s="1" t="n">
        <f aca="false">V60+V32</f>
        <v>750246.175714286</v>
      </c>
      <c r="Y60" s="1" t="n">
        <f aca="false">[1]Wheatland!$BR$192</f>
        <v>750246.08</v>
      </c>
      <c r="Z60" s="1" t="n">
        <f aca="false">Y60-X60</f>
        <v>-0.0957142857369036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V61" s="16" t="n">
        <f aca="false">SUM(C61:U61)</f>
        <v>0</v>
      </c>
      <c r="W61" s="17"/>
      <c r="X61" s="1" t="n">
        <f aca="false">V61+V24</f>
        <v>1112944.26</v>
      </c>
      <c r="Y61" s="1" t="n">
        <f aca="false">[1]Wheatland!$BR$162</f>
        <v>1112944</v>
      </c>
      <c r="Z61" s="1" t="n">
        <f aca="false">Y61-X61</f>
        <v>-0.260000000009313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6" t="n">
        <f aca="false">SUM(C62:U62)</f>
        <v>14801.38</v>
      </c>
      <c r="W62" s="17" t="str">
        <f aca="false">+W60</f>
        <v>Steve Dowd</v>
      </c>
      <c r="X62" s="1" t="n">
        <f aca="false">V62+V31</f>
        <v>199999.606666667</v>
      </c>
      <c r="Y62" s="1" t="n">
        <f aca="false">[1]Wheatland!$BR$183</f>
        <v>200000</v>
      </c>
      <c r="Z62" s="1" t="n">
        <f aca="false">Y62-X62</f>
        <v>0.393333333340706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6" t="n">
        <f aca="false">SUM(C63:U63)</f>
        <v>0</v>
      </c>
      <c r="W63" s="17" t="str">
        <f aca="false">+W62</f>
        <v>Steve Dowd</v>
      </c>
      <c r="X63" s="1" t="n">
        <f aca="false">V63+V33</f>
        <v>400000.39</v>
      </c>
      <c r="Y63" s="1" t="n">
        <f aca="false">[1]Wheatland!$BR$198</f>
        <v>400000</v>
      </c>
      <c r="Z63" s="1" t="n">
        <f aca="false">Y63-X63</f>
        <v>-0.39000000001397</v>
      </c>
    </row>
    <row r="64" customFormat="false" ht="12.75" hidden="false" customHeight="false" outlineLevel="0" collapsed="false">
      <c r="A64" s="2" t="s">
        <v>124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[1]Wheatland!$AN$214</f>
        <v>36835</v>
      </c>
      <c r="N66" s="2" t="n">
        <f aca="false">[1]Wheatland!$AP$214</f>
        <v>-36835</v>
      </c>
      <c r="O66" s="2"/>
      <c r="P66" s="2"/>
      <c r="Q66" s="2"/>
      <c r="R66" s="2"/>
      <c r="S66" s="2"/>
      <c r="T66" s="2"/>
      <c r="U66" s="2"/>
      <c r="V66" s="2" t="n">
        <f aca="false">SUM(G66:U66)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36835</v>
      </c>
      <c r="N67" s="18" t="n">
        <f aca="false">SUM(N64:N66)</f>
        <v>-36835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195452.58</v>
      </c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16"/>
    </row>
    <row r="69" customFormat="false" ht="12.75" hidden="false" customHeight="false" outlineLevel="0" collapsed="false">
      <c r="A69" s="2" t="s">
        <v>125</v>
      </c>
      <c r="V69" s="16"/>
    </row>
    <row r="70" customFormat="false" ht="12.75" hidden="false" customHeight="false" outlineLevel="0" collapsed="false">
      <c r="A70" s="1" t="s">
        <v>30</v>
      </c>
      <c r="E70" s="1" t="n">
        <v>15000</v>
      </c>
      <c r="V70" s="16" t="n">
        <f aca="false">SUM(C70:U70)</f>
        <v>15000</v>
      </c>
      <c r="W70" s="17" t="str">
        <f aca="false">+W63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V71" s="16" t="n">
        <f aca="false">SUM(C71:U71)</f>
        <v>0</v>
      </c>
      <c r="W71" s="17" t="str">
        <f aca="false">+W70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V72" s="16" t="n">
        <f aca="false">SUM(C72:U72)</f>
        <v>100</v>
      </c>
      <c r="W72" s="17" t="str">
        <f aca="false">+W71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V73" s="16" t="n">
        <f aca="false">SUM(C73:U73)</f>
        <v>0</v>
      </c>
      <c r="W73" s="17" t="str">
        <f aca="false">+W72</f>
        <v>Steve Dowd</v>
      </c>
    </row>
    <row r="74" customFormat="false" ht="12.75" hidden="false" customHeight="false" outlineLevel="0" collapsed="false">
      <c r="V74" s="16"/>
    </row>
    <row r="75" customFormat="false" ht="12.75" hidden="false" customHeight="false" outlineLevel="0" collapsed="false">
      <c r="A75" s="2" t="s">
        <v>126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9" t="n">
        <f aca="false">SUM(C75:U75)</f>
        <v>15100</v>
      </c>
    </row>
    <row r="76" customFormat="false" ht="12.75" hidden="false" customHeight="false" outlineLevel="0" collapsed="false">
      <c r="V76" s="16"/>
    </row>
    <row r="77" customFormat="false" ht="12.75" hidden="false" customHeight="false" outlineLevel="0" collapsed="false">
      <c r="V77" s="16"/>
    </row>
    <row r="78" customFormat="false" ht="13.5" hidden="false" customHeight="false" outlineLevel="0" collapsed="false">
      <c r="A78" s="2" t="s">
        <v>115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1603218.40884026</v>
      </c>
      <c r="N78" s="37" t="n">
        <f aca="false">+N46+N67+N75</f>
        <v>5445164.34096592</v>
      </c>
      <c r="O78" s="37" t="n">
        <f aca="false">+O46+O67+O75</f>
        <v>10144670.968722</v>
      </c>
      <c r="P78" s="37" t="n">
        <f aca="false">+P46+P67+P75</f>
        <v>10891188.7001862</v>
      </c>
      <c r="Q78" s="37" t="n">
        <f aca="false">+Q46+Q67+Q75</f>
        <v>10126841.3952236</v>
      </c>
      <c r="R78" s="37" t="n">
        <f aca="false">+R46+R67+R75</f>
        <v>9041406.57070761</v>
      </c>
      <c r="S78" s="37" t="n">
        <f aca="false">+S46+S67+S75</f>
        <v>6325567.92560227</v>
      </c>
      <c r="T78" s="37" t="n">
        <f aca="false">+T46+T67+T75</f>
        <v>7192502.43991995</v>
      </c>
      <c r="U78" s="37" t="n">
        <f aca="false">+U46+U67+U75</f>
        <v>15674237.7603468</v>
      </c>
      <c r="V78" s="37" t="n">
        <f aca="false">+V46+V67+V75</f>
        <v>161087524.72769</v>
      </c>
    </row>
    <row r="79" customFormat="false" ht="12.75" hidden="false" customHeight="false" outlineLevel="0" collapsed="false">
      <c r="U79" s="0"/>
      <c r="V79" s="42" t="n">
        <f aca="false">V78-[1]Wheatland!$BR$231</f>
        <v>2.62211427092552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1999-12-06T17:52:55Z</cp:lastPrinted>
  <cp:revision>0</cp:revision>
  <dc:subject/>
  <dc:title/>
</cp:coreProperties>
</file>