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6.5% - Swap" sheetId="1" state="hidden" r:id="rId3"/>
    <sheet name="Calvert City" sheetId="2" state="hidden" r:id="rId4"/>
    <sheet name="Wilton" sheetId="3" state="visible" r:id="rId5"/>
    <sheet name="Gleason" sheetId="4" state="visible" r:id="rId6"/>
    <sheet name="Wheatland" sheetId="5" state="visible" r:id="rId7"/>
  </sheets>
  <externalReferences>
    <externalReference r:id="rId8"/>
  </externalReferences>
  <definedNames>
    <definedName function="false" hidden="false" localSheetId="1" name="_xlnm.Print_Area" vbProcedure="false">'Calvert City'!$A$1:$Y$69</definedName>
    <definedName function="false" hidden="false" localSheetId="3" name="_xlnm.Print_Area" vbProcedure="false">Gleason!$A$1:$AA$73</definedName>
    <definedName function="false" hidden="false" localSheetId="4" name="_xlnm.Print_Area" vbProcedure="false">Wheatland!$A$1:$Z$79</definedName>
    <definedName function="false" hidden="false" localSheetId="2" name="_xlnm.Print_Area" vbProcedure="false">Wilton!$A$1:$Z$77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65</xdr:colOff>
                <xdr:row>4</xdr:row>
                <xdr:rowOff>1</xdr:rowOff>
              </xdr:from>
              <xdr:to>
                <xdr:col>31</xdr:col>
                <xdr:colOff>62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49</xdr:row>
                <xdr:rowOff>7</xdr:rowOff>
              </xdr:from>
              <xdr:to>
                <xdr:col>5</xdr:col>
                <xdr:colOff>44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14</xdr:rowOff>
              </xdr:from>
              <xdr:to>
                <xdr:col>12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<sst xmlns="http://schemas.openxmlformats.org/spreadsheetml/2006/main" count="565" uniqueCount="125">
  <si>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</si>
  <si>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</si>
  <si>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</si>
  <si>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</si>
  <si>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</si>
  <si>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</si>
  <si>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</si>
  <si>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</si>
  <si>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</si>
  <si>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</si>
  <si>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</si>
  <si>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</si>
  <si>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</si>
  <si>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</si>
  <si>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</si>
  <si>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</si>
  <si>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</si>
  <si>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</si>
  <si>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</si>
  <si>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</si>
  <si>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</si>
  <si>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</si>
  <si>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</si>
  <si>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</si>
  <si>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</si>
  <si>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</si>
  <si>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</si>
  <si>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</si>
  <si>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</si>
  <si>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</si>
  <si>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</si>
  <si>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</si>
  <si>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</si>
  <si>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</si>
  <si>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</si>
  <si>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</si>
  <si>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</si>
  <si>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</si>
  <si>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</si>
  <si>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</si>
  <si>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</si>
  <si>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</si>
  <si>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</si>
  <si>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</si>
  <si>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</si>
  <si>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</si>
  <si>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</si>
  <si>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</si>
  <si>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</si>
  <si>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</si>
  <si>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</si>
  <si>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</si>
  <si>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</si>
  <si>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</si>
  <si>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</si>
  <si>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</si>
  <si>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</si>
  <si>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</si>
  <si>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</si>
  <si>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</si>
  <si>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</si>
  <si>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</si>
  <si>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</si>
  <si>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</si>
  <si>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</si>
  <si>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</si>
  <si>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</si>
  <si>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</si>
  <si>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</si>
  <si>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</si>
  <si>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</si>
  <si>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</si>
  <si>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</si>
  <si>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Gleason</t>
  </si>
  <si>
    <t xml:space="preserve">Expense</t>
  </si>
  <si>
    <t xml:space="preserve">Transfer </t>
  </si>
  <si>
    <t xml:space="preserve">Transfer</t>
  </si>
  <si>
    <t xml:space="preserve">Capital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</si>
  <si>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</si>
  <si>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</si>
  <si>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</si>
  <si>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</si>
  <si>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</si>
  <si>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</si>
  <si>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</si>
  <si>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</si>
  <si>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</si>
  <si>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</si>
  <si>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</si>
  <si>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</si>
  <si>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</si>
  <si>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</si>
  <si>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</si>
  <si>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</si>
  <si>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April 14, 2000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</si>
  <si>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</si>
  <si>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</si>
  <si>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</si>
  <si>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</si>
  <si>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</si>
  <si>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% Complete</t>
  </si>
  <si>
    <t xml:space="preserve">Sales Tax </t>
  </si>
  <si>
    <t xml:space="preserve">OEC (Mobilization of O&amp;M)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</si>
  <si>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</si>
  <si>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</si>
  <si>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</si>
  <si>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</si>
  <si>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</si>
  <si>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</si>
  <si>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</si>
  <si>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</si>
  <si>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</si>
  <si>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NEPCO - Reimburse Tax</t>
  </si>
  <si>
    <t xml:space="preserve">1/2 of Redesign costs to change projects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</si>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</sst>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u val="single"/>
      <sz val="12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0503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142256940.44</v>
          </cell>
        </row>
        <row r="31">
          <cell r="BR31">
            <v>6343298</v>
          </cell>
        </row>
        <row r="46">
          <cell r="BR46">
            <v>17369991</v>
          </cell>
        </row>
        <row r="53">
          <cell r="BR53">
            <v>7696762</v>
          </cell>
        </row>
        <row r="79">
          <cell r="BR79">
            <v>45859862</v>
          </cell>
        </row>
        <row r="82">
          <cell r="BR82">
            <v>5336650</v>
          </cell>
        </row>
        <row r="86">
          <cell r="BR86">
            <v>19510321</v>
          </cell>
        </row>
        <row r="91">
          <cell r="BR91">
            <v>940200</v>
          </cell>
        </row>
        <row r="92">
          <cell r="BR92">
            <v>2824800</v>
          </cell>
        </row>
        <row r="93">
          <cell r="BR93">
            <v>3066700</v>
          </cell>
        </row>
        <row r="101">
          <cell r="BR101">
            <v>9479519</v>
          </cell>
        </row>
        <row r="116">
          <cell r="BR116">
            <v>908786</v>
          </cell>
        </row>
        <row r="120">
          <cell r="BR120">
            <v>387391.81</v>
          </cell>
        </row>
        <row r="122">
          <cell r="BR122">
            <v>500000</v>
          </cell>
        </row>
        <row r="124">
          <cell r="BR124">
            <v>1253881</v>
          </cell>
        </row>
        <row r="131">
          <cell r="BR131">
            <v>2472650.28</v>
          </cell>
        </row>
        <row r="138">
          <cell r="BR138">
            <v>400000</v>
          </cell>
        </row>
        <row r="140">
          <cell r="BR140">
            <v>1200000</v>
          </cell>
        </row>
        <row r="142">
          <cell r="BR142">
            <v>10900000</v>
          </cell>
        </row>
        <row r="146">
          <cell r="BR146">
            <v>1500000</v>
          </cell>
        </row>
        <row r="150">
          <cell r="BR150">
            <v>271248.5</v>
          </cell>
        </row>
        <row r="152">
          <cell r="BR152">
            <v>200000</v>
          </cell>
        </row>
        <row r="161">
          <cell r="BR161">
            <v>1127107.57</v>
          </cell>
        </row>
        <row r="168">
          <cell r="BR168">
            <v>558423.13</v>
          </cell>
        </row>
        <row r="200">
          <cell r="BR200">
            <v>293990243.449238</v>
          </cell>
        </row>
      </sheetData>
      <sheetData sheetId="6">
        <row r="216">
          <cell r="BT216">
            <v>912871.063333333</v>
          </cell>
        </row>
      </sheetData>
      <sheetData sheetId="7">
        <row r="16">
          <cell r="BT16">
            <v>95561044</v>
          </cell>
        </row>
        <row r="35">
          <cell r="BT35">
            <v>6406961</v>
          </cell>
        </row>
        <row r="54">
          <cell r="BT54">
            <v>16939610</v>
          </cell>
        </row>
        <row r="63">
          <cell r="BT63">
            <v>4459132</v>
          </cell>
        </row>
        <row r="86">
          <cell r="BT86">
            <v>16561168</v>
          </cell>
        </row>
        <row r="89">
          <cell r="BT89">
            <v>12136758</v>
          </cell>
        </row>
        <row r="93">
          <cell r="BT93">
            <v>-3387761</v>
          </cell>
        </row>
        <row r="95">
          <cell r="BT95">
            <v>7581128.56</v>
          </cell>
        </row>
        <row r="100">
          <cell r="BT100">
            <v>929800</v>
          </cell>
        </row>
        <row r="101">
          <cell r="BT101">
            <v>2840700</v>
          </cell>
        </row>
        <row r="102">
          <cell r="BT102">
            <v>3066700</v>
          </cell>
        </row>
        <row r="134">
          <cell r="BT134">
            <v>908786</v>
          </cell>
        </row>
        <row r="140">
          <cell r="BT140">
            <v>675000</v>
          </cell>
        </row>
        <row r="142">
          <cell r="BT142">
            <v>1247007</v>
          </cell>
        </row>
        <row r="149">
          <cell r="BT149">
            <v>408551</v>
          </cell>
        </row>
        <row r="159">
          <cell r="BT159">
            <v>731829.32</v>
          </cell>
        </row>
        <row r="182">
          <cell r="BT182">
            <v>3913800.84</v>
          </cell>
        </row>
        <row r="184">
          <cell r="BT184">
            <v>1100000</v>
          </cell>
        </row>
        <row r="190">
          <cell r="BT190">
            <v>500000</v>
          </cell>
        </row>
        <row r="192">
          <cell r="BT192">
            <v>200935.25</v>
          </cell>
        </row>
        <row r="203">
          <cell r="BT203">
            <v>897104.88</v>
          </cell>
        </row>
        <row r="209">
          <cell r="BT209">
            <v>752208.46</v>
          </cell>
        </row>
        <row r="225">
          <cell r="BT225">
            <v>185433544.032799</v>
          </cell>
        </row>
      </sheetData>
      <sheetData sheetId="8">
        <row r="12">
          <cell r="BR12">
            <v>86219301</v>
          </cell>
        </row>
        <row r="32">
          <cell r="BR32">
            <v>4656034</v>
          </cell>
        </row>
        <row r="48">
          <cell r="BR48">
            <v>13410951</v>
          </cell>
        </row>
        <row r="55">
          <cell r="BR55">
            <v>4949776</v>
          </cell>
        </row>
        <row r="80">
          <cell r="BR80">
            <v>16124987</v>
          </cell>
        </row>
        <row r="85">
          <cell r="BR85">
            <v>10145929</v>
          </cell>
        </row>
        <row r="87">
          <cell r="BR87">
            <v>-3953393</v>
          </cell>
        </row>
        <row r="89">
          <cell r="BR89">
            <v>0</v>
          </cell>
        </row>
        <row r="95">
          <cell r="BR95">
            <v>929800</v>
          </cell>
        </row>
        <row r="96">
          <cell r="BR96">
            <v>2386700</v>
          </cell>
        </row>
        <row r="97">
          <cell r="BR97">
            <v>3066700</v>
          </cell>
        </row>
        <row r="119">
          <cell r="BR119">
            <v>1500000</v>
          </cell>
        </row>
        <row r="121">
          <cell r="BR121">
            <v>50000</v>
          </cell>
        </row>
        <row r="123">
          <cell r="BR123">
            <v>1172731</v>
          </cell>
        </row>
        <row r="130">
          <cell r="BR130">
            <v>1907102.57</v>
          </cell>
        </row>
        <row r="137">
          <cell r="BR137">
            <v>450000</v>
          </cell>
        </row>
        <row r="139">
          <cell r="BR139">
            <v>5000000</v>
          </cell>
        </row>
        <row r="141">
          <cell r="BR141">
            <v>1500000</v>
          </cell>
        </row>
        <row r="147">
          <cell r="BR147">
            <v>1000000</v>
          </cell>
        </row>
        <row r="149">
          <cell r="BR149">
            <v>200000</v>
          </cell>
        </row>
        <row r="151">
          <cell r="BR151">
            <v>200000</v>
          </cell>
        </row>
        <row r="160">
          <cell r="BR160">
            <v>834146.92</v>
          </cell>
        </row>
        <row r="167">
          <cell r="BR167">
            <v>701672.13</v>
          </cell>
        </row>
        <row r="200">
          <cell r="BR200">
            <v>162950397.576497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XML/filtered-attachments/xls/Draw_Sched___050300.xls'#$6.5%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45926.9532841545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April 14,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XML/filtered-attachments/xls/Draw_Sched___050300.xls'#$Calvert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45926.9532841854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73</v>
      </c>
      <c r="N5" s="12" t="s">
        <v>74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75</v>
      </c>
      <c r="N6" s="10" t="s">
        <v>76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78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79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80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81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82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83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27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27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27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28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84</v>
      </c>
      <c r="F24" s="28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85</v>
      </c>
      <c r="F25" s="28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28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28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28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28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27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28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27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27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86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87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88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89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90</v>
      </c>
      <c r="B51" s="2"/>
      <c r="C51" s="8" t="n">
        <v>0.0035</v>
      </c>
      <c r="D51" s="29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6" t="s">
        <v>74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91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92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93</v>
      </c>
      <c r="B67" s="30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-241341.193333333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3.28"/>
    <col collapsed="false" customWidth="true" hidden="false" outlineLevel="0" max="6" min="6" style="1" width="12.28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5" min="15" style="1" width="13.99"/>
    <col collapsed="false" customWidth="true" hidden="false" outlineLevel="0" max="16" min="16" style="1" width="14.41"/>
    <col collapsed="false" customWidth="true" hidden="false" outlineLevel="0" max="17" min="17" style="1" width="12.85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1" min="20" style="1" width="13.85"/>
    <col collapsed="false" customWidth="true" hidden="true" outlineLevel="0" max="24" min="22" style="1" width="13.85"/>
    <col collapsed="false" customWidth="true" hidden="false" outlineLevel="0" max="25" min="25" style="2" width="14.41"/>
    <col collapsed="false" customWidth="true" hidden="tru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XML/filtered-attachments/xls/Draw_Sched___050300.xls'#$Wilton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45926.9532842086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1" t="n">
        <v>0.35</v>
      </c>
      <c r="F9" s="31" t="n">
        <v>0.4</v>
      </c>
      <c r="G9" s="31" t="n">
        <v>0.45</v>
      </c>
      <c r="H9" s="31" t="n">
        <v>0.5</v>
      </c>
      <c r="I9" s="31" t="n">
        <v>0.55</v>
      </c>
      <c r="J9" s="31" t="n">
        <v>0.6</v>
      </c>
      <c r="K9" s="31" t="n">
        <v>0.65</v>
      </c>
      <c r="L9" s="31" t="n">
        <v>0.7</v>
      </c>
      <c r="M9" s="31" t="n">
        <v>0.7625</v>
      </c>
      <c r="N9" s="32" t="n">
        <v>0.8562</v>
      </c>
      <c r="O9" s="31" t="n">
        <v>0.95</v>
      </c>
      <c r="P9" s="10"/>
      <c r="Q9" s="10"/>
      <c r="R9" s="10"/>
      <c r="S9" s="10"/>
      <c r="T9" s="10"/>
      <c r="U9" s="31" t="n">
        <v>1</v>
      </c>
      <c r="V9" s="31"/>
      <c r="W9" s="31"/>
      <c r="X9" s="31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Q10" s="1" t="n">
        <v>13325691</v>
      </c>
      <c r="R10" s="1" t="n">
        <v>7103247</v>
      </c>
      <c r="S10" s="1" t="n">
        <v>0</v>
      </c>
      <c r="T10" s="1" t="n">
        <v>192001</v>
      </c>
      <c r="Y10" s="16" t="n">
        <f aca="false">SUM(C10:X10)</f>
        <v>142256940.75</v>
      </c>
      <c r="Z10" s="17" t="s">
        <v>23</v>
      </c>
      <c r="AA10" s="1" t="n">
        <f aca="false">[1]Wilton!$BR$12</f>
        <v>142256940.44</v>
      </c>
      <c r="AB10" s="1" t="n">
        <f aca="false">Y10-AA10</f>
        <v>0.310000002384186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R11" s="1" t="n">
        <v>0</v>
      </c>
      <c r="S11" s="1" t="n">
        <v>427250</v>
      </c>
      <c r="T11" s="1" t="n">
        <v>591605</v>
      </c>
      <c r="Y11" s="16" t="n">
        <f aca="false">SUM(C11:X11)</f>
        <v>6343297.8</v>
      </c>
      <c r="Z11" s="17" t="str">
        <f aca="false">Z10</f>
        <v>Mike Miller</v>
      </c>
      <c r="AA11" s="1" t="n">
        <f aca="false">[1]Wilton!$BR$31</f>
        <v>6343298</v>
      </c>
      <c r="AB11" s="1" t="n">
        <f aca="false">Y11-AA11</f>
        <v>-0.200000000186265</v>
      </c>
    </row>
    <row r="12" customFormat="false" ht="12.75" hidden="false" customHeight="false" outlineLevel="0" collapsed="false">
      <c r="A12" s="1" t="s">
        <v>95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Q12" s="1" t="n">
        <v>1183814.88</v>
      </c>
      <c r="R12" s="1" t="n">
        <v>2943550.62</v>
      </c>
      <c r="U12" s="1" t="n">
        <f aca="false">466454+150440</f>
        <v>616894</v>
      </c>
      <c r="Y12" s="16" t="n">
        <f aca="false">SUM(C12:X12)</f>
        <v>9479519.3</v>
      </c>
      <c r="Z12" s="17" t="str">
        <f aca="false">Z11</f>
        <v>Mike Miller</v>
      </c>
      <c r="AA12" s="1" t="n">
        <f aca="false">[1]Wilton!$BR$101</f>
        <v>9479519</v>
      </c>
      <c r="AB12" s="1" t="n">
        <f aca="false">Y12-AA12</f>
        <v>0.300000000745058</v>
      </c>
    </row>
    <row r="13" customFormat="false" ht="12.75" hidden="false" customHeight="false" outlineLevel="0" collapsed="false">
      <c r="A13" s="1" t="s">
        <v>78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[1]Wilton!$BR$91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79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v>235398</v>
      </c>
      <c r="P14" s="1" t="n">
        <v>235399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2824800/12+1+2+1</f>
        <v>235404</v>
      </c>
      <c r="Y14" s="16" t="n">
        <f aca="false">SUM(C14:X14)</f>
        <v>2824800</v>
      </c>
      <c r="Z14" s="17" t="str">
        <f aca="false">Z13</f>
        <v>Mike Miller</v>
      </c>
      <c r="AA14" s="1" t="n">
        <f aca="false">[1]Wilton!$BR$92</f>
        <v>2824800</v>
      </c>
      <c r="AB14" s="1" t="n">
        <f aca="false">Y14-AA14</f>
        <v>0</v>
      </c>
    </row>
    <row r="15" customFormat="false" ht="12.75" hidden="false" customHeight="false" outlineLevel="0" collapsed="false">
      <c r="A15" s="1" t="s">
        <v>80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[1]Wilton!$BR$93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96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f aca="false">636689+41531</f>
        <v>678220</v>
      </c>
      <c r="P16" s="1" t="n">
        <v>1727562</v>
      </c>
      <c r="R16" s="1" t="n">
        <v>1128996</v>
      </c>
      <c r="T16" s="1" t="n">
        <v>1746094</v>
      </c>
      <c r="U16" s="1" t="n">
        <v>11227031</v>
      </c>
      <c r="Y16" s="16" t="n">
        <f aca="false">SUM(C16:X16)</f>
        <v>17369991</v>
      </c>
      <c r="Z16" s="17" t="str">
        <f aca="false">Z15</f>
        <v>Mike Miller</v>
      </c>
      <c r="AA16" s="1" t="n">
        <f aca="false">[1]Wilton!$BR$46</f>
        <v>17369991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97</v>
      </c>
      <c r="F17" s="15"/>
      <c r="N17" s="1" t="n">
        <v>3301</v>
      </c>
      <c r="O17" s="1" t="n">
        <v>346618</v>
      </c>
      <c r="P17" s="1" t="n">
        <v>1451621</v>
      </c>
      <c r="R17" s="1" t="n">
        <v>2665269</v>
      </c>
      <c r="T17" s="1" t="n">
        <v>231962</v>
      </c>
      <c r="U17" s="1" t="n">
        <v>2997991</v>
      </c>
      <c r="Y17" s="16" t="n">
        <f aca="false">SUM(C17:X17)</f>
        <v>7696762</v>
      </c>
      <c r="Z17" s="17" t="str">
        <f aca="false">Z16</f>
        <v>Mike Miller</v>
      </c>
      <c r="AA17" s="1" t="n">
        <f aca="false">[1]Wilton!$BR$53</f>
        <v>7696762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98</v>
      </c>
      <c r="F18" s="15"/>
      <c r="N18" s="1" t="n">
        <v>0</v>
      </c>
      <c r="O18" s="1" t="n">
        <v>2569929</v>
      </c>
      <c r="P18" s="1" t="n">
        <v>4657660</v>
      </c>
      <c r="R18" s="1" t="n">
        <v>9133979</v>
      </c>
      <c r="T18" s="1" t="n">
        <v>3000000</v>
      </c>
      <c r="U18" s="1" t="n">
        <v>26498294</v>
      </c>
      <c r="W18" s="1" t="n">
        <v>0</v>
      </c>
      <c r="Y18" s="16" t="n">
        <f aca="false">SUM(C18:X18)</f>
        <v>45859862</v>
      </c>
      <c r="Z18" s="17" t="str">
        <f aca="false">Z17</f>
        <v>Mike Miller</v>
      </c>
      <c r="AA18" s="1" t="n">
        <f aca="false">[1]Wilton!$BR$79</f>
        <v>45859862</v>
      </c>
      <c r="AB18" s="1" t="n">
        <f aca="false">Y18-AA18</f>
        <v>0</v>
      </c>
    </row>
    <row r="19" customFormat="false" ht="12.75" hidden="false" customHeight="false" outlineLevel="0" collapsed="false">
      <c r="A19" s="1" t="s">
        <v>99</v>
      </c>
      <c r="F19" s="15"/>
      <c r="M19" s="1" t="n">
        <v>0</v>
      </c>
      <c r="N19" s="1" t="n">
        <v>0</v>
      </c>
      <c r="O19" s="1" t="n">
        <v>28388</v>
      </c>
      <c r="P19" s="1" t="n">
        <v>763285</v>
      </c>
      <c r="R19" s="1" t="n">
        <v>2460865</v>
      </c>
      <c r="T19" s="1" t="n">
        <f aca="false">199984-63285</f>
        <v>136699</v>
      </c>
      <c r="U19" s="1" t="n">
        <v>1947413</v>
      </c>
      <c r="Y19" s="16" t="n">
        <f aca="false">SUM(C19:X19)</f>
        <v>5336650</v>
      </c>
      <c r="Z19" s="17" t="str">
        <f aca="false">Z18</f>
        <v>Mike Miller</v>
      </c>
      <c r="AA19" s="1" t="n">
        <f aca="false">[1]Wilton!$BR$82</f>
        <v>5336650</v>
      </c>
      <c r="AB19" s="1" t="n">
        <f aca="false">Y19-AA19</f>
        <v>0</v>
      </c>
    </row>
    <row r="20" customFormat="false" ht="12.75" hidden="false" customHeight="false" outlineLevel="0" collapsed="false">
      <c r="A20" s="1" t="s">
        <v>100</v>
      </c>
      <c r="F20" s="15"/>
      <c r="N20" s="1" t="n">
        <v>8573073</v>
      </c>
      <c r="O20" s="1" t="n">
        <v>7093919</v>
      </c>
      <c r="P20" s="1" t="n">
        <v>-7855877</v>
      </c>
      <c r="Q20" s="1" t="n">
        <v>12922196</v>
      </c>
      <c r="R20" s="1" t="n">
        <v>-3861277</v>
      </c>
      <c r="S20" s="1" t="n">
        <v>19510321</v>
      </c>
      <c r="U20" s="1" t="n">
        <f aca="false">-37566984+19510321</f>
        <v>-18056663</v>
      </c>
      <c r="Y20" s="16" t="n">
        <f aca="false">SUM(C20:X20)</f>
        <v>18325692</v>
      </c>
      <c r="Z20" s="17" t="e">
        <f aca="false">#REF!</f>
        <v>#REF!</v>
      </c>
      <c r="AA20" s="1" t="n">
        <f aca="false">[1]Wilton!$BR$86</f>
        <v>19510321</v>
      </c>
      <c r="AB20" s="1" t="n">
        <f aca="false">Y20-AA20</f>
        <v>-1184629</v>
      </c>
    </row>
    <row r="21" customFormat="false" ht="12.75" hidden="false" customHeight="false" outlineLevel="0" collapsed="false">
      <c r="A21" s="1" t="s">
        <v>101</v>
      </c>
      <c r="F21" s="15"/>
      <c r="U21" s="1" t="n">
        <v>500000</v>
      </c>
      <c r="Y21" s="16" t="n">
        <f aca="false">SUM(C21:X21)</f>
        <v>500000</v>
      </c>
      <c r="Z21" s="17"/>
      <c r="AA21" s="1" t="n">
        <f aca="false">[1]Wilton!$BR$122</f>
        <v>500000</v>
      </c>
    </row>
    <row r="22" customFormat="false" ht="12.75" hidden="false" customHeight="false" outlineLevel="0" collapsed="false">
      <c r="A22" s="1" t="s">
        <v>102</v>
      </c>
      <c r="C22" s="2" t="n">
        <v>0</v>
      </c>
      <c r="F22" s="15"/>
      <c r="P22" s="1" t="n">
        <v>0</v>
      </c>
      <c r="Q22" s="1" t="n">
        <v>37000</v>
      </c>
      <c r="R22" s="1" t="n">
        <v>141652</v>
      </c>
      <c r="S22" s="1" t="n">
        <v>151712</v>
      </c>
      <c r="T22" s="1" t="n">
        <f aca="false">125000+113000</f>
        <v>238000</v>
      </c>
      <c r="U22" s="1" t="n">
        <f aca="false">908786-625000-16652+73288</f>
        <v>340422</v>
      </c>
      <c r="Y22" s="16" t="n">
        <f aca="false">SUM(C22:X22)</f>
        <v>908786</v>
      </c>
      <c r="Z22" s="17" t="s">
        <v>28</v>
      </c>
      <c r="AA22" s="1" t="n">
        <f aca="false">[1]Wilton!$BR$116</f>
        <v>908786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F23" s="15"/>
      <c r="S23" s="1" t="n">
        <v>0</v>
      </c>
      <c r="T23" s="1" t="n">
        <v>500000</v>
      </c>
      <c r="U23" s="1" t="n">
        <f aca="false">1253881-1000000+500000</f>
        <v>753881</v>
      </c>
      <c r="Y23" s="16" t="n">
        <f aca="false">SUM(C23:X23)</f>
        <v>1253881</v>
      </c>
      <c r="Z23" s="17" t="str">
        <f aca="false">Z16</f>
        <v>Mike Miller</v>
      </c>
      <c r="AA23" s="1" t="n">
        <f aca="false">[1]Wilton!$BR$124</f>
        <v>1253881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F24" s="15" t="n">
        <v>20000</v>
      </c>
      <c r="G24" s="1" t="n">
        <f aca="false">1381361+65000</f>
        <v>1446361</v>
      </c>
      <c r="H24" s="1" t="n">
        <v>8500</v>
      </c>
      <c r="J24" s="1" t="n">
        <v>821965</v>
      </c>
      <c r="K24" s="1" t="n">
        <v>0</v>
      </c>
      <c r="M24" s="1" t="n">
        <v>1000</v>
      </c>
      <c r="N24" s="1" t="n">
        <v>7992</v>
      </c>
      <c r="P24" s="1" t="n">
        <v>180000</v>
      </c>
      <c r="Q24" s="1" t="n">
        <v>-13168</v>
      </c>
      <c r="Y24" s="16" t="n">
        <f aca="false">SUM(C24:X24)</f>
        <v>2472650</v>
      </c>
      <c r="Z24" s="17" t="s">
        <v>31</v>
      </c>
      <c r="AA24" s="1" t="n">
        <f aca="false">[1]Wilton!$BR$131</f>
        <v>2472650.28</v>
      </c>
      <c r="AB24" s="1" t="n">
        <f aca="false">Y24-AA24</f>
        <v>-0.28000000026077</v>
      </c>
    </row>
    <row r="25" customFormat="false" ht="12.75" hidden="false" customHeight="false" outlineLevel="0" collapsed="false">
      <c r="A25" s="1" t="s">
        <v>32</v>
      </c>
      <c r="C25" s="2" t="n">
        <v>0</v>
      </c>
      <c r="E25" s="1" t="n">
        <v>0</v>
      </c>
      <c r="F25" s="15" t="n">
        <v>0</v>
      </c>
      <c r="H25" s="1" t="n">
        <v>71081</v>
      </c>
      <c r="I25" s="1" t="n">
        <v>13262</v>
      </c>
      <c r="J25" s="1" t="n">
        <v>24704.06</v>
      </c>
      <c r="K25" s="1" t="n">
        <v>9361.22</v>
      </c>
      <c r="L25" s="1" t="n">
        <v>11746.18</v>
      </c>
      <c r="M25" s="1" t="n">
        <v>19878</v>
      </c>
      <c r="N25" s="1" t="n">
        <v>29832</v>
      </c>
      <c r="O25" s="1" t="n">
        <v>39860</v>
      </c>
      <c r="P25" s="1" t="n">
        <v>5434</v>
      </c>
      <c r="Q25" s="1" t="n">
        <v>2588</v>
      </c>
      <c r="R25" s="1" t="n">
        <v>0</v>
      </c>
      <c r="S25" s="1" t="n">
        <v>3856</v>
      </c>
      <c r="T25" s="1" t="n">
        <v>73458</v>
      </c>
      <c r="U25" s="1" t="n">
        <f aca="false">48750-3856</f>
        <v>44894</v>
      </c>
      <c r="Y25" s="16" t="n">
        <f aca="false">SUM(C25:X25)</f>
        <v>349954.46</v>
      </c>
      <c r="Z25" s="17" t="str">
        <f aca="false">Z24</f>
        <v>Scott Healy</v>
      </c>
    </row>
    <row r="26" customFormat="false" ht="12.75" hidden="false" customHeight="false" outlineLevel="0" collapsed="false">
      <c r="A26" s="1" t="s">
        <v>84</v>
      </c>
      <c r="F26" s="15"/>
      <c r="O26" s="1" t="n">
        <v>216382</v>
      </c>
      <c r="P26" s="1" t="n">
        <v>2174</v>
      </c>
      <c r="R26" s="1" t="n">
        <v>168836</v>
      </c>
      <c r="T26" s="1" t="n">
        <v>0</v>
      </c>
      <c r="Y26" s="16" t="n">
        <f aca="false">SUM(C26:X26)</f>
        <v>387392</v>
      </c>
      <c r="Z26" s="17"/>
      <c r="AA26" s="1" t="n">
        <f aca="false">[1]Wilton!$BR$120</f>
        <v>387391.81</v>
      </c>
      <c r="AB26" s="1" t="n">
        <f aca="false">Y26-AA26</f>
        <v>0.189999999944121</v>
      </c>
    </row>
    <row r="27" customFormat="false" ht="12.75" hidden="false" customHeight="false" outlineLevel="0" collapsed="false">
      <c r="A27" s="1" t="s">
        <v>103</v>
      </c>
      <c r="C27" s="2" t="n">
        <v>0</v>
      </c>
      <c r="F27" s="15"/>
      <c r="M27" s="1" t="n">
        <v>50050</v>
      </c>
      <c r="N27" s="1" t="n">
        <v>160616</v>
      </c>
      <c r="O27" s="1" t="n">
        <v>8228</v>
      </c>
      <c r="P27" s="1" t="n">
        <v>115500</v>
      </c>
      <c r="Q27" s="1" t="n">
        <v>445269</v>
      </c>
      <c r="R27" s="1" t="n">
        <v>0</v>
      </c>
      <c r="S27" s="1" t="n">
        <v>0</v>
      </c>
      <c r="T27" s="1" t="n">
        <v>200000</v>
      </c>
      <c r="U27" s="1" t="n">
        <v>220337</v>
      </c>
      <c r="Y27" s="16" t="n">
        <f aca="false">SUM(C27:X27)</f>
        <v>1200000</v>
      </c>
      <c r="Z27" s="17" t="s">
        <v>34</v>
      </c>
      <c r="AA27" s="1" t="n">
        <f aca="false">[1]Wilton!$BR$140</f>
        <v>1200000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33</v>
      </c>
      <c r="C28" s="2" t="n">
        <v>0</v>
      </c>
      <c r="F28" s="15"/>
      <c r="O28" s="1" t="n">
        <v>0</v>
      </c>
      <c r="P28" s="1" t="n">
        <v>0</v>
      </c>
      <c r="Q28" s="1" t="n">
        <v>0</v>
      </c>
      <c r="R28" s="1" t="n">
        <v>0</v>
      </c>
      <c r="S28" s="1" t="n">
        <v>0</v>
      </c>
      <c r="T28" s="1" t="n">
        <f aca="false">2750000+3250000</f>
        <v>6000000</v>
      </c>
      <c r="U28" s="1" t="n">
        <v>4900000</v>
      </c>
      <c r="Y28" s="16" t="n">
        <f aca="false">SUM(C28:X28)</f>
        <v>10900000</v>
      </c>
      <c r="Z28" s="17" t="s">
        <v>34</v>
      </c>
      <c r="AA28" s="1" t="n">
        <f aca="false">[1]Wilton!$BR$142</f>
        <v>10900000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36</v>
      </c>
      <c r="C29" s="2" t="n">
        <v>0</v>
      </c>
      <c r="F29" s="15"/>
      <c r="S29" s="1" t="n">
        <v>0</v>
      </c>
      <c r="T29" s="1" t="n">
        <v>1000000</v>
      </c>
      <c r="U29" s="1" t="n">
        <v>500000</v>
      </c>
      <c r="Y29" s="16" t="n">
        <f aca="false">SUM(C29:X29)</f>
        <v>1500000</v>
      </c>
      <c r="Z29" s="17" t="str">
        <f aca="false">Z22</f>
        <v>Kevin Presto</v>
      </c>
      <c r="AA29" s="1" t="n">
        <f aca="false">[1]Wilton!$BR$146</f>
        <v>1500000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M30" s="1" t="n">
        <v>0</v>
      </c>
      <c r="N30" s="1" t="n">
        <v>0</v>
      </c>
      <c r="O30" s="1" t="n">
        <v>266248.5</v>
      </c>
      <c r="S30" s="1" t="n">
        <v>5000</v>
      </c>
      <c r="Y30" s="16" t="n">
        <f aca="false">SUM(C30:X30)</f>
        <v>271248.5</v>
      </c>
      <c r="Z30" s="17" t="s">
        <v>31</v>
      </c>
      <c r="AA30" s="1" t="n">
        <f aca="false">[1]Wilton!$BR$150</f>
        <v>271248.5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D31" s="1" t="n">
        <v>0</v>
      </c>
      <c r="E31" s="1" t="n">
        <v>0</v>
      </c>
      <c r="F31" s="15" t="n">
        <v>0</v>
      </c>
      <c r="G31" s="1" t="n">
        <v>7949</v>
      </c>
      <c r="H31" s="1" t="n">
        <v>29402</v>
      </c>
      <c r="I31" s="1" t="n">
        <v>13770.85</v>
      </c>
      <c r="J31" s="1" t="n">
        <v>7746</v>
      </c>
      <c r="K31" s="1" t="n">
        <v>6276</v>
      </c>
      <c r="L31" s="1" t="n">
        <v>6591.41</v>
      </c>
      <c r="M31" s="1" t="n">
        <v>0</v>
      </c>
      <c r="N31" s="1" t="n">
        <v>0</v>
      </c>
      <c r="O31" s="1" t="n">
        <v>0</v>
      </c>
      <c r="P31" s="1" t="n">
        <v>0</v>
      </c>
      <c r="Q31" s="1" t="n">
        <v>19124</v>
      </c>
      <c r="R31" s="1" t="n">
        <v>9119.08</v>
      </c>
      <c r="S31" s="1" t="n">
        <v>9717.45</v>
      </c>
      <c r="T31" s="1" t="n">
        <f aca="false">5588+13333</f>
        <v>18921</v>
      </c>
      <c r="U31" s="1" t="n">
        <f aca="false">6742+33723+13333-9119.08+13818-9717.45</f>
        <v>48779.47</v>
      </c>
      <c r="Y31" s="16" t="n">
        <f aca="false">SUM(C31:X31)</f>
        <v>177396.26</v>
      </c>
      <c r="Z31" s="17" t="s">
        <v>31</v>
      </c>
    </row>
    <row r="32" customFormat="false" ht="12.75" hidden="false" customHeight="false" outlineLevel="0" collapsed="false">
      <c r="A32" s="1" t="s">
        <v>40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0</v>
      </c>
      <c r="H32" s="1" t="n">
        <v>11792</v>
      </c>
      <c r="I32" s="1" t="n">
        <f aca="false">11675+5185</f>
        <v>16860</v>
      </c>
      <c r="J32" s="1" t="n">
        <f aca="false">3599+10838+1916.6</f>
        <v>16353.6</v>
      </c>
      <c r="K32" s="1" t="n">
        <v>33741</v>
      </c>
      <c r="L32" s="1" t="n">
        <f aca="false">20657.14+6342.74</f>
        <v>26999.88</v>
      </c>
      <c r="M32" s="1" t="n">
        <v>47825</v>
      </c>
      <c r="N32" s="1" t="n">
        <v>131162</v>
      </c>
      <c r="O32" s="1" t="n">
        <v>154225</v>
      </c>
      <c r="P32" s="1" t="n">
        <v>51069</v>
      </c>
      <c r="Q32" s="1" t="n">
        <v>42246.5</v>
      </c>
      <c r="R32" s="1" t="n">
        <v>73751</v>
      </c>
      <c r="S32" s="1" t="n">
        <v>101690</v>
      </c>
      <c r="T32" s="1" t="n">
        <f aca="false">1786+68710-42019</f>
        <v>28477</v>
      </c>
      <c r="U32" s="1" t="n">
        <f aca="false">36960-8586+14604+3310+635</f>
        <v>46923</v>
      </c>
      <c r="Y32" s="16" t="n">
        <f aca="false">SUM(C32:X32)</f>
        <v>783114.98</v>
      </c>
      <c r="Z32" s="17" t="s">
        <v>31</v>
      </c>
    </row>
    <row r="33" customFormat="false" ht="12.75" hidden="false" customHeight="false" outlineLevel="0" collapsed="false">
      <c r="A33" s="1" t="s">
        <v>41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604.5</v>
      </c>
      <c r="I33" s="1" t="n">
        <v>0</v>
      </c>
      <c r="J33" s="1" t="n">
        <v>21423</v>
      </c>
      <c r="K33" s="1" t="n">
        <v>0</v>
      </c>
      <c r="L33" s="1" t="n">
        <v>75</v>
      </c>
      <c r="M33" s="1" t="n">
        <v>6749</v>
      </c>
      <c r="N33" s="1" t="n">
        <v>4455</v>
      </c>
      <c r="O33" s="1" t="n">
        <f aca="false">252209+5848.5</f>
        <v>258057.5</v>
      </c>
      <c r="P33" s="1" t="n">
        <v>49464</v>
      </c>
      <c r="Q33" s="1" t="n">
        <v>0</v>
      </c>
      <c r="R33" s="1" t="n">
        <v>0</v>
      </c>
      <c r="S33" s="1" t="n">
        <v>0</v>
      </c>
      <c r="T33" s="1" t="n">
        <f aca="false">54925-5848.5+50000</f>
        <v>99076.5</v>
      </c>
      <c r="U33" s="1" t="n">
        <f aca="false">15544+19571+73404</f>
        <v>108519</v>
      </c>
      <c r="Y33" s="16" t="n">
        <f aca="false">SUM(C33:X33)</f>
        <v>548423.5</v>
      </c>
      <c r="Z33" s="17" t="s">
        <v>31</v>
      </c>
      <c r="AA33" s="1" t="n">
        <v>0</v>
      </c>
    </row>
    <row r="34" customFormat="false" ht="12.75" hidden="false" customHeight="false" outlineLevel="0" collapsed="false">
      <c r="A34" s="1" t="s">
        <v>42</v>
      </c>
      <c r="C34" s="18" t="n">
        <f aca="false">SUM(C10:C33)</f>
        <v>6800000</v>
      </c>
      <c r="D34" s="18" t="n">
        <f aca="false">SUM(D10:D33)</f>
        <v>1250000</v>
      </c>
      <c r="E34" s="18" t="n">
        <f aca="false">SUM(E10:E33)</f>
        <v>32884800</v>
      </c>
      <c r="F34" s="18" t="n">
        <f aca="false">SUM(F10:F33)</f>
        <v>20000</v>
      </c>
      <c r="G34" s="18" t="n">
        <f aca="false">SUM(G10:G33)</f>
        <v>1454310</v>
      </c>
      <c r="H34" s="18" t="n">
        <f aca="false">SUM(H10:H33)</f>
        <v>18431906.5</v>
      </c>
      <c r="I34" s="18" t="n">
        <f aca="false">SUM(I10:I33)</f>
        <v>7659172.85</v>
      </c>
      <c r="J34" s="18" t="n">
        <f aca="false">SUM(J10:J33)</f>
        <v>8382273.59333333</v>
      </c>
      <c r="K34" s="18" t="n">
        <f aca="false">SUM(K10:K33)</f>
        <v>6523038.55333333</v>
      </c>
      <c r="L34" s="18" t="n">
        <f aca="false">SUM(L10:L33)</f>
        <v>7283592.80333333</v>
      </c>
      <c r="M34" s="18" t="n">
        <f aca="false">SUM(M10:M33)</f>
        <v>11032599.53</v>
      </c>
      <c r="N34" s="18" t="n">
        <f aca="false">SUM(N10:N33)</f>
        <v>17015699.3333333</v>
      </c>
      <c r="O34" s="18" t="n">
        <f aca="false">SUM(O10:O33)</f>
        <v>38436364.0833333</v>
      </c>
      <c r="P34" s="18" t="n">
        <f aca="false">SUM(P10:P33)</f>
        <v>2052829.13333333</v>
      </c>
      <c r="Q34" s="18" t="n">
        <f aca="false">SUM(Q10:Q33)</f>
        <v>28278094.7133333</v>
      </c>
      <c r="R34" s="18" t="n">
        <f aca="false">SUM(R10:R33)</f>
        <v>22281321.0333333</v>
      </c>
      <c r="S34" s="18" t="n">
        <f aca="false">SUM(S10:S33)</f>
        <v>20522879.7833333</v>
      </c>
      <c r="T34" s="18" t="n">
        <f aca="false">SUM(T10:T33)</f>
        <v>14369626.8333333</v>
      </c>
      <c r="U34" s="18" t="n">
        <f aca="false">SUM(U10:U33)</f>
        <v>36074752.8033333</v>
      </c>
      <c r="V34" s="18" t="n">
        <f aca="false">SUM(V10:V33)</f>
        <v>0</v>
      </c>
      <c r="W34" s="18" t="n">
        <f aca="false">SUM(W10:W33)</f>
        <v>0</v>
      </c>
      <c r="X34" s="18" t="n">
        <f aca="false">SUM(X10:X33)</f>
        <v>0</v>
      </c>
      <c r="Y34" s="19" t="n">
        <f aca="false">SUM(C34:X34)</f>
        <v>280753261.546667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6800000</v>
      </c>
      <c r="D35" s="18" t="n">
        <f aca="false">+C35+D34</f>
        <v>8050000</v>
      </c>
      <c r="E35" s="18" t="n">
        <f aca="false">+D35+E34</f>
        <v>40934800</v>
      </c>
      <c r="F35" s="18" t="n">
        <f aca="false">+E35+F34</f>
        <v>40954800</v>
      </c>
      <c r="G35" s="18" t="n">
        <f aca="false">+F35+G34</f>
        <v>42409110</v>
      </c>
      <c r="H35" s="18" t="n">
        <f aca="false">+G35+H34</f>
        <v>60841016.5</v>
      </c>
      <c r="I35" s="18" t="n">
        <f aca="false">+H35+I34</f>
        <v>68500189.35</v>
      </c>
      <c r="J35" s="18" t="n">
        <f aca="false">+I35+J34</f>
        <v>76882462.9433333</v>
      </c>
      <c r="K35" s="18" t="n">
        <f aca="false">+J35+K34</f>
        <v>83405501.4966667</v>
      </c>
      <c r="L35" s="18" t="n">
        <f aca="false">+K35+L34</f>
        <v>90689094.3</v>
      </c>
      <c r="M35" s="18" t="n">
        <f aca="false">+L35+M34</f>
        <v>101721693.83</v>
      </c>
      <c r="N35" s="18" t="n">
        <f aca="false">+M35+N34</f>
        <v>118737393.163333</v>
      </c>
      <c r="O35" s="18" t="n">
        <f aca="false">+N35+O34</f>
        <v>157173757.246667</v>
      </c>
      <c r="P35" s="18" t="n">
        <f aca="false">+O35+P34</f>
        <v>159226586.38</v>
      </c>
      <c r="Q35" s="18" t="n">
        <f aca="false">+P35+Q34</f>
        <v>187504681.093333</v>
      </c>
      <c r="R35" s="18" t="n">
        <f aca="false">+Q35+R34</f>
        <v>209786002.126667</v>
      </c>
      <c r="S35" s="18" t="n">
        <f aca="false">+R35+S34</f>
        <v>230308881.91</v>
      </c>
      <c r="T35" s="18" t="n">
        <f aca="false">+S35+T34</f>
        <v>244678508.743333</v>
      </c>
      <c r="U35" s="18" t="n">
        <f aca="false">+T35+U34</f>
        <v>280753261.546667</v>
      </c>
      <c r="V35" s="18" t="n">
        <f aca="false">+U35+V34</f>
        <v>280753261.546667</v>
      </c>
      <c r="W35" s="18" t="n">
        <f aca="false">+V35+W34</f>
        <v>280753261.546667</v>
      </c>
      <c r="X35" s="18" t="n">
        <f aca="false">+W35+X34</f>
        <v>280753261.546667</v>
      </c>
      <c r="Y35" s="20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461.765232807018</v>
      </c>
    </row>
    <row r="37" customFormat="false" ht="12.75" hidden="false" customHeight="false" outlineLevel="0" collapsed="false">
      <c r="F37" s="15"/>
      <c r="Y37" s="16"/>
    </row>
    <row r="38" customFormat="false" ht="12.75" hidden="false" customHeight="false" outlineLevel="0" collapsed="false">
      <c r="A38" s="1" t="s">
        <v>86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340000</v>
      </c>
      <c r="D39" s="1" t="n">
        <v>46410</v>
      </c>
      <c r="E39" s="1" t="n">
        <v>139384</v>
      </c>
      <c r="F39" s="15" t="n">
        <f aca="false">205882.6+21556.4</f>
        <v>227439</v>
      </c>
      <c r="G39" s="15" t="n">
        <v>231444</v>
      </c>
      <c r="H39" s="15" t="n">
        <v>419367</v>
      </c>
      <c r="I39" s="15" t="n">
        <v>378615.552520833</v>
      </c>
      <c r="J39" s="15" t="n">
        <v>426070.368727543</v>
      </c>
      <c r="K39" s="15" t="n">
        <v>463711.375388706</v>
      </c>
      <c r="L39" s="15" t="n">
        <v>505639.68570277</v>
      </c>
      <c r="M39" s="15" t="n">
        <v>568176.300858508</v>
      </c>
      <c r="N39" s="15" t="n">
        <v>663422.293877047</v>
      </c>
      <c r="O39" s="15" t="n">
        <v>873819.325295269</v>
      </c>
      <c r="P39" s="15" t="n">
        <v>891069.815904508</v>
      </c>
      <c r="Q39" s="15" t="n">
        <v>1048965.86877121</v>
      </c>
      <c r="R39" s="15" t="n">
        <v>1175441.84449095</v>
      </c>
      <c r="S39" s="15" t="n">
        <f aca="false">(S35+R44)*$C49/12</f>
        <v>1292974.41997499</v>
      </c>
      <c r="T39" s="15" t="n">
        <f aca="false">(T35+S44)*$C49/12</f>
        <v>1377813.51009708</v>
      </c>
      <c r="U39" s="15" t="n">
        <f aca="false">(U35+T44)*$C49/12</f>
        <v>1580681.57762816</v>
      </c>
      <c r="V39" s="15"/>
      <c r="W39" s="15"/>
      <c r="X39" s="15"/>
      <c r="Y39" s="16" t="n">
        <f aca="false">SUM(C39:X39)</f>
        <v>12650445.9392376</v>
      </c>
      <c r="Z39" s="17" t="n">
        <f aca="false">Z52</f>
        <v>0</v>
      </c>
    </row>
    <row r="40" customFormat="false" ht="12.75" hidden="false" customHeight="false" outlineLevel="0" collapsed="false">
      <c r="A40" s="1" t="s">
        <v>87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n">
        <f aca="false">Z39</f>
        <v>0</v>
      </c>
    </row>
    <row r="41" customFormat="false" ht="12.75" hidden="false" customHeight="false" outlineLevel="0" collapsed="false">
      <c r="A41" s="1" t="s">
        <v>104</v>
      </c>
      <c r="C41" s="2" t="n">
        <v>0</v>
      </c>
      <c r="H41" s="1" t="n">
        <v>100</v>
      </c>
      <c r="K41" s="1" t="n">
        <f aca="false">220+59</f>
        <v>279</v>
      </c>
      <c r="L41" s="1" t="n">
        <v>10</v>
      </c>
      <c r="M41" s="1" t="n">
        <v>0</v>
      </c>
      <c r="N41" s="1" t="n">
        <v>800</v>
      </c>
      <c r="Y41" s="16" t="n">
        <f aca="false">SUM(C41:X41)</f>
        <v>1189</v>
      </c>
      <c r="Z41" s="17"/>
    </row>
    <row r="42" customFormat="false" ht="12.75" hidden="false" customHeight="false" outlineLevel="0" collapsed="false">
      <c r="A42" s="1" t="s">
        <v>88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Z23</f>
        <v>Mike Miller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340000</v>
      </c>
      <c r="D43" s="18" t="n">
        <f aca="false">SUM(D38:D42)</f>
        <v>46410</v>
      </c>
      <c r="E43" s="18" t="n">
        <f aca="false">SUM(E38:E42)</f>
        <v>139384</v>
      </c>
      <c r="F43" s="18" t="n">
        <f aca="false">SUM(F38:F42)</f>
        <v>205882.6</v>
      </c>
      <c r="G43" s="18" t="n">
        <f aca="false">SUM(G38:G42)</f>
        <v>297922.9</v>
      </c>
      <c r="H43" s="18" t="n">
        <f aca="false">SUM(H38:H42)</f>
        <v>368467</v>
      </c>
      <c r="I43" s="18" t="n">
        <f aca="false">SUM(I38:I42)</f>
        <v>378615.552520833</v>
      </c>
      <c r="J43" s="18" t="n">
        <f aca="false">SUM(J38:J42)</f>
        <v>426070.368727543</v>
      </c>
      <c r="K43" s="18" t="n">
        <f aca="false">SUM(K38:K42)</f>
        <v>463990.375388706</v>
      </c>
      <c r="L43" s="18" t="n">
        <f aca="false">SUM(L38:L42)</f>
        <v>505649.68570277</v>
      </c>
      <c r="M43" s="18" t="n">
        <f aca="false">SUM(M38:M42)</f>
        <v>568176.300858508</v>
      </c>
      <c r="N43" s="18" t="n">
        <f aca="false">SUM(N38:N42)</f>
        <v>664222.293877047</v>
      </c>
      <c r="O43" s="18" t="n">
        <f aca="false">SUM(O38:O42)</f>
        <v>873819.325295269</v>
      </c>
      <c r="P43" s="18" t="n">
        <f aca="false">SUM(P38:P42)</f>
        <v>891069.815904508</v>
      </c>
      <c r="Q43" s="18" t="n">
        <f aca="false">SUM(Q38:Q42)</f>
        <v>1048965.86877121</v>
      </c>
      <c r="R43" s="18" t="n">
        <f aca="false">SUM(R38:R42)</f>
        <v>1175441.84449095</v>
      </c>
      <c r="S43" s="18" t="n">
        <f aca="false">SUM(S38:S42)</f>
        <v>1292974.41997499</v>
      </c>
      <c r="T43" s="18" t="n">
        <f aca="false">SUM(T38:T42)</f>
        <v>1377813.51009708</v>
      </c>
      <c r="U43" s="18" t="n">
        <f aca="false">SUM(U38:U42)</f>
        <v>1580681.57762816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SUM(C43:U43)</f>
        <v>12645557.4392376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340000</v>
      </c>
      <c r="D44" s="18" t="n">
        <f aca="false">+D43+C44</f>
        <v>386410</v>
      </c>
      <c r="E44" s="18" t="n">
        <f aca="false">+E43+D44</f>
        <v>525794</v>
      </c>
      <c r="F44" s="18" t="n">
        <f aca="false">+F43+E44</f>
        <v>731676.6</v>
      </c>
      <c r="G44" s="18" t="n">
        <f aca="false">+G43+F44</f>
        <v>1029599.5</v>
      </c>
      <c r="H44" s="18" t="n">
        <f aca="false">+H43+G44</f>
        <v>1398066.5</v>
      </c>
      <c r="I44" s="18" t="n">
        <f aca="false">+I43+H44</f>
        <v>1776682.05252083</v>
      </c>
      <c r="J44" s="18" t="n">
        <f aca="false">+J43+I44</f>
        <v>2202752.42124838</v>
      </c>
      <c r="K44" s="18" t="n">
        <f aca="false">+K43+J44</f>
        <v>2666742.79663708</v>
      </c>
      <c r="L44" s="18" t="n">
        <f aca="false">+L43+K44</f>
        <v>3172392.48233985</v>
      </c>
      <c r="M44" s="18" t="n">
        <f aca="false">+M43+L44</f>
        <v>3740568.78319836</v>
      </c>
      <c r="N44" s="18" t="n">
        <f aca="false">+N43+M44</f>
        <v>4404791.07707541</v>
      </c>
      <c r="O44" s="18" t="n">
        <f aca="false">+O43+N44</f>
        <v>5278610.40237068</v>
      </c>
      <c r="P44" s="18" t="n">
        <f aca="false">+P43+O44</f>
        <v>6169680.21827518</v>
      </c>
      <c r="Q44" s="18" t="n">
        <f aca="false">+Q43+P44</f>
        <v>7218646.0870464</v>
      </c>
      <c r="R44" s="18" t="n">
        <f aca="false">+R43+Q44</f>
        <v>8394087.93153734</v>
      </c>
      <c r="S44" s="18" t="n">
        <f aca="false">+S43+R44</f>
        <v>9687062.35151234</v>
      </c>
      <c r="T44" s="18" t="n">
        <f aca="false">+T43+S44</f>
        <v>11064875.8616094</v>
      </c>
      <c r="U44" s="18" t="n">
        <f aca="false">+U43+T44</f>
        <v>12645557.4392376</v>
      </c>
      <c r="V44" s="18" t="n">
        <f aca="false">+V43+U44</f>
        <v>12645557.4392376</v>
      </c>
      <c r="W44" s="18" t="n">
        <f aca="false">+W43+V44</f>
        <v>12645557.4392376</v>
      </c>
      <c r="X44" s="18" t="n">
        <f aca="false">+X43+W44</f>
        <v>12645557.4392376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105</v>
      </c>
      <c r="B46" s="2"/>
      <c r="C46" s="2" t="n">
        <f aca="false">+C34+C43</f>
        <v>7140000</v>
      </c>
      <c r="D46" s="2" t="n">
        <f aca="false">+D34+D43</f>
        <v>1296410</v>
      </c>
      <c r="E46" s="2" t="n">
        <f aca="false">+E34+E43</f>
        <v>33024184</v>
      </c>
      <c r="F46" s="2" t="n">
        <f aca="false">+F34+F43</f>
        <v>225882.6</v>
      </c>
      <c r="G46" s="2" t="n">
        <f aca="false">+G34+G43</f>
        <v>1752232.9</v>
      </c>
      <c r="H46" s="2" t="n">
        <f aca="false">+H34+H43</f>
        <v>18800373.5</v>
      </c>
      <c r="I46" s="2" t="n">
        <f aca="false">+I34+I43</f>
        <v>8037788.40252083</v>
      </c>
      <c r="J46" s="2" t="n">
        <f aca="false">+J34+J43</f>
        <v>8808343.96206088</v>
      </c>
      <c r="K46" s="2" t="n">
        <f aca="false">+K34+K43</f>
        <v>6987028.92872204</v>
      </c>
      <c r="L46" s="2" t="n">
        <f aca="false">+L34+L43</f>
        <v>7789242.4890361</v>
      </c>
      <c r="M46" s="2" t="n">
        <f aca="false">+M34+M43</f>
        <v>11600775.8308585</v>
      </c>
      <c r="N46" s="2" t="n">
        <f aca="false">+N34+N43</f>
        <v>17679921.6272104</v>
      </c>
      <c r="O46" s="2" t="n">
        <f aca="false">+O34+O43</f>
        <v>39310183.4086286</v>
      </c>
      <c r="P46" s="2" t="n">
        <f aca="false">+P34+P43</f>
        <v>2943898.94923784</v>
      </c>
      <c r="Q46" s="2" t="n">
        <f aca="false">+Q34+Q43</f>
        <v>29327060.5821046</v>
      </c>
      <c r="R46" s="2" t="n">
        <f aca="false">+R34+R43</f>
        <v>23456762.8778243</v>
      </c>
      <c r="S46" s="2" t="n">
        <f aca="false">+S34+S43</f>
        <v>21815854.2033083</v>
      </c>
      <c r="T46" s="2" t="n">
        <f aca="false">+T34+T43</f>
        <v>15747440.3434304</v>
      </c>
      <c r="U46" s="2" t="n">
        <f aca="false">+U34+U43</f>
        <v>37655434.3809615</v>
      </c>
      <c r="V46" s="2" t="n">
        <f aca="false">+V34+V43</f>
        <v>0</v>
      </c>
      <c r="W46" s="2" t="n">
        <f aca="false">+W34+W43</f>
        <v>0</v>
      </c>
      <c r="X46" s="2" t="n">
        <f aca="false">+X34+X43</f>
        <v>0</v>
      </c>
      <c r="Y46" s="16" t="n">
        <f aca="false">SUM(C46:X46)</f>
        <v>293398818.985904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7140000</v>
      </c>
      <c r="D47" s="2" t="n">
        <f aca="false">C47+D46</f>
        <v>8436410</v>
      </c>
      <c r="E47" s="2" t="n">
        <f aca="false">D47+E46</f>
        <v>41460594</v>
      </c>
      <c r="F47" s="2" t="n">
        <f aca="false">E47+F46</f>
        <v>41686476.6</v>
      </c>
      <c r="G47" s="2" t="n">
        <f aca="false">F47+G46</f>
        <v>43438709.5</v>
      </c>
      <c r="H47" s="2" t="n">
        <f aca="false">G47+H46</f>
        <v>62239083</v>
      </c>
      <c r="I47" s="2" t="n">
        <f aca="false">H47+I46</f>
        <v>70276871.4025208</v>
      </c>
      <c r="J47" s="2" t="n">
        <f aca="false">I47+J46</f>
        <v>79085215.3645817</v>
      </c>
      <c r="K47" s="2" t="n">
        <f aca="false">J47+K46</f>
        <v>86072244.2933037</v>
      </c>
      <c r="L47" s="2" t="n">
        <f aca="false">K47+L46</f>
        <v>93861486.7823398</v>
      </c>
      <c r="M47" s="2" t="n">
        <f aca="false">L47+M46</f>
        <v>105462262.613198</v>
      </c>
      <c r="N47" s="2" t="n">
        <f aca="false">M47+N46</f>
        <v>123142184.240409</v>
      </c>
      <c r="O47" s="2" t="n">
        <f aca="false">N47+O46</f>
        <v>162452367.649037</v>
      </c>
      <c r="P47" s="2" t="n">
        <f aca="false">O47+P46</f>
        <v>165396266.598275</v>
      </c>
      <c r="Q47" s="2" t="n">
        <f aca="false">P47+Q46</f>
        <v>194723327.18038</v>
      </c>
      <c r="R47" s="2" t="n">
        <f aca="false">Q47+R46</f>
        <v>218180090.058204</v>
      </c>
      <c r="S47" s="2" t="n">
        <f aca="false">R47+S46</f>
        <v>239995944.261512</v>
      </c>
      <c r="T47" s="2" t="n">
        <f aca="false">S47+T46</f>
        <v>255743384.604943</v>
      </c>
      <c r="U47" s="2" t="n">
        <f aca="false">T47+U46</f>
        <v>293398818.985904</v>
      </c>
      <c r="V47" s="2" t="n">
        <f aca="false">U47+V46</f>
        <v>293398818.985904</v>
      </c>
      <c r="W47" s="2" t="n">
        <f aca="false">V47+W46</f>
        <v>293398818.985904</v>
      </c>
      <c r="X47" s="2" t="n">
        <f aca="false">W47+X46</f>
        <v>293398818.985904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1" t="s">
        <v>44</v>
      </c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482.56384701629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89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90</v>
      </c>
      <c r="B50" s="2"/>
      <c r="C50" s="8" t="n">
        <v>0.0035</v>
      </c>
      <c r="D50" s="29" t="n">
        <v>245672000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/>
      <c r="B51" s="2"/>
      <c r="C51" s="2" t="n">
        <v>608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U52" s="1" t="n">
        <v>0</v>
      </c>
      <c r="Y52" s="22" t="n">
        <f aca="false">SUM(C52:U52)</f>
        <v>0</v>
      </c>
      <c r="Z52" s="17" t="n">
        <f aca="false">Z41</f>
        <v>0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6800000</v>
      </c>
      <c r="D54" s="2" t="n">
        <f aca="false">+D46-D39</f>
        <v>1250000</v>
      </c>
      <c r="E54" s="2" t="n">
        <f aca="false">+E46-E39</f>
        <v>32884800</v>
      </c>
      <c r="F54" s="2" t="n">
        <f aca="false">+F46-F39</f>
        <v>-1556.39999999999</v>
      </c>
      <c r="G54" s="2" t="n">
        <f aca="false">+G46-G39</f>
        <v>1520788.9</v>
      </c>
      <c r="H54" s="2" t="n">
        <f aca="false">+H46-H39</f>
        <v>18381006.5</v>
      </c>
      <c r="I54" s="2" t="n">
        <f aca="false">+I46-I39</f>
        <v>7659172.85</v>
      </c>
      <c r="J54" s="2" t="n">
        <f aca="false">+J46-J39</f>
        <v>8382273.59333333</v>
      </c>
      <c r="K54" s="2" t="n">
        <f aca="false">+K46-K39</f>
        <v>6523317.55333333</v>
      </c>
      <c r="L54" s="2" t="n">
        <f aca="false">+L46-L39</f>
        <v>7283602.80333333</v>
      </c>
      <c r="M54" s="2" t="n">
        <f aca="false">+M46-M39</f>
        <v>11032599.53</v>
      </c>
      <c r="N54" s="2" t="n">
        <f aca="false">+N46-N39</f>
        <v>17016499.3333333</v>
      </c>
      <c r="O54" s="2" t="n">
        <f aca="false">+O46-O39</f>
        <v>38436364.0833333</v>
      </c>
      <c r="P54" s="2" t="n">
        <f aca="false">+P46-P39</f>
        <v>2052829.13333333</v>
      </c>
      <c r="Q54" s="2" t="n">
        <f aca="false">+Q46-Q39</f>
        <v>28278094.7133333</v>
      </c>
      <c r="R54" s="2" t="n">
        <f aca="false">+R46-R39</f>
        <v>22281321.0333333</v>
      </c>
      <c r="S54" s="2" t="n">
        <f aca="false">+S46-S39</f>
        <v>20522879.7833333</v>
      </c>
      <c r="T54" s="2" t="n">
        <f aca="false">+T46-T39</f>
        <v>14369626.8333333</v>
      </c>
      <c r="U54" s="2" t="n">
        <f aca="false">+U46-U39</f>
        <v>36074752.8033333</v>
      </c>
      <c r="V54" s="2" t="n">
        <f aca="false">+V46-V39</f>
        <v>0</v>
      </c>
      <c r="W54" s="2" t="n">
        <f aca="false">+W46-W39</f>
        <v>0</v>
      </c>
      <c r="X54" s="2" t="n">
        <f aca="false">+X46-X39</f>
        <v>0</v>
      </c>
      <c r="Y54" s="16" t="n">
        <f aca="false">SUM(C54:X54)</f>
        <v>280748373.046667</v>
      </c>
    </row>
    <row r="55" customFormat="false" ht="9.75" hidden="false" customHeight="true" outlineLevel="0" collapsed="false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6"/>
    </row>
    <row r="56" customFormat="false" ht="12.75" hidden="false" customHeight="false" outlineLevel="0" collapsed="false">
      <c r="Y56" s="16"/>
    </row>
    <row r="57" customFormat="false" ht="20.25" hidden="false" customHeight="false" outlineLevel="0" collapsed="false">
      <c r="A57" s="26" t="s">
        <v>74</v>
      </c>
      <c r="Y57" s="16"/>
      <c r="AB57" s="1" t="s">
        <v>106</v>
      </c>
    </row>
    <row r="58" customFormat="false" ht="12.75" hidden="false" customHeight="false" outlineLevel="0" collapsed="false">
      <c r="A58" s="9" t="s">
        <v>20</v>
      </c>
      <c r="Y58" s="16"/>
      <c r="AB58" s="1" t="s">
        <v>107</v>
      </c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8000</v>
      </c>
      <c r="G59" s="1" t="n">
        <v>24712</v>
      </c>
      <c r="H59" s="1" t="n">
        <v>0</v>
      </c>
      <c r="I59" s="1" t="n">
        <v>0</v>
      </c>
      <c r="J59" s="1" t="n">
        <v>14873.37</v>
      </c>
      <c r="K59" s="1" t="n">
        <v>2460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SUM(C59:U59)</f>
        <v>50045.37</v>
      </c>
      <c r="Z59" s="17" t="s">
        <v>31</v>
      </c>
      <c r="AA59" s="1" t="n">
        <f aca="false">Y59+Y25</f>
        <v>399999.83</v>
      </c>
      <c r="AB59" s="1" t="n">
        <f aca="false">[1]Wilton!$BR$138</f>
        <v>400000</v>
      </c>
      <c r="AC59" s="1" t="n">
        <f aca="false">AB59-AA59</f>
        <v>0.169999999983702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1236</v>
      </c>
      <c r="E60" s="1" t="n">
        <f aca="false">56608-22604+22500</f>
        <v>56504</v>
      </c>
      <c r="F60" s="15" t="n">
        <f aca="false">5706+21114</f>
        <v>26820</v>
      </c>
      <c r="G60" s="1" t="n">
        <f aca="false">9652+1899</f>
        <v>11551</v>
      </c>
      <c r="H60" s="1" t="n">
        <v>0</v>
      </c>
      <c r="I60" s="1" t="n">
        <f aca="false">169479.45+30387.78</f>
        <v>199867.23</v>
      </c>
      <c r="J60" s="1" t="n">
        <f aca="false">566.91+3047.17+16608.78+17351.65+10439.68</f>
        <v>48014.19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SUM(C60:U60)</f>
        <v>343992.42</v>
      </c>
      <c r="Z60" s="17" t="str">
        <f aca="false">Z59</f>
        <v>Scott Healy</v>
      </c>
      <c r="AA60" s="1" t="n">
        <f aca="false">Y60+Y32</f>
        <v>1127107.4</v>
      </c>
      <c r="AB60" s="1" t="n">
        <f aca="false">[1]Wilton!$BR$161</f>
        <v>1127107.57</v>
      </c>
      <c r="AC60" s="1" t="n">
        <f aca="false">AB60-AA60</f>
        <v>0.169999999925494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0</v>
      </c>
      <c r="E61" s="1" t="n">
        <v>22604</v>
      </c>
      <c r="F61" s="15" t="n">
        <v>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T61" s="1" t="n">
        <v>0</v>
      </c>
      <c r="U61" s="1" t="n">
        <v>0</v>
      </c>
      <c r="Y61" s="16" t="n">
        <f aca="false">SUM(C61:U61)</f>
        <v>22604</v>
      </c>
      <c r="Z61" s="17" t="str">
        <f aca="false">Z60</f>
        <v>Scott Healy</v>
      </c>
      <c r="AA61" s="1" t="n">
        <f aca="false">Y61+Y31</f>
        <v>200000.26</v>
      </c>
      <c r="AB61" s="1" t="n">
        <f aca="false">[1]Wilton!$BR$152</f>
        <v>200000</v>
      </c>
      <c r="AC61" s="1" t="n">
        <f aca="false">AB61-AA61</f>
        <v>-0.260000000009313</v>
      </c>
    </row>
    <row r="62" customFormat="false" ht="12.75" hidden="false" customHeight="false" outlineLevel="0" collapsed="false">
      <c r="A62" s="1" t="s">
        <v>41</v>
      </c>
      <c r="C62" s="2" t="n">
        <v>0</v>
      </c>
      <c r="D62" s="1" t="n">
        <v>0</v>
      </c>
      <c r="E62" s="1" t="n">
        <v>0</v>
      </c>
      <c r="F62" s="15" t="n">
        <v>10000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T62" s="1" t="n">
        <v>0</v>
      </c>
      <c r="U62" s="1" t="n">
        <v>0</v>
      </c>
      <c r="Y62" s="16" t="n">
        <f aca="false">SUM(C62:U62)</f>
        <v>10000</v>
      </c>
      <c r="Z62" s="17" t="str">
        <f aca="false">Z61</f>
        <v>Scott Healy</v>
      </c>
      <c r="AA62" s="1" t="n">
        <f aca="false">Y62+Y33</f>
        <v>558423.5</v>
      </c>
      <c r="AB62" s="1" t="n">
        <f aca="false">[1]Wilton!$BR$168</f>
        <v>558423.13</v>
      </c>
      <c r="AC62" s="1" t="n">
        <f aca="false">AB62-AA62</f>
        <v>-0.369999999995343</v>
      </c>
    </row>
    <row r="63" customFormat="false" ht="12.75" hidden="false" customHeight="false" outlineLevel="0" collapsed="false">
      <c r="A63" s="2" t="s">
        <v>108</v>
      </c>
      <c r="C63" s="18" t="n">
        <f aca="false">SUM(C59:C62)</f>
        <v>0</v>
      </c>
      <c r="D63" s="18" t="n">
        <f aca="false">SUM(D59:D62)</f>
        <v>1236</v>
      </c>
      <c r="E63" s="18" t="n">
        <f aca="false">SUM(E59:E62)</f>
        <v>79108</v>
      </c>
      <c r="F63" s="18" t="n">
        <f aca="false">SUM(F59:F62)</f>
        <v>44820</v>
      </c>
      <c r="G63" s="18" t="n">
        <f aca="false">SUM(G59:G62)</f>
        <v>36263</v>
      </c>
      <c r="H63" s="18" t="n">
        <f aca="false">SUM(H59:H62)</f>
        <v>0</v>
      </c>
      <c r="I63" s="18" t="n">
        <f aca="false">SUM(I59:I62)</f>
        <v>199867.23</v>
      </c>
      <c r="J63" s="18" t="n">
        <f aca="false">SUM(J59:J62)</f>
        <v>62887.56</v>
      </c>
      <c r="K63" s="18" t="n">
        <f aca="false">SUM(K59:K62)</f>
        <v>2460</v>
      </c>
      <c r="L63" s="18" t="n">
        <f aca="false">SUM(L59:L62)</f>
        <v>0</v>
      </c>
      <c r="M63" s="18" t="n">
        <f aca="false">SUM(M59:M62)</f>
        <v>0</v>
      </c>
      <c r="N63" s="18" t="n">
        <f aca="false">SUM(N59:N62)</f>
        <v>0</v>
      </c>
      <c r="O63" s="18" t="n">
        <f aca="false">SUM(O59:O62)</f>
        <v>0</v>
      </c>
      <c r="P63" s="18" t="n">
        <f aca="false">SUM(P59:P62)</f>
        <v>0</v>
      </c>
      <c r="Q63" s="18" t="n">
        <f aca="false">SUM(Q59:Q62)</f>
        <v>0</v>
      </c>
      <c r="R63" s="18" t="n">
        <f aca="false">SUM(R59:R62)</f>
        <v>0</v>
      </c>
      <c r="S63" s="18" t="n">
        <f aca="false">SUM(S59:S62)</f>
        <v>0</v>
      </c>
      <c r="T63" s="18" t="n">
        <f aca="false">SUM(T59:T62)</f>
        <v>0</v>
      </c>
      <c r="U63" s="18" t="n">
        <f aca="false">SUM(U59:U62)</f>
        <v>0</v>
      </c>
      <c r="V63" s="18" t="n">
        <f aca="false">SUM(V59:V62)</f>
        <v>0</v>
      </c>
      <c r="W63" s="18" t="n">
        <f aca="false">SUM(W59:W62)</f>
        <v>0</v>
      </c>
      <c r="X63" s="18" t="n">
        <f aca="false">SUM(X59:X62)</f>
        <v>0</v>
      </c>
      <c r="Y63" s="19" t="n">
        <f aca="false">SUM(C63:U63)</f>
        <v>426641.79</v>
      </c>
    </row>
    <row r="64" customFormat="false" ht="12.75" hidden="false" customHeight="false" outlineLevel="0" collapsed="false">
      <c r="A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6"/>
    </row>
    <row r="65" customFormat="false" ht="12.75" hidden="false" customHeight="false" outlineLevel="0" collapsed="false">
      <c r="A65" s="2" t="s">
        <v>92</v>
      </c>
      <c r="D65" s="2"/>
      <c r="E65" s="2"/>
      <c r="F65" s="2"/>
      <c r="G65" s="2" t="n">
        <v>-56500</v>
      </c>
      <c r="H65" s="2" t="n">
        <f aca="false">1-35</f>
        <v>-34</v>
      </c>
      <c r="I65" s="2" t="n">
        <v>-69954</v>
      </c>
      <c r="J65" s="2" t="n">
        <v>-22011</v>
      </c>
      <c r="K65" s="2" t="n">
        <f aca="false">-98-861</f>
        <v>-959</v>
      </c>
      <c r="L65" s="2" t="n">
        <f aca="false">-3</f>
        <v>-3</v>
      </c>
      <c r="M65" s="2" t="n">
        <f aca="false">52264-47</f>
        <v>52217</v>
      </c>
      <c r="N65" s="2" t="n">
        <f aca="false">-233-52264</f>
        <v>-52497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16" t="n">
        <f aca="false">SUM(G65:U65)</f>
        <v>-149741</v>
      </c>
    </row>
    <row r="66" customFormat="false" ht="12.75" hidden="false" customHeight="false" outlineLevel="0" collapsed="false">
      <c r="A66" s="18" t="s">
        <v>93</v>
      </c>
      <c r="B66" s="30"/>
      <c r="C66" s="18" t="n">
        <f aca="false">SUM(C63:C65)</f>
        <v>0</v>
      </c>
      <c r="D66" s="18" t="n">
        <f aca="false">SUM(D63:D65)</f>
        <v>1236</v>
      </c>
      <c r="E66" s="18" t="n">
        <f aca="false">SUM(E63:E65)</f>
        <v>79108</v>
      </c>
      <c r="F66" s="18" t="n">
        <f aca="false">SUM(F63:F65)</f>
        <v>44820</v>
      </c>
      <c r="G66" s="18" t="n">
        <f aca="false">SUM(G63:G65)</f>
        <v>-20237</v>
      </c>
      <c r="H66" s="18" t="n">
        <f aca="false">SUM(H63:H65)</f>
        <v>-34</v>
      </c>
      <c r="I66" s="18" t="n">
        <f aca="false">SUM(I63:I65)</f>
        <v>129913.23</v>
      </c>
      <c r="J66" s="18" t="n">
        <f aca="false">SUM(J63:J65)</f>
        <v>40876.56</v>
      </c>
      <c r="K66" s="18" t="n">
        <f aca="false">SUM(K63:K65)</f>
        <v>1501</v>
      </c>
      <c r="L66" s="18" t="n">
        <f aca="false">SUM(L63:L65)</f>
        <v>-3</v>
      </c>
      <c r="M66" s="18" t="n">
        <f aca="false">SUM(M63:M65)</f>
        <v>52217</v>
      </c>
      <c r="N66" s="18" t="n">
        <f aca="false">SUM(N63:N65)</f>
        <v>-52497</v>
      </c>
      <c r="O66" s="18" t="n">
        <f aca="false">SUM(O63:O65)</f>
        <v>0</v>
      </c>
      <c r="P66" s="18" t="n">
        <f aca="false">SUM(P63:P65)</f>
        <v>0</v>
      </c>
      <c r="Q66" s="18" t="n">
        <f aca="false">SUM(Q63:Q65)</f>
        <v>0</v>
      </c>
      <c r="R66" s="18" t="n">
        <f aca="false">SUM(R63:R65)</f>
        <v>0</v>
      </c>
      <c r="S66" s="18" t="n">
        <f aca="false">SUM(S63:S65)</f>
        <v>0</v>
      </c>
      <c r="T66" s="18" t="n">
        <f aca="false">SUM(T63:T65)</f>
        <v>0</v>
      </c>
      <c r="U66" s="18" t="n">
        <f aca="false">SUM(U63:U65)</f>
        <v>0</v>
      </c>
      <c r="V66" s="18" t="n">
        <f aca="false">SUM(V63:V65)</f>
        <v>0</v>
      </c>
      <c r="W66" s="18" t="n">
        <f aca="false">SUM(W63:W65)</f>
        <v>0</v>
      </c>
      <c r="X66" s="18" t="n">
        <f aca="false">SUM(X63:X65)</f>
        <v>0</v>
      </c>
      <c r="Y66" s="18" t="n">
        <f aca="false">SUM(Y63:Y65)</f>
        <v>276900.79</v>
      </c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  <c r="FF66" s="30"/>
      <c r="FG66" s="30"/>
      <c r="FH66" s="30"/>
      <c r="FI66" s="30"/>
      <c r="FJ66" s="30"/>
      <c r="FK66" s="30"/>
      <c r="FL66" s="30"/>
      <c r="FM66" s="30"/>
      <c r="FN66" s="30"/>
      <c r="FO66" s="30"/>
      <c r="FP66" s="30"/>
      <c r="FQ66" s="30"/>
      <c r="FR66" s="30"/>
      <c r="FS66" s="30"/>
      <c r="FT66" s="30"/>
      <c r="FU66" s="30"/>
      <c r="FV66" s="30"/>
      <c r="FW66" s="30"/>
      <c r="FX66" s="30"/>
      <c r="FY66" s="30"/>
      <c r="FZ66" s="30"/>
      <c r="GA66" s="30"/>
      <c r="GB66" s="30"/>
      <c r="GC66" s="30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0"/>
      <c r="HL66" s="30"/>
      <c r="HM66" s="30"/>
      <c r="HN66" s="30"/>
      <c r="HO66" s="30"/>
      <c r="HP66" s="30"/>
      <c r="HQ66" s="30"/>
      <c r="HR66" s="30"/>
      <c r="HS66" s="30"/>
      <c r="HT66" s="30"/>
      <c r="HU66" s="30"/>
      <c r="HV66" s="30"/>
      <c r="HW66" s="30"/>
      <c r="HX66" s="30"/>
      <c r="HY66" s="30"/>
      <c r="HZ66" s="30"/>
      <c r="IA66" s="30"/>
      <c r="IB66" s="30"/>
      <c r="IC66" s="30"/>
      <c r="ID66" s="30"/>
      <c r="IE66" s="30"/>
      <c r="IF66" s="30"/>
      <c r="IG66" s="30"/>
      <c r="IH66" s="30"/>
      <c r="II66" s="30"/>
      <c r="IJ66" s="30"/>
      <c r="IK66" s="30"/>
      <c r="IL66" s="30"/>
      <c r="IM66" s="30"/>
      <c r="IN66" s="30"/>
      <c r="IO66" s="30"/>
      <c r="IP66" s="30"/>
      <c r="IQ66" s="30"/>
      <c r="IR66" s="30"/>
      <c r="IS66" s="30"/>
      <c r="IT66" s="30"/>
      <c r="IU66" s="30"/>
      <c r="IV66" s="30"/>
      <c r="IW66" s="30"/>
    </row>
    <row r="67" customFormat="false" ht="12.75" hidden="false" customHeight="false" outlineLevel="0" collapsed="false">
      <c r="A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6"/>
    </row>
    <row r="68" customFormat="false" ht="12.75" hidden="false" customHeight="false" outlineLevel="0" collapsed="false">
      <c r="A68" s="2" t="s">
        <v>109</v>
      </c>
      <c r="Y68" s="16"/>
    </row>
    <row r="69" customFormat="false" ht="12.75" hidden="false" customHeight="false" outlineLevel="0" collapsed="false">
      <c r="A69" s="1" t="s">
        <v>39</v>
      </c>
      <c r="E69" s="1" t="n">
        <v>19729</v>
      </c>
      <c r="F69" s="1" t="n">
        <v>0</v>
      </c>
      <c r="H69" s="1" t="n">
        <v>12698.23</v>
      </c>
      <c r="J69" s="1" t="n">
        <v>5725</v>
      </c>
      <c r="O69" s="1" t="n">
        <v>1242.3</v>
      </c>
      <c r="Y69" s="16" t="n">
        <f aca="false">SUM(C69:U69)</f>
        <v>39394.53</v>
      </c>
      <c r="Z69" s="17" t="str">
        <f aca="false">+Z62</f>
        <v>Scott Healy</v>
      </c>
    </row>
    <row r="70" customFormat="false" ht="12.75" hidden="false" customHeight="false" outlineLevel="0" collapsed="false">
      <c r="A70" s="1" t="s">
        <v>40</v>
      </c>
      <c r="D70" s="1" t="n">
        <v>1343</v>
      </c>
      <c r="E70" s="15" t="n">
        <f aca="false">24234.66+4681.29</f>
        <v>28915.95</v>
      </c>
      <c r="F70" s="1" t="n">
        <f aca="false">19059+269.69</f>
        <v>19328.69</v>
      </c>
      <c r="G70" s="1" t="n">
        <v>568</v>
      </c>
      <c r="H70" s="1" t="n">
        <v>68419</v>
      </c>
      <c r="L70" s="1" t="n">
        <v>591.45</v>
      </c>
      <c r="Y70" s="16" t="n">
        <f aca="false">SUM(C70:U70)</f>
        <v>119166.09</v>
      </c>
      <c r="Z70" s="17" t="str">
        <f aca="false">Z69</f>
        <v>Scott Healy</v>
      </c>
    </row>
    <row r="71" customFormat="false" ht="12.75" hidden="false" customHeight="false" outlineLevel="0" collapsed="false">
      <c r="A71" s="1" t="s">
        <v>41</v>
      </c>
      <c r="C71" s="2" t="n">
        <v>52133</v>
      </c>
      <c r="G71" s="1" t="n">
        <v>1331</v>
      </c>
      <c r="Y71" s="16" t="n">
        <f aca="false">SUM(C71:U71)</f>
        <v>53464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30</v>
      </c>
      <c r="C72" s="2" t="n">
        <v>87500</v>
      </c>
      <c r="R72" s="1" t="n">
        <v>15000</v>
      </c>
      <c r="Y72" s="16" t="n">
        <f aca="false">SUM(C72:U72)</f>
        <v>102500</v>
      </c>
    </row>
    <row r="73" customFormat="false" ht="12.75" hidden="false" customHeight="false" outlineLevel="0" collapsed="false">
      <c r="A73" s="2" t="s">
        <v>110</v>
      </c>
      <c r="C73" s="18" t="n">
        <f aca="false">SUM(C69:C72)</f>
        <v>139633</v>
      </c>
      <c r="D73" s="18" t="n">
        <f aca="false">SUM(D69:D72)</f>
        <v>1343</v>
      </c>
      <c r="E73" s="18" t="n">
        <f aca="false">SUM(E69:E72)</f>
        <v>48644.95</v>
      </c>
      <c r="F73" s="18" t="n">
        <f aca="false">SUM(F69:F72)</f>
        <v>19328.69</v>
      </c>
      <c r="G73" s="18" t="n">
        <f aca="false">SUM(G69:G72)</f>
        <v>1899</v>
      </c>
      <c r="H73" s="18" t="n">
        <f aca="false">SUM(H69:H72)</f>
        <v>81117.23</v>
      </c>
      <c r="I73" s="18" t="n">
        <f aca="false">SUM(I69:I72)</f>
        <v>0</v>
      </c>
      <c r="J73" s="18" t="n">
        <f aca="false">SUM(J69:J72)</f>
        <v>5725</v>
      </c>
      <c r="K73" s="18" t="n">
        <f aca="false">SUM(K69:K72)</f>
        <v>0</v>
      </c>
      <c r="L73" s="18" t="n">
        <f aca="false">SUM(L69:L72)</f>
        <v>591.45</v>
      </c>
      <c r="M73" s="18" t="n">
        <f aca="false">SUM(M69:M72)</f>
        <v>0</v>
      </c>
      <c r="N73" s="18" t="n">
        <f aca="false">SUM(N69:N72)</f>
        <v>0</v>
      </c>
      <c r="O73" s="18" t="n">
        <f aca="false">SUM(O69:O72)</f>
        <v>1242.3</v>
      </c>
      <c r="P73" s="18" t="n">
        <f aca="false">SUM(P69:P72)</f>
        <v>0</v>
      </c>
      <c r="Q73" s="18" t="n">
        <f aca="false">SUM(Q69:Q72)</f>
        <v>0</v>
      </c>
      <c r="R73" s="18" t="n">
        <f aca="false">SUM(R69:R72)</f>
        <v>15000</v>
      </c>
      <c r="S73" s="18" t="n">
        <f aca="false">SUM(S69:S72)</f>
        <v>0</v>
      </c>
      <c r="T73" s="18" t="n">
        <f aca="false">SUM(T69:T72)</f>
        <v>0</v>
      </c>
      <c r="U73" s="18" t="n">
        <f aca="false">SUM(U69:U72)</f>
        <v>0</v>
      </c>
      <c r="V73" s="18" t="n">
        <f aca="false">SUM(V69:V72)</f>
        <v>0</v>
      </c>
      <c r="W73" s="18" t="n">
        <f aca="false">SUM(W69:W72)</f>
        <v>0</v>
      </c>
      <c r="X73" s="18" t="n">
        <f aca="false">SUM(X69:X72)</f>
        <v>0</v>
      </c>
      <c r="Y73" s="19" t="n">
        <f aca="false">SUM(C73:U73)</f>
        <v>314524.62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Y75" s="16"/>
    </row>
    <row r="76" customFormat="false" ht="13.5" hidden="false" customHeight="false" outlineLevel="0" collapsed="false">
      <c r="A76" s="2" t="s">
        <v>111</v>
      </c>
      <c r="C76" s="33" t="n">
        <f aca="false">+C46+C66+C73</f>
        <v>7279633</v>
      </c>
      <c r="D76" s="33" t="n">
        <f aca="false">+D46+D66+D73</f>
        <v>1298989</v>
      </c>
      <c r="E76" s="33" t="n">
        <f aca="false">+E46+E66+E73</f>
        <v>33151936.95</v>
      </c>
      <c r="F76" s="33" t="n">
        <f aca="false">+F46+F66+F73</f>
        <v>290031.29</v>
      </c>
      <c r="G76" s="33" t="n">
        <f aca="false">+G46+G66+G73</f>
        <v>1733894.9</v>
      </c>
      <c r="H76" s="33" t="n">
        <f aca="false">+H46+H66+H73</f>
        <v>18881456.73</v>
      </c>
      <c r="I76" s="33" t="n">
        <f aca="false">+I46+I66+I73</f>
        <v>8167701.63252083</v>
      </c>
      <c r="J76" s="33" t="n">
        <f aca="false">+J46+J66+J73</f>
        <v>8854945.52206088</v>
      </c>
      <c r="K76" s="33" t="n">
        <f aca="false">+K46+K66+K73</f>
        <v>6988529.92872204</v>
      </c>
      <c r="L76" s="33" t="n">
        <f aca="false">+L46+L66+L73</f>
        <v>7789830.9390361</v>
      </c>
      <c r="M76" s="33" t="n">
        <f aca="false">+M46+M66+M73</f>
        <v>11652992.8308585</v>
      </c>
      <c r="N76" s="33" t="n">
        <f aca="false">+N46+N66+N73</f>
        <v>17627424.6272104</v>
      </c>
      <c r="O76" s="33" t="n">
        <f aca="false">+O46+O66+O73</f>
        <v>39311425.7086286</v>
      </c>
      <c r="P76" s="33" t="n">
        <f aca="false">+P46+P66+P73</f>
        <v>2943898.94923784</v>
      </c>
      <c r="Q76" s="33" t="n">
        <f aca="false">+Q46+Q66+Q73</f>
        <v>29327060.5821046</v>
      </c>
      <c r="R76" s="33" t="n">
        <f aca="false">+R46+R66+R73</f>
        <v>23471762.8778243</v>
      </c>
      <c r="S76" s="33" t="n">
        <f aca="false">+S46+S66+S73</f>
        <v>21815854.2033083</v>
      </c>
      <c r="T76" s="33" t="n">
        <f aca="false">+T46+T66+T73</f>
        <v>15747440.3434304</v>
      </c>
      <c r="U76" s="33" t="n">
        <f aca="false">+U46+U66+U73</f>
        <v>37655434.3809615</v>
      </c>
      <c r="V76" s="33" t="n">
        <f aca="false">+V46+V66+V73</f>
        <v>0</v>
      </c>
      <c r="W76" s="33" t="n">
        <f aca="false">+W46+W66+W73</f>
        <v>0</v>
      </c>
      <c r="X76" s="33" t="n">
        <f aca="false">+X46+X66+X73</f>
        <v>0</v>
      </c>
      <c r="Y76" s="34" t="n">
        <f aca="false">SUM(C76:U76)</f>
        <v>293990244.395904</v>
      </c>
    </row>
    <row r="77" customFormat="false" ht="12.75" hidden="false" customHeight="false" outlineLevel="0" collapsed="false">
      <c r="U77" s="0"/>
      <c r="V77" s="0"/>
      <c r="W77" s="0"/>
      <c r="X77" s="0"/>
      <c r="Y77" s="35" t="n">
        <f aca="false">Y76-[1]Wilton!$BR$200</f>
        <v>0.946666717529297</v>
      </c>
    </row>
    <row r="78" customFormat="false" ht="12.75" hidden="false" customHeight="false" outlineLevel="0" collapsed="false">
      <c r="U78" s="0"/>
      <c r="V78" s="0"/>
      <c r="W78" s="0"/>
      <c r="X78" s="0"/>
      <c r="Y78" s="0"/>
    </row>
    <row r="79" customFormat="false" ht="12.75" hidden="false" customHeight="false" outlineLevel="0" collapsed="false">
      <c r="U79" s="0"/>
      <c r="V79" s="0"/>
      <c r="W79" s="0"/>
      <c r="X79" s="0"/>
      <c r="Y79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5" min="5" style="1" width="13.28"/>
    <col collapsed="false" customWidth="true" hidden="false" outlineLevel="0" max="6" min="6" style="1" width="11.28"/>
    <col collapsed="false" customWidth="true" hidden="false" outlineLevel="0" max="7" min="7" style="1" width="12.85"/>
    <col collapsed="false" customWidth="true" hidden="false" outlineLevel="0" max="8" min="8" style="1" width="11.28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1.28"/>
    <col collapsed="false" customWidth="true" hidden="false" outlineLevel="0" max="14" min="12" style="1" width="12.28"/>
    <col collapsed="false" customWidth="true" hidden="false" outlineLevel="0" max="15" min="15" style="1" width="13.99"/>
    <col collapsed="false" customWidth="true" hidden="false" outlineLevel="0" max="17" min="16" style="1" width="12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2.28"/>
    <col collapsed="false" customWidth="true" hidden="false" outlineLevel="0" max="22" min="22" style="1" width="12.85"/>
    <col collapsed="false" customWidth="true" hidden="false" outlineLevel="0" max="23" min="23" style="1" width="12.14"/>
    <col collapsed="false" customWidth="true" hidden="true" outlineLevel="0" max="25" min="24" style="1" width="12.14"/>
    <col collapsed="false" customWidth="true" hidden="false" outlineLevel="0" max="26" min="26" style="2" width="13.56"/>
    <col collapsed="false" customWidth="true" hidden="true" outlineLevel="0" max="27" min="27" style="1" width="28.28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April 14,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XML/filtered-attachments/xls/Draw_Sched___050300.xls'#$Gleason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45926.9532842449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75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73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v>0</v>
      </c>
      <c r="Q10" s="1" t="n">
        <v>0</v>
      </c>
      <c r="R10" s="1" t="n">
        <v>0</v>
      </c>
      <c r="S10" s="1" t="n">
        <v>1240525</v>
      </c>
      <c r="U10" s="1" t="n">
        <v>11</v>
      </c>
      <c r="V10" s="1" t="n">
        <f aca="false">3081531-1282310</f>
        <v>1799221</v>
      </c>
      <c r="Z10" s="16" t="n">
        <f aca="false">SUM(C10:Y10)</f>
        <v>60922851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U11" s="1" t="n">
        <f aca="false">1645716+142790</f>
        <v>1788506</v>
      </c>
      <c r="V11" s="1" t="n">
        <f aca="false">1559250+97385+1409470+237943-80111</f>
        <v>3223937</v>
      </c>
      <c r="Z11" s="16" t="n">
        <f aca="false">SUM(C11:Y11)</f>
        <v>34638193</v>
      </c>
      <c r="AA11" s="23" t="s">
        <v>23</v>
      </c>
      <c r="AB11" s="1" t="n">
        <f aca="false">[1]Gleason!$BT$16</f>
        <v>95561044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f aca="false">1765743.3+130800</f>
        <v>1896543.3</v>
      </c>
      <c r="R12" s="1" t="n">
        <v>0</v>
      </c>
      <c r="S12" s="1" t="n">
        <v>588581</v>
      </c>
      <c r="T12" s="1" t="n">
        <v>382350</v>
      </c>
      <c r="U12" s="1" t="n">
        <v>530081</v>
      </c>
      <c r="V12" s="1" t="n">
        <v>0</v>
      </c>
      <c r="Z12" s="16" t="n">
        <f aca="false">SUM(C12:Y12)</f>
        <v>6406960.6</v>
      </c>
      <c r="AA12" s="23" t="s">
        <v>23</v>
      </c>
      <c r="AB12" s="1" t="n">
        <f aca="false">[1]Gleason!$BT$35</f>
        <v>6406961</v>
      </c>
      <c r="AC12" s="1" t="n">
        <f aca="false">Z12-AB12</f>
        <v>-0.400000000372529</v>
      </c>
    </row>
    <row r="13" customFormat="false" ht="12.75" hidden="false" customHeight="false" outlineLevel="0" collapsed="false">
      <c r="A13" s="1" t="s">
        <v>78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[1]Gleason!$BT$100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79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v>236722</v>
      </c>
      <c r="R14" s="1" t="n">
        <f aca="false">2840700/12</f>
        <v>236725</v>
      </c>
      <c r="S14" s="1" t="n">
        <v>236722</v>
      </c>
      <c r="T14" s="1" t="n">
        <f aca="false">2840700/12-3</f>
        <v>236722</v>
      </c>
      <c r="U14" s="1" t="n">
        <f aca="false">2840700/12+3</f>
        <v>236728</v>
      </c>
      <c r="V14" s="1" t="n">
        <f aca="false">2840700/12+15</f>
        <v>236740</v>
      </c>
      <c r="Z14" s="16" t="n">
        <f aca="false">SUM(C14:Y14)</f>
        <v>2840700</v>
      </c>
      <c r="AA14" s="23" t="s">
        <v>23</v>
      </c>
      <c r="AB14" s="1" t="n">
        <f aca="false">[1]Gleason!$BT$101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80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[1]Gleason!$BT$102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96</v>
      </c>
      <c r="O16" s="1" t="n">
        <v>420818</v>
      </c>
      <c r="Q16" s="1" t="n">
        <v>1769159</v>
      </c>
      <c r="R16" s="1" t="n">
        <v>0</v>
      </c>
      <c r="S16" s="1" t="n">
        <v>1915100</v>
      </c>
      <c r="T16" s="1" t="n">
        <v>0</v>
      </c>
      <c r="U16" s="1" t="n">
        <f aca="false">(0.8617-0.7795)*AB16</f>
        <v>1392435.942</v>
      </c>
      <c r="V16" s="1" t="n">
        <f aca="false">((0.9293-0.8617)*AB16)+1212343+784135+3131172+837210</f>
        <v>7109977.636</v>
      </c>
      <c r="W16" s="1" t="n">
        <f aca="false">16939610-12607491</f>
        <v>4332119</v>
      </c>
      <c r="Z16" s="16" t="n">
        <f aca="false">SUM(C16:Y16)</f>
        <v>16939609.578</v>
      </c>
      <c r="AA16" s="23"/>
      <c r="AB16" s="1" t="n">
        <f aca="false">[1]Gleason!$BT$54</f>
        <v>16939610</v>
      </c>
      <c r="AC16" s="1" t="n">
        <f aca="false">Z16-AB16</f>
        <v>-0.421999998390675</v>
      </c>
    </row>
    <row r="17" customFormat="false" ht="12.75" hidden="false" customHeight="false" outlineLevel="0" collapsed="false">
      <c r="A17" s="1" t="s">
        <v>97</v>
      </c>
      <c r="O17" s="1" t="n">
        <v>84021</v>
      </c>
      <c r="Q17" s="1" t="n">
        <v>225269</v>
      </c>
      <c r="R17" s="1" t="n">
        <v>0</v>
      </c>
      <c r="S17" s="1" t="n">
        <v>3173570</v>
      </c>
      <c r="U17" s="1" t="n">
        <f aca="false">(0.8617-0.7795)*AB17</f>
        <v>366540.6504</v>
      </c>
      <c r="V17" s="1" t="n">
        <f aca="false">(0.9293-0.8617)*AB17+301248+409183+778046-2310629</f>
        <v>-520714.6768</v>
      </c>
      <c r="W17" s="1" t="n">
        <v>1130446</v>
      </c>
      <c r="Z17" s="16" t="n">
        <f aca="false">SUM(C17:Y17)</f>
        <v>4459131.9736</v>
      </c>
      <c r="AA17" s="23"/>
      <c r="AB17" s="1" t="n">
        <f aca="false">[1]Gleason!$BT$63</f>
        <v>4459132</v>
      </c>
      <c r="AC17" s="1" t="n">
        <f aca="false">Z17-AB17</f>
        <v>-0.0263999998569489</v>
      </c>
    </row>
    <row r="18" customFormat="false" ht="12.75" hidden="false" customHeight="false" outlineLevel="0" collapsed="false">
      <c r="A18" s="1" t="s">
        <v>98</v>
      </c>
      <c r="O18" s="1" t="n">
        <v>204588</v>
      </c>
      <c r="Q18" s="1" t="n">
        <v>2792896</v>
      </c>
      <c r="R18" s="1" t="n">
        <v>0</v>
      </c>
      <c r="S18" s="1" t="n">
        <v>4875123</v>
      </c>
      <c r="U18" s="1" t="n">
        <f aca="false">(0.8617-0.7795)*AB18</f>
        <v>1361328.0096</v>
      </c>
      <c r="V18" s="1" t="n">
        <f aca="false">(0.9293-0.8617)*AB18+1091873-193321-300000+2820028-1461521</f>
        <v>3076593.9568</v>
      </c>
      <c r="W18" s="1" t="n">
        <v>4250639</v>
      </c>
      <c r="Z18" s="16" t="n">
        <f aca="false">SUM(C18:Y18)</f>
        <v>16561167.9664</v>
      </c>
      <c r="AA18" s="23"/>
      <c r="AB18" s="1" t="n">
        <f aca="false">[1]Gleason!$BT$86</f>
        <v>16561168</v>
      </c>
      <c r="AC18" s="1" t="n">
        <f aca="false">Z18-AB18</f>
        <v>-0.0335999988019466</v>
      </c>
    </row>
    <row r="19" customFormat="false" ht="12.75" hidden="false" customHeight="false" outlineLevel="0" collapsed="false">
      <c r="A19" s="1" t="s">
        <v>99</v>
      </c>
      <c r="N19" s="1" t="n">
        <v>0</v>
      </c>
      <c r="O19" s="1" t="n">
        <v>0</v>
      </c>
      <c r="Q19" s="1" t="n">
        <v>848349</v>
      </c>
      <c r="R19" s="1" t="n">
        <v>0</v>
      </c>
      <c r="S19" s="1" t="n">
        <v>7860529</v>
      </c>
      <c r="U19" s="1" t="n">
        <f aca="false">(0.8617-0.7795)*AB19</f>
        <v>997641.507600001</v>
      </c>
      <c r="V19" s="1" t="n">
        <f aca="false">(0.9293-0.8617)*AB19+858071+958818+2216177-5807005</f>
        <v>-953494.1592</v>
      </c>
      <c r="W19" s="1" t="n">
        <v>3383733</v>
      </c>
      <c r="Z19" s="16" t="n">
        <f aca="false">SUM(C19:Y19)</f>
        <v>12136758.3484</v>
      </c>
      <c r="AA19" s="23" t="s">
        <v>23</v>
      </c>
      <c r="AB19" s="1" t="n">
        <f aca="false">[1]Gleason!$BT$89</f>
        <v>12136758</v>
      </c>
      <c r="AC19" s="1" t="n">
        <f aca="false">Z19-AB19</f>
        <v>0.348400000482798</v>
      </c>
    </row>
    <row r="20" customFormat="false" ht="12.75" hidden="false" customHeight="false" outlineLevel="0" collapsed="false">
      <c r="A20" s="1" t="s">
        <v>112</v>
      </c>
      <c r="S20" s="1" t="n">
        <v>0</v>
      </c>
      <c r="T20" s="1" t="n">
        <v>0</v>
      </c>
      <c r="V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[1]Gleason!$BT$140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100</v>
      </c>
      <c r="O21" s="1" t="n">
        <v>5344605</v>
      </c>
      <c r="Q21" s="1" t="n">
        <f aca="false">-291068-49399</f>
        <v>-340467</v>
      </c>
      <c r="R21" s="1" t="n">
        <v>6512226</v>
      </c>
      <c r="S21" s="1" t="n">
        <v>-9645865</v>
      </c>
      <c r="T21" s="1" t="n">
        <v>7581129</v>
      </c>
      <c r="V21" s="1" t="n">
        <f aca="false">7112622-3387761</f>
        <v>3724861</v>
      </c>
      <c r="W21" s="1" t="n">
        <v>-8983121</v>
      </c>
      <c r="Z21" s="16" t="n">
        <f aca="false">SUM(C21:Y21)</f>
        <v>4193368</v>
      </c>
      <c r="AA21" s="23" t="s">
        <v>23</v>
      </c>
      <c r="AB21" s="1" t="n">
        <f aca="false">[1]Gleason!$BT$93+[1]Gleason!$BT$95</f>
        <v>4193367.56</v>
      </c>
      <c r="AC21" s="1" t="n">
        <f aca="false">Z21-AB21</f>
        <v>0.440000001341105</v>
      </c>
    </row>
    <row r="22" customFormat="false" ht="12.75" hidden="false" customHeight="false" outlineLevel="0" collapsed="false">
      <c r="A22" s="1" t="s">
        <v>102</v>
      </c>
      <c r="R22" s="1" t="n">
        <v>37000</v>
      </c>
      <c r="S22" s="1" t="n">
        <v>148482</v>
      </c>
      <c r="T22" s="1" t="n">
        <v>175057</v>
      </c>
      <c r="U22" s="1" t="n">
        <v>150000</v>
      </c>
      <c r="V22" s="1" t="n">
        <f aca="false">908786-750000+188000+76518-25057</f>
        <v>398247</v>
      </c>
      <c r="Z22" s="16" t="n">
        <f aca="false">SUM(C22:Y22)</f>
        <v>908786</v>
      </c>
      <c r="AA22" s="23" t="s">
        <v>28</v>
      </c>
      <c r="AB22" s="1" t="n">
        <f aca="false">[1]Gleason!$BT$134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U23" s="1" t="n">
        <v>500000</v>
      </c>
      <c r="V23" s="1" t="n">
        <v>247007</v>
      </c>
      <c r="W23" s="1" t="n">
        <v>500000</v>
      </c>
      <c r="Z23" s="16" t="n">
        <f aca="false">SUM(C23:Y23)</f>
        <v>1247007</v>
      </c>
      <c r="AA23" s="23" t="s">
        <v>23</v>
      </c>
      <c r="AB23" s="1" t="n">
        <f aca="false">[1]Gleason!$BT$142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113</v>
      </c>
      <c r="P24" s="1" t="n">
        <v>-250000</v>
      </c>
      <c r="Z24" s="16" t="n">
        <f aca="false">SUM(C24:Y24)</f>
        <v>-250000</v>
      </c>
      <c r="AA24" s="23"/>
    </row>
    <row r="25" customFormat="false" ht="12.75" hidden="false" customHeight="false" outlineLevel="0" collapsed="false">
      <c r="A25" s="1" t="s">
        <v>30</v>
      </c>
      <c r="L25" s="1" t="n">
        <v>369041</v>
      </c>
      <c r="N25" s="1" t="n">
        <v>0</v>
      </c>
      <c r="Q25" s="1" t="n">
        <v>14500</v>
      </c>
      <c r="R25" s="1" t="n">
        <v>25010</v>
      </c>
      <c r="Z25" s="16" t="n">
        <f aca="false">SUM(C25:Y25)</f>
        <v>408551</v>
      </c>
      <c r="AA25" s="23" t="s">
        <v>61</v>
      </c>
      <c r="AB25" s="1" t="n">
        <f aca="false">[1]Gleason!$BT$149</f>
        <v>408551</v>
      </c>
      <c r="AC25" s="1" t="n">
        <f aca="false">Z25-AB25</f>
        <v>0</v>
      </c>
    </row>
    <row r="26" customFormat="false" ht="12.75" hidden="false" customHeight="false" outlineLevel="0" collapsed="false">
      <c r="A26" s="1" t="s">
        <v>32</v>
      </c>
      <c r="F26" s="27"/>
      <c r="L26" s="1" t="n">
        <v>69419</v>
      </c>
      <c r="M26" s="1" t="n">
        <v>190571</v>
      </c>
      <c r="N26" s="1" t="n">
        <v>0</v>
      </c>
      <c r="O26" s="1" t="n">
        <v>264856</v>
      </c>
      <c r="P26" s="1" t="n">
        <v>0</v>
      </c>
      <c r="Q26" s="1" t="n">
        <v>38192</v>
      </c>
      <c r="R26" s="1" t="n">
        <v>20092</v>
      </c>
      <c r="S26" s="1" t="n">
        <v>146659</v>
      </c>
      <c r="T26" s="1" t="n">
        <v>2040</v>
      </c>
      <c r="Z26" s="16" t="n">
        <f aca="false">SUM(C26:Y26)</f>
        <v>731829</v>
      </c>
      <c r="AA26" s="23" t="str">
        <f aca="false">AA25</f>
        <v>Ben Jacoby</v>
      </c>
    </row>
    <row r="27" customFormat="false" ht="12.75" hidden="false" customHeight="false" outlineLevel="0" collapsed="false">
      <c r="A27" s="1" t="s">
        <v>33</v>
      </c>
      <c r="F27" s="28"/>
      <c r="Q27" s="1" t="n">
        <v>20486</v>
      </c>
      <c r="R27" s="1" t="n">
        <v>0</v>
      </c>
      <c r="S27" s="1" t="n">
        <v>0</v>
      </c>
      <c r="U27" s="1" t="n">
        <v>375000</v>
      </c>
      <c r="V27" s="1" t="n">
        <f aca="false">104514+125000+125000</f>
        <v>354514</v>
      </c>
      <c r="W27" s="1" t="n">
        <v>350000</v>
      </c>
      <c r="Z27" s="16" t="n">
        <f aca="false">SUM(C27:Y27)</f>
        <v>1100000</v>
      </c>
      <c r="AA27" s="23" t="s">
        <v>34</v>
      </c>
      <c r="AB27" s="1" t="n">
        <f aca="false">[1]Gleason!$BT$184</f>
        <v>1100000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85</v>
      </c>
      <c r="F28" s="28"/>
      <c r="N28" s="1" t="n">
        <v>18018</v>
      </c>
      <c r="P28" s="1" t="n">
        <v>7500</v>
      </c>
      <c r="R28" s="1" t="n">
        <v>0</v>
      </c>
      <c r="S28" s="1" t="n">
        <v>10602</v>
      </c>
      <c r="T28" s="1" t="n">
        <v>2820533</v>
      </c>
      <c r="U28" s="1" t="n">
        <v>110183</v>
      </c>
      <c r="V28" s="1" t="n">
        <f aca="false">2148964+190117+25518-10602-484363-166834-755835</f>
        <v>946965</v>
      </c>
      <c r="Z28" s="16" t="n">
        <f aca="false">SUM(C28:Y28)</f>
        <v>3913801</v>
      </c>
      <c r="AA28" s="23"/>
      <c r="AB28" s="1" t="n">
        <f aca="false">[1]Gleason!$BT$182</f>
        <v>3913800.84</v>
      </c>
      <c r="AC28" s="1" t="n">
        <f aca="false">Z28-AB28</f>
        <v>0.160000000149012</v>
      </c>
    </row>
    <row r="29" customFormat="false" ht="12.75" hidden="false" customHeight="false" outlineLevel="0" collapsed="false">
      <c r="A29" s="1" t="s">
        <v>36</v>
      </c>
      <c r="F29" s="28"/>
      <c r="T29" s="1" t="n">
        <v>0</v>
      </c>
      <c r="U29" s="1" t="n">
        <v>250000</v>
      </c>
      <c r="V29" s="1" t="n">
        <v>250000</v>
      </c>
      <c r="Z29" s="16" t="n">
        <f aca="false">SUM(C29:Y29)</f>
        <v>500000</v>
      </c>
      <c r="AA29" s="23" t="str">
        <f aca="false">AA22</f>
        <v>Kevin Presto</v>
      </c>
      <c r="AB29" s="1" t="n">
        <f aca="false">[1]Gleason!$BT$190</f>
        <v>500000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63</v>
      </c>
      <c r="F30" s="28"/>
      <c r="V30" s="1" t="n">
        <v>0</v>
      </c>
      <c r="Z30" s="16" t="n">
        <f aca="false">SUM(C30:Y30)</f>
        <v>0</v>
      </c>
      <c r="AA30" s="23" t="s">
        <v>64</v>
      </c>
      <c r="AB30" s="1" t="n">
        <v>0</v>
      </c>
      <c r="AC30" s="1" t="n">
        <f aca="false">Z30-AB30</f>
        <v>0</v>
      </c>
    </row>
    <row r="31" customFormat="false" ht="12.75" hidden="false" customHeight="false" outlineLevel="0" collapsed="false">
      <c r="A31" s="1" t="s">
        <v>38</v>
      </c>
      <c r="F31" s="28"/>
      <c r="N31" s="1" t="n">
        <v>0</v>
      </c>
      <c r="O31" s="1" t="n">
        <v>0</v>
      </c>
      <c r="P31" s="1" t="n">
        <v>200935</v>
      </c>
      <c r="Z31" s="16" t="n">
        <f aca="false">SUM(C31:Y31)</f>
        <v>200935</v>
      </c>
      <c r="AA31" s="23"/>
      <c r="AB31" s="1" t="n">
        <f aca="false">[1]Gleason!$BT$192</f>
        <v>200935.25</v>
      </c>
      <c r="AC31" s="1" t="n">
        <v>0</v>
      </c>
    </row>
    <row r="32" customFormat="false" ht="12.75" hidden="false" customHeight="false" outlineLevel="0" collapsed="false">
      <c r="A32" s="1" t="s">
        <v>39</v>
      </c>
      <c r="F32" s="15"/>
      <c r="G32" s="15"/>
      <c r="H32" s="15"/>
      <c r="I32" s="15"/>
      <c r="J32" s="15"/>
      <c r="K32" s="15"/>
      <c r="L32" s="15" t="n">
        <v>55021.05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1755</v>
      </c>
      <c r="R32" s="1" t="n">
        <v>28687.68</v>
      </c>
      <c r="S32" s="1" t="n">
        <v>12673.78</v>
      </c>
      <c r="T32" s="1" t="n">
        <v>13977.09</v>
      </c>
      <c r="U32" s="1" t="n">
        <f aca="false">31111+11111</f>
        <v>42222</v>
      </c>
      <c r="V32" s="1" t="n">
        <f aca="false">32312+23870-28687.68+11111-12673.78</f>
        <v>25931.54</v>
      </c>
      <c r="W32" s="1" t="n">
        <f aca="false">20595-66-13977.09</f>
        <v>6551.91</v>
      </c>
      <c r="Z32" s="16" t="n">
        <f aca="false">SUM(C32:Y32)</f>
        <v>186820.05</v>
      </c>
      <c r="AA32" s="23"/>
    </row>
    <row r="33" customFormat="false" ht="12.75" hidden="false" customHeight="false" outlineLevel="0" collapsed="false">
      <c r="A33" s="1" t="s">
        <v>40</v>
      </c>
      <c r="F33" s="28"/>
      <c r="L33" s="1" t="n">
        <v>137763</v>
      </c>
      <c r="M33" s="1" t="n">
        <v>2411</v>
      </c>
      <c r="N33" s="1" t="n">
        <v>18874</v>
      </c>
      <c r="O33" s="1" t="n">
        <f aca="false">113219</f>
        <v>113219</v>
      </c>
      <c r="P33" s="1" t="n">
        <f aca="false">[1]Gleason!$AT$224</f>
        <v>0</v>
      </c>
      <c r="Q33" s="1" t="n">
        <v>80147</v>
      </c>
      <c r="R33" s="1" t="n">
        <v>29397</v>
      </c>
      <c r="S33" s="1" t="n">
        <v>44082</v>
      </c>
      <c r="T33" s="1" t="n">
        <v>165168</v>
      </c>
      <c r="U33" s="1" t="n">
        <f aca="false">35000+4832</f>
        <v>39832</v>
      </c>
      <c r="V33" s="1" t="n">
        <f aca="false">140764-13593+112051-9082+30168</f>
        <v>260308</v>
      </c>
      <c r="Z33" s="16" t="n">
        <f aca="false">SUM(C33:Y33)</f>
        <v>891201</v>
      </c>
      <c r="AA33" s="23"/>
    </row>
    <row r="34" customFormat="false" ht="12.75" hidden="false" customHeight="false" outlineLevel="0" collapsed="false">
      <c r="A34" s="1" t="s">
        <v>41</v>
      </c>
      <c r="L34" s="1" t="n">
        <v>14302</v>
      </c>
      <c r="M34" s="1" t="n">
        <v>13886</v>
      </c>
      <c r="N34" s="1" t="n">
        <v>27415</v>
      </c>
      <c r="O34" s="1" t="n">
        <v>13908</v>
      </c>
      <c r="P34" s="1" t="n">
        <f aca="false">[1]Gleason!$AT$231</f>
        <v>0</v>
      </c>
      <c r="Q34" s="1" t="n">
        <v>0</v>
      </c>
      <c r="R34" s="1" t="n">
        <v>0</v>
      </c>
      <c r="S34" s="1" t="n">
        <v>0</v>
      </c>
      <c r="U34" s="1" t="n">
        <v>121058</v>
      </c>
      <c r="V34" s="1" t="n">
        <f aca="false">253000+994+132585</f>
        <v>386579</v>
      </c>
      <c r="W34" s="1" t="n">
        <f aca="false">68298+103219</f>
        <v>171517</v>
      </c>
      <c r="Z34" s="16" t="n">
        <f aca="false">SUM(C34:Y34)</f>
        <v>748665</v>
      </c>
      <c r="AA34" s="23"/>
    </row>
    <row r="35" customFormat="false" ht="12.75" hidden="false" customHeight="false" outlineLevel="0" collapsed="false">
      <c r="A35" s="1" t="s">
        <v>42</v>
      </c>
      <c r="C35" s="18" t="n">
        <f aca="false">SUM(C9:C34)</f>
        <v>0</v>
      </c>
      <c r="D35" s="18" t="n">
        <f aca="false">SUM(D9:D34)</f>
        <v>0</v>
      </c>
      <c r="E35" s="18" t="n">
        <f aca="false">SUM(E9:E34)</f>
        <v>0</v>
      </c>
      <c r="F35" s="18" t="n">
        <f aca="false">SUM(F9:F34)</f>
        <v>0</v>
      </c>
      <c r="G35" s="18" t="n">
        <f aca="false">SUM(G9:G34)</f>
        <v>0</v>
      </c>
      <c r="H35" s="18" t="n">
        <f aca="false">SUM(H9:H34)</f>
        <v>0</v>
      </c>
      <c r="I35" s="18" t="n">
        <f aca="false">SUM(I9:I34)</f>
        <v>0</v>
      </c>
      <c r="J35" s="18" t="n">
        <f aca="false">SUM(J9:J34)</f>
        <v>0</v>
      </c>
      <c r="K35" s="18" t="n">
        <f aca="false">SUM(K10:K34)</f>
        <v>0</v>
      </c>
      <c r="L35" s="18" t="n">
        <f aca="false">SUM(L10:L34)</f>
        <v>88847709.05</v>
      </c>
      <c r="M35" s="18" t="n">
        <f aca="false">SUM(M10:M34)</f>
        <v>206868</v>
      </c>
      <c r="N35" s="18" t="n">
        <f aca="false">SUM(N10:N34)</f>
        <v>1660822.33333333</v>
      </c>
      <c r="O35" s="18" t="n">
        <f aca="false">SUM(O10:O34)</f>
        <v>6962875.33333333</v>
      </c>
      <c r="P35" s="18" t="n">
        <f aca="false">SUM(P10:P34)</f>
        <v>2046386.63333333</v>
      </c>
      <c r="Q35" s="18" t="n">
        <f aca="false">SUM(Q10:Q34)</f>
        <v>7661034.63333333</v>
      </c>
      <c r="R35" s="18" t="n">
        <f aca="false">SUM(R10:R34)</f>
        <v>6966621.01333333</v>
      </c>
      <c r="S35" s="18" t="n">
        <f aca="false">SUM(S10:S34)</f>
        <v>10684267.1133333</v>
      </c>
      <c r="T35" s="18" t="n">
        <f aca="false">SUM(T10:T34)</f>
        <v>11454459.4233333</v>
      </c>
      <c r="U35" s="18" t="n">
        <f aca="false">SUM(U10:U34)</f>
        <v>8339050.44293334</v>
      </c>
      <c r="V35" s="18" t="n">
        <f aca="false">SUM(V10:V34)</f>
        <v>24385856.6301333</v>
      </c>
      <c r="W35" s="18" t="n">
        <f aca="false">SUM(W10:W34)</f>
        <v>5141884.91</v>
      </c>
      <c r="X35" s="18" t="n">
        <f aca="false">SUM(X10:X34)</f>
        <v>0</v>
      </c>
      <c r="Y35" s="18" t="n">
        <f aca="false">SUM(Y10:Y34)</f>
        <v>0</v>
      </c>
      <c r="Z35" s="19" t="n">
        <f aca="false">SUM(C35:Y35)</f>
        <v>174357835.5164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0</v>
      </c>
      <c r="D36" s="18" t="n">
        <f aca="false">+D35</f>
        <v>0</v>
      </c>
      <c r="E36" s="18" t="n">
        <f aca="false">+E35</f>
        <v>0</v>
      </c>
      <c r="F36" s="18" t="n">
        <f aca="false">+F35</f>
        <v>0</v>
      </c>
      <c r="G36" s="18" t="n">
        <f aca="false">+G35</f>
        <v>0</v>
      </c>
      <c r="H36" s="18" t="n">
        <f aca="false">+H35</f>
        <v>0</v>
      </c>
      <c r="I36" s="18" t="n">
        <f aca="false">+I35</f>
        <v>0</v>
      </c>
      <c r="J36" s="18" t="n">
        <f aca="false">+J35</f>
        <v>0</v>
      </c>
      <c r="K36" s="18" t="n">
        <f aca="false">+K35</f>
        <v>0</v>
      </c>
      <c r="L36" s="18" t="n">
        <f aca="false">+K36+L35</f>
        <v>88847709.05</v>
      </c>
      <c r="M36" s="18" t="n">
        <f aca="false">+L36+M35</f>
        <v>89054577.05</v>
      </c>
      <c r="N36" s="18" t="n">
        <f aca="false">+M36+N35</f>
        <v>90715399.3833333</v>
      </c>
      <c r="O36" s="18" t="n">
        <f aca="false">+N36+O35</f>
        <v>97678274.7166667</v>
      </c>
      <c r="P36" s="18" t="n">
        <f aca="false">+O36+P35</f>
        <v>99724661.35</v>
      </c>
      <c r="Q36" s="18" t="n">
        <f aca="false">+P36+Q35</f>
        <v>107385695.983333</v>
      </c>
      <c r="R36" s="18" t="n">
        <f aca="false">+Q36+R35</f>
        <v>114352316.996667</v>
      </c>
      <c r="S36" s="18" t="n">
        <f aca="false">+R36+S35</f>
        <v>125036584.11</v>
      </c>
      <c r="T36" s="18" t="n">
        <f aca="false">+S36+T35</f>
        <v>136491043.533333</v>
      </c>
      <c r="U36" s="18" t="n">
        <f aca="false">+T36+U35</f>
        <v>144830093.976267</v>
      </c>
      <c r="V36" s="18" t="n">
        <f aca="false">+U36+V35</f>
        <v>169215950.6064</v>
      </c>
      <c r="W36" s="18" t="n">
        <f aca="false">+V36+W35</f>
        <v>174357835.5164</v>
      </c>
      <c r="X36" s="18" t="n">
        <f aca="false">+W36+X35</f>
        <v>174357835.5164</v>
      </c>
      <c r="Y36" s="18" t="n">
        <f aca="false">+X36+Y35</f>
        <v>174357835.5164</v>
      </c>
      <c r="Z36" s="16"/>
    </row>
    <row r="37" customFormat="false" ht="12.75" hidden="false" customHeight="false" outlineLevel="0" collapsed="false">
      <c r="A37" s="1" t="s">
        <v>44</v>
      </c>
      <c r="D37" s="2"/>
      <c r="E37" s="2"/>
      <c r="F37" s="2"/>
      <c r="G37" s="2"/>
      <c r="H37" s="2"/>
      <c r="I37" s="2"/>
      <c r="J37" s="2"/>
      <c r="K37" s="2"/>
      <c r="L37" s="2"/>
      <c r="Z37" s="21" t="n">
        <f aca="false">+Z35/C54/1000</f>
        <v>341.878108855686</v>
      </c>
    </row>
    <row r="38" customFormat="false" ht="12.75" hidden="false" customHeight="false" outlineLevel="0" collapsed="false">
      <c r="D38" s="2"/>
      <c r="E38" s="2"/>
      <c r="F38" s="2"/>
      <c r="G38" s="2"/>
      <c r="H38" s="2"/>
      <c r="I38" s="2"/>
      <c r="J38" s="2"/>
      <c r="K38" s="2"/>
      <c r="L38" s="2"/>
      <c r="Z38" s="21"/>
    </row>
    <row r="39" customFormat="false" ht="12.75" hidden="false" customHeight="false" outlineLevel="0" collapsed="false">
      <c r="A39" s="1" t="s">
        <v>86</v>
      </c>
      <c r="D39" s="2"/>
      <c r="E39" s="2"/>
      <c r="F39" s="2"/>
      <c r="G39" s="2"/>
      <c r="H39" s="2"/>
      <c r="I39" s="2"/>
      <c r="J39" s="2"/>
      <c r="K39" s="2"/>
      <c r="L39" s="2"/>
      <c r="M39" s="1" t="n">
        <v>-6077</v>
      </c>
      <c r="Z39" s="16" t="n">
        <f aca="false">SUM(C39:Y39)</f>
        <v>-6077</v>
      </c>
      <c r="AA39" s="17" t="s">
        <v>47</v>
      </c>
    </row>
    <row r="40" customFormat="false" ht="12.75" hidden="false" customHeight="false" outlineLevel="0" collapsed="false">
      <c r="A40" s="1" t="s">
        <v>45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f aca="false">4326863</f>
        <v>4326863</v>
      </c>
      <c r="M40" s="15" t="n">
        <v>505668.93</v>
      </c>
      <c r="N40" s="15" t="n">
        <v>517447.922676389</v>
      </c>
      <c r="O40" s="15" t="n">
        <v>557933.423229775</v>
      </c>
      <c r="P40" s="15" t="n">
        <v>574337.945273658</v>
      </c>
      <c r="Q40" s="15" t="n">
        <v>616751.796941113</v>
      </c>
      <c r="R40" s="15" t="n">
        <v>657673.008063433</v>
      </c>
      <c r="S40" s="15" t="n">
        <f aca="false">(S36+R45)*$C52/12</f>
        <v>719263.908654332</v>
      </c>
      <c r="T40" s="15" t="n">
        <f aca="false">(T36+S45)*$C52/12</f>
        <v>785204.910035932</v>
      </c>
      <c r="U40" s="15" t="n">
        <f aca="false">(U36+T45)*$C52/12</f>
        <v>834627.959864515</v>
      </c>
      <c r="V40" s="15" t="n">
        <f aca="false">(V36+U45)*$C52/12-5719</f>
        <v>965519.918060337</v>
      </c>
      <c r="W40" s="15"/>
      <c r="X40" s="15"/>
      <c r="Y40" s="15"/>
      <c r="Z40" s="16" t="n">
        <f aca="false">SUM(C40:Y40)</f>
        <v>11061292.7227995</v>
      </c>
      <c r="AA40" s="17" t="str">
        <f aca="false">AA55</f>
        <v>Rodney Malcolm</v>
      </c>
    </row>
    <row r="41" customFormat="false" ht="12.75" hidden="false" customHeight="false" outlineLevel="0" collapsed="false">
      <c r="A41" s="1" t="s">
        <v>87</v>
      </c>
      <c r="D41" s="2"/>
      <c r="E41" s="2"/>
      <c r="F41" s="2"/>
      <c r="G41" s="2"/>
      <c r="H41" s="2"/>
      <c r="I41" s="2"/>
      <c r="J41" s="2"/>
      <c r="K41" s="2"/>
      <c r="L41" s="2"/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5"/>
      <c r="X41" s="15"/>
      <c r="Y41" s="15"/>
      <c r="Z41" s="16" t="n">
        <f aca="false">SUM(C41:Y41)</f>
        <v>0</v>
      </c>
      <c r="AA41" s="17" t="str">
        <f aca="false">AA40</f>
        <v>Rodney Malcolm</v>
      </c>
    </row>
    <row r="42" customFormat="false" ht="12.75" hidden="false" customHeight="false" outlineLevel="0" collapsed="false">
      <c r="A42" s="1" t="s">
        <v>46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Z42" s="16" t="n">
        <f aca="false">SUM(C42:Y42)</f>
        <v>0</v>
      </c>
      <c r="AA42" s="17" t="s">
        <v>47</v>
      </c>
    </row>
    <row r="43" customFormat="false" ht="12.75" hidden="false" customHeight="false" outlineLevel="0" collapsed="false">
      <c r="A43" s="1" t="s">
        <v>88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V43" s="1" t="n">
        <v>0</v>
      </c>
      <c r="Z43" s="16" t="n">
        <f aca="false">SUM(C43:Y43)</f>
        <v>0</v>
      </c>
      <c r="AA43" s="17" t="str">
        <f aca="false">AA26</f>
        <v>Ben Jacoby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0</v>
      </c>
      <c r="D44" s="18" t="n">
        <f aca="false">SUM(D39:D43)</f>
        <v>0</v>
      </c>
      <c r="E44" s="18" t="n">
        <f aca="false">SUM(E39:E43)</f>
        <v>0</v>
      </c>
      <c r="F44" s="18" t="n">
        <f aca="false">SUM(F39:F43)</f>
        <v>0</v>
      </c>
      <c r="G44" s="18" t="n">
        <f aca="false">SUM(G39:G43)</f>
        <v>0</v>
      </c>
      <c r="H44" s="18" t="n">
        <f aca="false">SUM(H39:H43)</f>
        <v>0</v>
      </c>
      <c r="I44" s="18" t="n">
        <f aca="false">SUM(I39:I43)</f>
        <v>0</v>
      </c>
      <c r="J44" s="18" t="n">
        <f aca="false">SUM(J39:J43)</f>
        <v>0</v>
      </c>
      <c r="K44" s="18" t="n">
        <f aca="false">SUM(K39:K43)</f>
        <v>0</v>
      </c>
      <c r="L44" s="18" t="n">
        <f aca="false">SUM(L39:L43)</f>
        <v>4326863</v>
      </c>
      <c r="M44" s="18" t="n">
        <f aca="false">SUM(M39:M43)</f>
        <v>499591.93</v>
      </c>
      <c r="N44" s="18" t="n">
        <f aca="false">SUM(N39:N43)</f>
        <v>517447.922676389</v>
      </c>
      <c r="O44" s="18" t="n">
        <f aca="false">SUM(O39:O43)</f>
        <v>557933.423229775</v>
      </c>
      <c r="P44" s="18" t="n">
        <f aca="false">SUM(P39:P43)</f>
        <v>574337.945273658</v>
      </c>
      <c r="Q44" s="18" t="n">
        <f aca="false">SUM(Q39:Q43)</f>
        <v>616751.796941113</v>
      </c>
      <c r="R44" s="18" t="n">
        <f aca="false">SUM(R39:R43)</f>
        <v>657673.008063433</v>
      </c>
      <c r="S44" s="18" t="n">
        <f aca="false">SUM(S39:S43)</f>
        <v>719263.908654332</v>
      </c>
      <c r="T44" s="18" t="n">
        <f aca="false">SUM(T39:T43)</f>
        <v>785204.910035932</v>
      </c>
      <c r="U44" s="18" t="n">
        <f aca="false">SUM(U39:U43)</f>
        <v>834627.959864515</v>
      </c>
      <c r="V44" s="18" t="n">
        <f aca="false">SUM(V39:V43)</f>
        <v>965519.918060337</v>
      </c>
      <c r="W44" s="18" t="n">
        <f aca="false">SUM(W39:W43)</f>
        <v>0</v>
      </c>
      <c r="X44" s="18" t="n">
        <f aca="false">SUM(X39:X43)</f>
        <v>0</v>
      </c>
      <c r="Y44" s="18" t="n">
        <f aca="false">SUM(Y39:Y43)</f>
        <v>0</v>
      </c>
      <c r="Z44" s="19" t="n">
        <f aca="false">SUM(C44:Y44)</f>
        <v>11055215.7227995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0</v>
      </c>
      <c r="D45" s="18" t="n">
        <f aca="false">+D44</f>
        <v>0</v>
      </c>
      <c r="E45" s="18" t="n">
        <f aca="false">+E44</f>
        <v>0</v>
      </c>
      <c r="F45" s="18" t="n">
        <f aca="false">+F44</f>
        <v>0</v>
      </c>
      <c r="G45" s="18" t="n">
        <f aca="false">+G44</f>
        <v>0</v>
      </c>
      <c r="H45" s="18" t="n">
        <f aca="false">+H44</f>
        <v>0</v>
      </c>
      <c r="I45" s="18" t="n">
        <f aca="false">+I44</f>
        <v>0</v>
      </c>
      <c r="J45" s="18" t="n">
        <f aca="false">+J44</f>
        <v>0</v>
      </c>
      <c r="K45" s="18" t="n">
        <f aca="false">+K44</f>
        <v>0</v>
      </c>
      <c r="L45" s="18" t="n">
        <f aca="false">+L44</f>
        <v>4326863</v>
      </c>
      <c r="M45" s="18" t="n">
        <f aca="false">L45+M44</f>
        <v>4826454.93</v>
      </c>
      <c r="N45" s="18" t="n">
        <f aca="false">M45+N44</f>
        <v>5343902.85267639</v>
      </c>
      <c r="O45" s="18" t="n">
        <f aca="false">N45+O44</f>
        <v>5901836.27590616</v>
      </c>
      <c r="P45" s="18" t="n">
        <f aca="false">O45+P44</f>
        <v>6476174.22117982</v>
      </c>
      <c r="Q45" s="18" t="n">
        <f aca="false">P45+Q44</f>
        <v>7092926.01812093</v>
      </c>
      <c r="R45" s="18" t="n">
        <f aca="false">Q45+R44</f>
        <v>7750599.02618437</v>
      </c>
      <c r="S45" s="18" t="n">
        <f aca="false">R45+S44</f>
        <v>8469862.9348387</v>
      </c>
      <c r="T45" s="18" t="n">
        <f aca="false">S45+T44</f>
        <v>9255067.84487463</v>
      </c>
      <c r="U45" s="18" t="n">
        <f aca="false">T45+U44</f>
        <v>10089695.8047391</v>
      </c>
      <c r="V45" s="18" t="n">
        <f aca="false">U45+V44</f>
        <v>11055215.7227995</v>
      </c>
      <c r="W45" s="18" t="n">
        <f aca="false">V45+W44</f>
        <v>11055215.7227995</v>
      </c>
      <c r="X45" s="18" t="n">
        <f aca="false">W45+X44</f>
        <v>11055215.7227995</v>
      </c>
      <c r="Y45" s="18" t="n">
        <f aca="false">X45+Y44</f>
        <v>11055215.7227995</v>
      </c>
      <c r="Z45" s="16"/>
    </row>
    <row r="46" customFormat="false" ht="12.75" hidden="false" customHeight="false" outlineLevel="0" collapsed="false">
      <c r="D46" s="2"/>
      <c r="E46" s="2"/>
      <c r="F46" s="2"/>
      <c r="G46" s="2"/>
      <c r="H46" s="2"/>
      <c r="I46" s="2"/>
      <c r="J46" s="2"/>
      <c r="K46" s="2"/>
      <c r="L46" s="2"/>
      <c r="Z46" s="16"/>
    </row>
    <row r="47" customFormat="false" ht="12.75" hidden="false" customHeight="false" outlineLevel="0" collapsed="false">
      <c r="A47" s="2" t="s">
        <v>65</v>
      </c>
      <c r="B47" s="2"/>
      <c r="C47" s="2" t="n">
        <f aca="false">+C35+C44</f>
        <v>0</v>
      </c>
      <c r="D47" s="2" t="n">
        <f aca="false">+D35+D44</f>
        <v>0</v>
      </c>
      <c r="E47" s="2" t="n">
        <f aca="false">+E35+E44</f>
        <v>0</v>
      </c>
      <c r="F47" s="2" t="n">
        <f aca="false">+F35+F44</f>
        <v>0</v>
      </c>
      <c r="G47" s="2" t="n">
        <f aca="false">+G35+G44</f>
        <v>0</v>
      </c>
      <c r="H47" s="2" t="n">
        <f aca="false">+H35+H44</f>
        <v>0</v>
      </c>
      <c r="I47" s="2" t="n">
        <f aca="false">+I35+I44</f>
        <v>0</v>
      </c>
      <c r="J47" s="2" t="n">
        <f aca="false">+J35+J44</f>
        <v>0</v>
      </c>
      <c r="K47" s="2" t="n">
        <f aca="false">+K35+K44</f>
        <v>0</v>
      </c>
      <c r="L47" s="2" t="n">
        <f aca="false">+L35+L44</f>
        <v>93174572.05</v>
      </c>
      <c r="M47" s="2" t="n">
        <f aca="false">+M35+M44</f>
        <v>706459.93</v>
      </c>
      <c r="N47" s="2" t="n">
        <f aca="false">+N35+N44</f>
        <v>2178270.25600972</v>
      </c>
      <c r="O47" s="2" t="n">
        <f aca="false">+O35+O44</f>
        <v>7520808.75656311</v>
      </c>
      <c r="P47" s="2" t="n">
        <f aca="false">+P35+P44</f>
        <v>2620724.57860699</v>
      </c>
      <c r="Q47" s="2" t="n">
        <f aca="false">+Q35+Q44</f>
        <v>8277786.43027445</v>
      </c>
      <c r="R47" s="2" t="n">
        <f aca="false">+R35+R44</f>
        <v>7624294.02139677</v>
      </c>
      <c r="S47" s="2" t="n">
        <f aca="false">+S35+S44</f>
        <v>11403531.0219877</v>
      </c>
      <c r="T47" s="2" t="n">
        <f aca="false">+T35+T44</f>
        <v>12239664.3333693</v>
      </c>
      <c r="U47" s="2" t="n">
        <f aca="false">+U35+U44</f>
        <v>9173678.40279785</v>
      </c>
      <c r="V47" s="2" t="n">
        <f aca="false">+V35+V44</f>
        <v>25351376.5481937</v>
      </c>
      <c r="W47" s="2" t="n">
        <f aca="false">+W35+W44</f>
        <v>5141884.91</v>
      </c>
      <c r="X47" s="2" t="n">
        <f aca="false">+X35+X44</f>
        <v>0</v>
      </c>
      <c r="Y47" s="2" t="n">
        <f aca="false">+Y35+Y44</f>
        <v>0</v>
      </c>
      <c r="Z47" s="16" t="n">
        <f aca="false">SUM(C47:W47)</f>
        <v>185413051.2392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0</v>
      </c>
      <c r="D48" s="2" t="n">
        <f aca="false">D47</f>
        <v>0</v>
      </c>
      <c r="E48" s="2" t="n">
        <f aca="false">E47</f>
        <v>0</v>
      </c>
      <c r="F48" s="2" t="n">
        <f aca="false">F47</f>
        <v>0</v>
      </c>
      <c r="G48" s="2" t="n">
        <f aca="false">G47</f>
        <v>0</v>
      </c>
      <c r="H48" s="2" t="n">
        <f aca="false">H47</f>
        <v>0</v>
      </c>
      <c r="I48" s="2" t="n">
        <f aca="false">I47</f>
        <v>0</v>
      </c>
      <c r="J48" s="2" t="n">
        <f aca="false">J47</f>
        <v>0</v>
      </c>
      <c r="K48" s="2" t="n">
        <f aca="false">K47</f>
        <v>0</v>
      </c>
      <c r="L48" s="2" t="n">
        <f aca="false">L47</f>
        <v>93174572.05</v>
      </c>
      <c r="M48" s="2" t="n">
        <f aca="false">M47+L48</f>
        <v>93881031.98</v>
      </c>
      <c r="N48" s="2" t="n">
        <f aca="false">N47+M48</f>
        <v>96059302.2360097</v>
      </c>
      <c r="O48" s="2" t="n">
        <f aca="false">O47+N48</f>
        <v>103580110.992573</v>
      </c>
      <c r="P48" s="2" t="n">
        <f aca="false">P47+O48</f>
        <v>106200835.57118</v>
      </c>
      <c r="Q48" s="2" t="n">
        <f aca="false">Q47+P48</f>
        <v>114478622.001454</v>
      </c>
      <c r="R48" s="2" t="n">
        <f aca="false">R47+Q48</f>
        <v>122102916.022851</v>
      </c>
      <c r="S48" s="2" t="n">
        <f aca="false">S47+R48</f>
        <v>133506447.044839</v>
      </c>
      <c r="T48" s="2" t="n">
        <f aca="false">T47+S48</f>
        <v>145746111.378208</v>
      </c>
      <c r="U48" s="2" t="n">
        <f aca="false">U47+T48</f>
        <v>154919789.781006</v>
      </c>
      <c r="V48" s="2" t="n">
        <f aca="false">V47+U48</f>
        <v>180271166.3292</v>
      </c>
      <c r="W48" s="2" t="n">
        <f aca="false">W47+V48</f>
        <v>185413051.2392</v>
      </c>
      <c r="X48" s="2" t="n">
        <f aca="false">X47+W48</f>
        <v>185413051.2392</v>
      </c>
      <c r="Y48" s="2" t="n">
        <f aca="false">Y47+X48</f>
        <v>185413051.2392</v>
      </c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1" t="n">
        <f aca="false">+Z47/C54/1000</f>
        <v>363.555002429803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89</v>
      </c>
      <c r="B52" s="2"/>
      <c r="C52" s="8" t="n">
        <v>0.065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5" t="s">
        <v>90</v>
      </c>
      <c r="B53" s="2"/>
      <c r="C53" s="8" t="n">
        <v>0.0035</v>
      </c>
      <c r="D53" s="29" t="n">
        <v>174500000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44</v>
      </c>
      <c r="B54" s="2"/>
      <c r="C54" s="2" t="n">
        <v>510</v>
      </c>
      <c r="D54" s="2" t="s">
        <v>54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6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55</v>
      </c>
      <c r="C55" s="2" t="n">
        <v>0</v>
      </c>
      <c r="V55" s="1" t="n">
        <v>0</v>
      </c>
      <c r="W55" s="1" t="n">
        <v>0</v>
      </c>
      <c r="Z55" s="22" t="n">
        <f aca="false">SUM(C55:V55)</f>
        <v>0</v>
      </c>
      <c r="AA55" s="17" t="str">
        <f aca="false">AA42</f>
        <v>Rodney Malcolm</v>
      </c>
    </row>
    <row r="56" customFormat="false" ht="12.75" hidden="false" customHeight="false" outlineLevel="0" collapsed="false">
      <c r="A56" s="15"/>
      <c r="B56" s="2"/>
      <c r="C56" s="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" t="s">
        <v>56</v>
      </c>
      <c r="C57" s="2" t="n">
        <f aca="false">+C47-C40</f>
        <v>0</v>
      </c>
      <c r="D57" s="2" t="n">
        <f aca="false">+D47-D40</f>
        <v>0</v>
      </c>
      <c r="E57" s="2" t="n">
        <f aca="false">+E47-E40</f>
        <v>0</v>
      </c>
      <c r="F57" s="2" t="n">
        <f aca="false">+F47-F40</f>
        <v>0</v>
      </c>
      <c r="G57" s="2" t="n">
        <f aca="false">+G47-G40</f>
        <v>0</v>
      </c>
      <c r="H57" s="2" t="n">
        <f aca="false">+H47-H40</f>
        <v>0</v>
      </c>
      <c r="I57" s="2" t="n">
        <f aca="false">+I47-I40</f>
        <v>0</v>
      </c>
      <c r="J57" s="2" t="n">
        <f aca="false">+J47-J40</f>
        <v>0</v>
      </c>
      <c r="K57" s="2" t="n">
        <f aca="false">+K47-K40</f>
        <v>0</v>
      </c>
      <c r="L57" s="2"/>
      <c r="M57" s="2" t="n">
        <f aca="false">+M47-M40</f>
        <v>200791</v>
      </c>
      <c r="N57" s="2" t="n">
        <f aca="false">+N47-N40</f>
        <v>1660822.33333333</v>
      </c>
      <c r="O57" s="2" t="n">
        <f aca="false">+O47-O40</f>
        <v>6962875.33333333</v>
      </c>
      <c r="P57" s="2" t="n">
        <f aca="false">+P47-P40</f>
        <v>2046386.63333333</v>
      </c>
      <c r="Q57" s="2" t="n">
        <f aca="false">+Q47-Q40</f>
        <v>7661034.63333333</v>
      </c>
      <c r="R57" s="2" t="n">
        <f aca="false">+R47-R40</f>
        <v>6966621.01333333</v>
      </c>
      <c r="S57" s="2" t="n">
        <f aca="false">+S47-S40</f>
        <v>10684267.1133333</v>
      </c>
      <c r="T57" s="2" t="n">
        <f aca="false">+T47-T40</f>
        <v>11454459.4233333</v>
      </c>
      <c r="U57" s="2" t="n">
        <f aca="false">+U47-U40</f>
        <v>8339050.44293334</v>
      </c>
      <c r="V57" s="2" t="n">
        <f aca="false">+V47-V40</f>
        <v>24385856.6301333</v>
      </c>
      <c r="W57" s="2" t="n">
        <f aca="false">+W47-W40</f>
        <v>5141884.91</v>
      </c>
      <c r="X57" s="2" t="n">
        <f aca="false">+X47-X40</f>
        <v>0</v>
      </c>
      <c r="Y57" s="2" t="n">
        <f aca="false">+Y47-Y40</f>
        <v>0</v>
      </c>
      <c r="Z57" s="16" t="n">
        <f aca="false">SUM(C57:Y57)</f>
        <v>85504049.4664</v>
      </c>
    </row>
    <row r="58" customFormat="false" ht="12.75" hidden="false" customHeight="false" outlineLevel="0" collapsed="false">
      <c r="Z58" s="16"/>
    </row>
    <row r="59" customFormat="false" ht="12.75" hidden="false" customHeight="false" outlineLevel="0" collapsed="false">
      <c r="Z59" s="16"/>
    </row>
    <row r="60" customFormat="false" ht="20.25" hidden="false" customHeight="false" outlineLevel="0" collapsed="false">
      <c r="A60" s="26" t="s">
        <v>74</v>
      </c>
      <c r="Z60" s="16"/>
    </row>
    <row r="61" customFormat="false" ht="12.75" hidden="false" customHeight="false" outlineLevel="0" collapsed="false">
      <c r="A61" s="2" t="s">
        <v>114</v>
      </c>
      <c r="Z61" s="16"/>
    </row>
    <row r="62" customFormat="false" ht="12.75" hidden="false" customHeight="false" outlineLevel="0" collapsed="false">
      <c r="A62" s="36" t="s">
        <v>115</v>
      </c>
      <c r="B62" s="37"/>
      <c r="H62" s="1" t="n">
        <f aca="false">135487+48439.18</f>
        <v>183926.18</v>
      </c>
      <c r="I62" s="1" t="n">
        <v>0</v>
      </c>
      <c r="J62" s="1" t="n">
        <v>2645</v>
      </c>
      <c r="K62" s="1" t="n">
        <v>0</v>
      </c>
      <c r="L62" s="1" t="n">
        <f aca="false">-SUM(G62:K62)-M62</f>
        <v>-194774.18</v>
      </c>
      <c r="M62" s="1" t="n">
        <v>8203</v>
      </c>
      <c r="Q62" s="1" t="n">
        <v>0</v>
      </c>
      <c r="R62" s="1" t="n">
        <v>0</v>
      </c>
      <c r="V62" s="1" t="n">
        <v>0</v>
      </c>
      <c r="Z62" s="16" t="n">
        <f aca="false">SUM(C62:Y62)</f>
        <v>0</v>
      </c>
      <c r="AA62" s="36" t="s">
        <v>115</v>
      </c>
      <c r="AC62" s="1" t="n">
        <f aca="false">Z62+Z26</f>
        <v>731829</v>
      </c>
      <c r="AD62" s="1" t="n">
        <f aca="false">[1]Gleason!$BT$159</f>
        <v>731829.32</v>
      </c>
      <c r="AE62" s="1" t="n">
        <f aca="false">AC62-AD62</f>
        <v>-0.320000000065193</v>
      </c>
    </row>
    <row r="63" customFormat="false" ht="12.75" hidden="false" customHeight="false" outlineLevel="0" collapsed="false">
      <c r="A63" s="36" t="s">
        <v>116</v>
      </c>
      <c r="B63" s="37"/>
      <c r="E63" s="1" t="n">
        <v>0</v>
      </c>
      <c r="F63" s="1" t="n">
        <v>3543</v>
      </c>
      <c r="H63" s="1" t="n">
        <v>2193</v>
      </c>
      <c r="I63" s="1" t="n">
        <v>0</v>
      </c>
      <c r="K63" s="1" t="n">
        <v>0</v>
      </c>
      <c r="L63" s="1" t="n">
        <f aca="false">-SUM(G63:K63)</f>
        <v>-2193</v>
      </c>
      <c r="V63" s="1" t="n">
        <v>0</v>
      </c>
      <c r="Z63" s="16" t="n">
        <f aca="false">SUM(C63:Y63)</f>
        <v>3543</v>
      </c>
      <c r="AA63" s="36" t="s">
        <v>116</v>
      </c>
      <c r="AC63" s="1" t="n">
        <f aca="false">Z63+Z34</f>
        <v>752208</v>
      </c>
      <c r="AD63" s="1" t="n">
        <f aca="false">[1]Gleason!$BT$209</f>
        <v>752208.46</v>
      </c>
      <c r="AE63" s="1" t="n">
        <f aca="false">AC63-AD63</f>
        <v>-0.459999999962747</v>
      </c>
    </row>
    <row r="64" customFormat="false" ht="12.75" hidden="false" customHeight="false" outlineLevel="0" collapsed="false">
      <c r="A64" s="36" t="s">
        <v>117</v>
      </c>
      <c r="B64" s="37"/>
      <c r="D64" s="1" t="n">
        <v>0</v>
      </c>
      <c r="I64" s="1" t="n">
        <v>0</v>
      </c>
      <c r="K64" s="1" t="n">
        <v>0</v>
      </c>
      <c r="L64" s="1" t="n">
        <f aca="false">-SUM(G64:K64)</f>
        <v>-0</v>
      </c>
      <c r="Z64" s="16" t="n">
        <f aca="false">SUM(C64:Y64)</f>
        <v>0</v>
      </c>
      <c r="AA64" s="36" t="s">
        <v>117</v>
      </c>
      <c r="AC64" s="1" t="n">
        <f aca="false">Z64</f>
        <v>0</v>
      </c>
      <c r="AD64" s="1" t="n">
        <v>0</v>
      </c>
      <c r="AE64" s="1" t="n">
        <f aca="false">AC64-AD64</f>
        <v>0</v>
      </c>
    </row>
    <row r="65" customFormat="false" ht="12.75" hidden="false" customHeight="false" outlineLevel="0" collapsed="false">
      <c r="A65" s="36" t="s">
        <v>118</v>
      </c>
      <c r="B65" s="37"/>
      <c r="C65" s="2" t="n">
        <v>0</v>
      </c>
      <c r="D65" s="1" t="n">
        <v>0</v>
      </c>
      <c r="E65" s="1" t="n">
        <v>5000</v>
      </c>
      <c r="F65" s="1" t="n">
        <f aca="false">716+188</f>
        <v>904</v>
      </c>
      <c r="G65" s="1" t="n">
        <v>7490.5</v>
      </c>
      <c r="H65" s="1" t="n">
        <v>2410.51</v>
      </c>
      <c r="I65" s="1" t="n">
        <v>0</v>
      </c>
      <c r="L65" s="1" t="n">
        <f aca="false">-SUM(G65:K65)</f>
        <v>-9901.01</v>
      </c>
      <c r="V65" s="1" t="n">
        <v>0</v>
      </c>
      <c r="Z65" s="16" t="n">
        <f aca="false">SUM(C65:Y65)</f>
        <v>5904</v>
      </c>
      <c r="AA65" s="36" t="s">
        <v>118</v>
      </c>
      <c r="AC65" s="1" t="n">
        <f aca="false">Z65+Z33</f>
        <v>897105</v>
      </c>
      <c r="AD65" s="1" t="n">
        <f aca="false">[1]Gleason!$BT$203</f>
        <v>897104.88</v>
      </c>
      <c r="AE65" s="1" t="n">
        <f aca="false">AC65-AD65</f>
        <v>0.119999999995343</v>
      </c>
    </row>
    <row r="66" customFormat="false" ht="12.75" hidden="false" customHeight="false" outlineLevel="0" collapsed="false">
      <c r="A66" s="36" t="s">
        <v>39</v>
      </c>
      <c r="B66" s="37"/>
      <c r="F66" s="1" t="n">
        <v>11817</v>
      </c>
      <c r="G66" s="1" t="n">
        <v>1079</v>
      </c>
      <c r="H66" s="1" t="n">
        <f aca="false">862+910.57</f>
        <v>1772.57</v>
      </c>
      <c r="I66" s="1" t="n">
        <v>0</v>
      </c>
      <c r="K66" s="1" t="n">
        <v>0</v>
      </c>
      <c r="L66" s="1" t="n">
        <f aca="false">-SUM(G66:K66)+1362.81</f>
        <v>-1488.76</v>
      </c>
      <c r="V66" s="1" t="n">
        <v>0</v>
      </c>
      <c r="Z66" s="16" t="n">
        <f aca="false">SUM(C66:Y66)</f>
        <v>13179.81</v>
      </c>
      <c r="AA66" s="36" t="s">
        <v>39</v>
      </c>
      <c r="AC66" s="1" t="n">
        <f aca="false">Z66+Z32</f>
        <v>199999.86</v>
      </c>
      <c r="AD66" s="1" t="n">
        <f aca="false">[1]Wheatland!$BR$151</f>
        <v>200000</v>
      </c>
      <c r="AE66" s="1" t="n">
        <f aca="false">AC66-AD66</f>
        <v>-0.139999999984866</v>
      </c>
    </row>
    <row r="67" customFormat="false" ht="12.75" hidden="false" customHeight="false" outlineLevel="0" collapsed="false">
      <c r="A67" s="2" t="s">
        <v>119</v>
      </c>
      <c r="C67" s="18" t="n">
        <f aca="false">SUM(C62:C66)</f>
        <v>0</v>
      </c>
      <c r="D67" s="18" t="n">
        <f aca="false">SUM(D62:D66)</f>
        <v>0</v>
      </c>
      <c r="E67" s="18" t="n">
        <f aca="false">SUM(E62:E66)</f>
        <v>5000</v>
      </c>
      <c r="F67" s="18" t="n">
        <f aca="false">SUM(F62:F66)</f>
        <v>16264</v>
      </c>
      <c r="G67" s="18" t="n">
        <f aca="false">SUM(G62:G66)</f>
        <v>8569.5</v>
      </c>
      <c r="H67" s="18" t="n">
        <f aca="false">SUM(H62:H66)</f>
        <v>190302.26</v>
      </c>
      <c r="I67" s="18" t="n">
        <f aca="false">SUM(I62:I66)</f>
        <v>0</v>
      </c>
      <c r="J67" s="18" t="n">
        <f aca="false">SUM(J62:J66)</f>
        <v>2645</v>
      </c>
      <c r="K67" s="18" t="n">
        <f aca="false">SUM(K62:K66)</f>
        <v>0</v>
      </c>
      <c r="L67" s="18" t="n">
        <f aca="false">SUM(L62:L66)</f>
        <v>-208356.95</v>
      </c>
      <c r="M67" s="18" t="n">
        <f aca="false">SUM(M62:M66)</f>
        <v>8203</v>
      </c>
      <c r="N67" s="18" t="n">
        <f aca="false">SUM(N62:N66)</f>
        <v>0</v>
      </c>
      <c r="O67" s="18" t="n">
        <f aca="false">SUM(O62:O66)</f>
        <v>0</v>
      </c>
      <c r="P67" s="18" t="n">
        <f aca="false">SUM(P62:P66)</f>
        <v>0</v>
      </c>
      <c r="Q67" s="18" t="n">
        <f aca="false">SUM(Q62:Q66)</f>
        <v>0</v>
      </c>
      <c r="R67" s="18" t="n">
        <f aca="false">SUM(R62:R66)</f>
        <v>0</v>
      </c>
      <c r="S67" s="18" t="n">
        <f aca="false">SUM(S62:S66)</f>
        <v>0</v>
      </c>
      <c r="T67" s="18" t="n">
        <f aca="false">SUM(T62:T66)</f>
        <v>0</v>
      </c>
      <c r="U67" s="18" t="n">
        <f aca="false">SUM(U62:U66)</f>
        <v>0</v>
      </c>
      <c r="V67" s="18" t="n">
        <f aca="false">SUM(V62:V66)</f>
        <v>0</v>
      </c>
      <c r="W67" s="18" t="n">
        <f aca="false">SUM(W62:W66)</f>
        <v>0</v>
      </c>
      <c r="X67" s="18" t="n">
        <f aca="false">SUM(X62:X66)</f>
        <v>0</v>
      </c>
      <c r="Y67" s="18" t="n">
        <f aca="false">SUM(Y62:Y66)</f>
        <v>0</v>
      </c>
      <c r="Z67" s="19" t="n">
        <f aca="false">SUM(C67:V67)</f>
        <v>22626.81</v>
      </c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6"/>
    </row>
    <row r="69" customFormat="false" ht="12.75" hidden="false" customHeight="false" outlineLevel="0" collapsed="false">
      <c r="A69" s="1" t="s">
        <v>92</v>
      </c>
      <c r="G69" s="1" t="n">
        <v>0</v>
      </c>
      <c r="H69" s="1" t="n">
        <v>0</v>
      </c>
      <c r="I69" s="1" t="n">
        <v>0</v>
      </c>
      <c r="J69" s="1" t="n">
        <v>0</v>
      </c>
      <c r="K69" s="1" t="n">
        <v>0</v>
      </c>
      <c r="L69" s="1" t="n">
        <v>0</v>
      </c>
      <c r="O69" s="1" t="n">
        <v>0</v>
      </c>
      <c r="P69" s="1" t="n">
        <v>-2135</v>
      </c>
      <c r="Z69" s="16" t="n">
        <f aca="false">SUM(C69:V69)</f>
        <v>-2135</v>
      </c>
    </row>
    <row r="70" customFormat="false" ht="12.75" hidden="false" customHeight="false" outlineLevel="0" collapsed="false">
      <c r="A70" s="18" t="s">
        <v>93</v>
      </c>
      <c r="B70" s="30"/>
      <c r="C70" s="18" t="n">
        <f aca="false">SUM(C69)</f>
        <v>0</v>
      </c>
      <c r="D70" s="18" t="n">
        <f aca="false">SUM(D67:D69)</f>
        <v>0</v>
      </c>
      <c r="E70" s="18" t="n">
        <f aca="false">SUM(E67:E69)</f>
        <v>5000</v>
      </c>
      <c r="F70" s="18" t="n">
        <f aca="false">SUM(F67:F69)</f>
        <v>16264</v>
      </c>
      <c r="G70" s="18" t="n">
        <f aca="false">SUM(G67:G69)</f>
        <v>8569.5</v>
      </c>
      <c r="H70" s="18" t="n">
        <f aca="false">SUM(H67:H69)</f>
        <v>190302.26</v>
      </c>
      <c r="I70" s="18" t="n">
        <f aca="false">SUM(I67:I69)</f>
        <v>0</v>
      </c>
      <c r="J70" s="18" t="n">
        <f aca="false">SUM(J67:J69)</f>
        <v>2645</v>
      </c>
      <c r="K70" s="18" t="n">
        <f aca="false">SUM(K67:K69)</f>
        <v>0</v>
      </c>
      <c r="L70" s="18" t="n">
        <f aca="false">SUM(L67:L69)</f>
        <v>-208356.95</v>
      </c>
      <c r="M70" s="18" t="n">
        <f aca="false">SUM(M67:M69)</f>
        <v>8203</v>
      </c>
      <c r="N70" s="18" t="n">
        <f aca="false">SUM(N67:N69)</f>
        <v>0</v>
      </c>
      <c r="O70" s="18" t="n">
        <f aca="false">SUM(O67:O69)</f>
        <v>0</v>
      </c>
      <c r="P70" s="18" t="n">
        <f aca="false">SUM(P67:P69)</f>
        <v>-2135</v>
      </c>
      <c r="Q70" s="18" t="n">
        <f aca="false">SUM(Q67:Q69)</f>
        <v>0</v>
      </c>
      <c r="R70" s="18" t="n">
        <f aca="false">SUM(R67:R69)</f>
        <v>0</v>
      </c>
      <c r="S70" s="18" t="n">
        <f aca="false">SUM(S67:S69)</f>
        <v>0</v>
      </c>
      <c r="T70" s="18" t="n">
        <f aca="false">SUM(T67:T69)</f>
        <v>0</v>
      </c>
      <c r="U70" s="18" t="n">
        <f aca="false">SUM(U67:U69)</f>
        <v>0</v>
      </c>
      <c r="V70" s="18" t="n">
        <f aca="false">SUM(V67:V69)</f>
        <v>0</v>
      </c>
      <c r="W70" s="18" t="n">
        <f aca="false">SUM(W67:W69)</f>
        <v>0</v>
      </c>
      <c r="X70" s="18" t="n">
        <f aca="false">SUM(X67:X69)</f>
        <v>0</v>
      </c>
      <c r="Y70" s="18" t="n">
        <f aca="false">SUM(Y67:Y69)</f>
        <v>0</v>
      </c>
      <c r="Z70" s="18" t="n">
        <f aca="false">SUM(Z67:Z69)</f>
        <v>20491.81</v>
      </c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  <c r="II70" s="30"/>
      <c r="IJ70" s="30"/>
      <c r="IK70" s="30"/>
      <c r="IL70" s="30"/>
      <c r="IM70" s="30"/>
      <c r="IN70" s="30"/>
      <c r="IO70" s="30"/>
      <c r="IP70" s="30"/>
      <c r="IQ70" s="30"/>
      <c r="IR70" s="30"/>
      <c r="IS70" s="30"/>
      <c r="IT70" s="30"/>
      <c r="IU70" s="30"/>
      <c r="IV70" s="30"/>
      <c r="IW70" s="30"/>
    </row>
    <row r="71" customFormat="false" ht="12.75" hidden="false" customHeight="false" outlineLevel="0" collapsed="false">
      <c r="A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6"/>
    </row>
    <row r="72" customFormat="false" ht="12.75" hidden="false" customHeight="false" outlineLevel="0" collapsed="false">
      <c r="Z72" s="16"/>
    </row>
    <row r="73" customFormat="false" ht="12.75" hidden="false" customHeight="false" outlineLevel="0" collapsed="false">
      <c r="A73" s="2" t="s">
        <v>120</v>
      </c>
      <c r="C73" s="2" t="n">
        <f aca="false">+C47+C70+C67</f>
        <v>0</v>
      </c>
      <c r="D73" s="2" t="n">
        <f aca="false">+D47+D70+D67</f>
        <v>0</v>
      </c>
      <c r="E73" s="2" t="n">
        <f aca="false">+E70+E47</f>
        <v>5000</v>
      </c>
      <c r="F73" s="2" t="n">
        <f aca="false">+F70+F47</f>
        <v>16264</v>
      </c>
      <c r="G73" s="2" t="n">
        <f aca="false">+G70+G47</f>
        <v>8569.5</v>
      </c>
      <c r="H73" s="2" t="n">
        <f aca="false">+H70+H47</f>
        <v>190302.26</v>
      </c>
      <c r="I73" s="2" t="n">
        <f aca="false">+I70+I47</f>
        <v>0</v>
      </c>
      <c r="J73" s="2" t="n">
        <f aca="false">+J70+J47</f>
        <v>2645</v>
      </c>
      <c r="K73" s="2" t="n">
        <f aca="false">+K70+K47</f>
        <v>0</v>
      </c>
      <c r="L73" s="2" t="n">
        <f aca="false">D70:L70+L47</f>
        <v>92966215.1</v>
      </c>
      <c r="M73" s="2" t="n">
        <f aca="false">+M70+M47</f>
        <v>714662.93</v>
      </c>
      <c r="N73" s="2" t="n">
        <f aca="false">+N70+N47</f>
        <v>2178270.25600972</v>
      </c>
      <c r="O73" s="2" t="n">
        <f aca="false">+O70+O47</f>
        <v>7520808.75656311</v>
      </c>
      <c r="P73" s="2" t="n">
        <f aca="false">+P70+P47</f>
        <v>2618589.57860699</v>
      </c>
      <c r="Q73" s="2" t="n">
        <f aca="false">+Q70+Q47</f>
        <v>8277786.43027445</v>
      </c>
      <c r="R73" s="2" t="n">
        <f aca="false">+R70+R47</f>
        <v>7624294.02139677</v>
      </c>
      <c r="S73" s="2" t="n">
        <f aca="false">+S70+S47</f>
        <v>11403531.0219877</v>
      </c>
      <c r="T73" s="2" t="n">
        <f aca="false">+T70+T47</f>
        <v>12239664.3333693</v>
      </c>
      <c r="U73" s="2" t="n">
        <f aca="false">+U70+U47</f>
        <v>9173678.40279785</v>
      </c>
      <c r="V73" s="2" t="n">
        <f aca="false">+V70+V47</f>
        <v>25351376.5481937</v>
      </c>
      <c r="W73" s="2" t="n">
        <f aca="false">+W70+W47</f>
        <v>5141884.91</v>
      </c>
      <c r="X73" s="2" t="n">
        <f aca="false">+X70+X47</f>
        <v>0</v>
      </c>
      <c r="Y73" s="2" t="n">
        <f aca="false">+Y70+Y47</f>
        <v>0</v>
      </c>
      <c r="Z73" s="2" t="n">
        <f aca="false">SUM(C73:Y73)</f>
        <v>185433543.0492</v>
      </c>
    </row>
    <row r="74" customFormat="false" ht="12.75" hidden="false" customHeight="false" outlineLevel="0" collapsed="false">
      <c r="Z74" s="2" t="n">
        <f aca="false">Z73-[1]Gleason!$BT$225</f>
        <v>-0.983599990606308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U8" activePane="bottomRight" state="frozen"/>
      <selection pane="topLeft" activeCell="A1" activeCellId="0" sqref="A1"/>
      <selection pane="topRight" activeCell="U1" activeCellId="0" sqref="U1"/>
      <selection pane="bottomLeft" activeCell="A8" activeCellId="0" sqref="A8"/>
      <selection pane="bottomRight" activeCell="AB20" activeCellId="0" sqref="A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2.42"/>
    <col collapsed="false" customWidth="true" hidden="false" outlineLevel="0" max="4" min="4" style="1" width="13.99"/>
    <col collapsed="false" customWidth="true" hidden="false" outlineLevel="0" max="5" min="5" style="1" width="13.28"/>
    <col collapsed="false" customWidth="true" hidden="false" outlineLevel="0" max="6" min="6" style="1" width="12.56"/>
    <col collapsed="false" customWidth="true" hidden="false" outlineLevel="0" max="7" min="7" style="1" width="12.85"/>
    <col collapsed="false" customWidth="true" hidden="false" outlineLevel="0" max="8" min="8" style="1" width="12.42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2.28"/>
    <col collapsed="false" customWidth="true" hidden="false" outlineLevel="0" max="12" min="12" style="1" width="12.14"/>
    <col collapsed="false" customWidth="true" hidden="false" outlineLevel="0" max="14" min="13" style="1" width="12.28"/>
    <col collapsed="false" customWidth="true" hidden="false" outlineLevel="0" max="15" min="15" style="1" width="13.99"/>
    <col collapsed="false" customWidth="true" hidden="false" outlineLevel="0" max="16" min="16" style="1" width="13.85"/>
    <col collapsed="false" customWidth="true" hidden="false" outlineLevel="0" max="17" min="17" style="1" width="13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4" min="21" style="1" width="13.14"/>
    <col collapsed="false" customWidth="true" hidden="false" outlineLevel="0" max="25" min="25" style="2" width="13.85"/>
    <col collapsed="false" customWidth="true" hidden="tru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2.85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April 14, 2000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XML/filtered-attachments/xls/Draw_Sched___050300.xls'#$Wheatland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45926.9532842729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25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6" t="s">
        <v>77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v>1077741</v>
      </c>
      <c r="Q10" s="1" t="n">
        <v>2155483</v>
      </c>
      <c r="T10" s="1" t="n">
        <v>231601</v>
      </c>
      <c r="U10" s="1" t="n">
        <f aca="false">85821500-81565943+66200+1033169-4972-323393-982714</f>
        <v>4043847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1190506</v>
      </c>
      <c r="R11" s="1" t="n">
        <v>612336</v>
      </c>
      <c r="S11" s="1" t="n">
        <v>0</v>
      </c>
      <c r="U11" s="1" t="n">
        <v>396835</v>
      </c>
      <c r="Y11" s="16" t="n">
        <f aca="false">SUM(C11:X11)</f>
        <v>4656034.3</v>
      </c>
      <c r="Z11" s="23" t="s">
        <v>23</v>
      </c>
      <c r="AA11" s="1" t="n">
        <f aca="false">[1]Wheatland!$BR$32</f>
        <v>4656034</v>
      </c>
      <c r="AB11" s="1" t="n">
        <f aca="false">Y11-AA11</f>
        <v>0.299999999813736</v>
      </c>
    </row>
    <row r="12" customFormat="false" ht="12.75" hidden="false" customHeight="false" outlineLevel="0" collapsed="false">
      <c r="A12" s="1" t="s">
        <v>96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v>2169322</v>
      </c>
      <c r="Q12" s="1" t="n">
        <v>0</v>
      </c>
      <c r="R12" s="1" t="n">
        <v>2799666</v>
      </c>
      <c r="T12" s="1" t="n">
        <f aca="false">(0.8703-0.7833)*AA12</f>
        <v>1166752.737</v>
      </c>
      <c r="U12" s="1" t="n">
        <f aca="false">(0.9476-0.8703)*AA12+2727672-2000000+1496871</f>
        <v>3261209.5123</v>
      </c>
      <c r="V12" s="1" t="n">
        <f aca="false">(1-0.9476)*AA12</f>
        <v>702733.8324</v>
      </c>
      <c r="W12" s="1" t="n">
        <f aca="false">987110-86446</f>
        <v>900664</v>
      </c>
      <c r="X12" s="1" t="n">
        <v>1783657</v>
      </c>
      <c r="Y12" s="16" t="n">
        <f aca="false">SUM(C12:X12)</f>
        <v>13410951.0817</v>
      </c>
      <c r="Z12" s="23" t="s">
        <v>23</v>
      </c>
      <c r="AA12" s="1" t="n">
        <f aca="false">[1]Wheatland!$BR$48</f>
        <v>13410951</v>
      </c>
      <c r="AB12" s="1" t="n">
        <f aca="false">Y12-AA12</f>
        <v>0.0817000009119511</v>
      </c>
    </row>
    <row r="13" customFormat="false" ht="12.75" hidden="false" customHeight="false" outlineLevel="0" collapsed="false">
      <c r="A13" s="1" t="s">
        <v>97</v>
      </c>
      <c r="C13" s="2" t="n">
        <v>0</v>
      </c>
      <c r="F13" s="15"/>
      <c r="N13" s="1" t="n">
        <v>115533</v>
      </c>
      <c r="P13" s="1" t="n">
        <v>359796</v>
      </c>
      <c r="Q13" s="1" t="n">
        <v>0</v>
      </c>
      <c r="R13" s="1" t="n">
        <v>787142</v>
      </c>
      <c r="T13" s="1" t="n">
        <f aca="false">(0.8703-0.7833)*AA13</f>
        <v>430630.512</v>
      </c>
      <c r="U13" s="1" t="n">
        <f aca="false">(0.9476-0.8703)*AA13+942336+212174</f>
        <v>1537127.6848</v>
      </c>
      <c r="V13" s="1" t="n">
        <f aca="false">(1-0.9476)*AA13</f>
        <v>259368.2624</v>
      </c>
      <c r="W13" s="1" t="n">
        <f aca="false">442079+359779</f>
        <v>801858</v>
      </c>
      <c r="X13" s="1" t="n">
        <v>658321</v>
      </c>
      <c r="Y13" s="16" t="n">
        <f aca="false">SUM(C13:X13)</f>
        <v>4949776.4592</v>
      </c>
      <c r="Z13" s="23"/>
      <c r="AA13" s="1" t="n">
        <f aca="false">[1]Wheatland!$BR$55</f>
        <v>4949776</v>
      </c>
      <c r="AB13" s="1" t="n">
        <f aca="false">Y13-AA13</f>
        <v>0.45920000039041</v>
      </c>
    </row>
    <row r="14" customFormat="false" ht="12.75" hidden="false" customHeight="false" outlineLevel="0" collapsed="false">
      <c r="A14" s="1" t="s">
        <v>98</v>
      </c>
      <c r="M14" s="1" t="n">
        <v>0</v>
      </c>
      <c r="N14" s="1" t="n">
        <v>61343</v>
      </c>
      <c r="P14" s="1" t="n">
        <v>2112822</v>
      </c>
      <c r="Q14" s="1" t="n">
        <v>0</v>
      </c>
      <c r="R14" s="1" t="n">
        <v>1909722</v>
      </c>
      <c r="T14" s="1" t="n">
        <f aca="false">(0.8703-0.7833)*AA14</f>
        <v>1402873.869</v>
      </c>
      <c r="U14" s="1" t="n">
        <f aca="false">(0.9476-0.8703)*AA14+3165418+1120714</f>
        <v>5532593.4951</v>
      </c>
      <c r="V14" s="1" t="n">
        <f aca="false">(1-0.9476)*AA14</f>
        <v>844949.3188</v>
      </c>
      <c r="W14" s="1" t="n">
        <f aca="false">1811742+304318</f>
        <v>2116060</v>
      </c>
      <c r="X14" s="1" t="n">
        <v>2144623</v>
      </c>
      <c r="Y14" s="16" t="n">
        <f aca="false">SUM(C14:X14)</f>
        <v>16124986.6829</v>
      </c>
      <c r="Z14" s="23"/>
      <c r="AA14" s="1" t="n">
        <f aca="false">[1]Wheatland!$BR$80</f>
        <v>16124987</v>
      </c>
      <c r="AB14" s="1" t="n">
        <f aca="false">Y14-AA14</f>
        <v>-0.317099999636412</v>
      </c>
    </row>
    <row r="15" customFormat="false" ht="12.75" hidden="false" customHeight="false" outlineLevel="0" collapsed="false">
      <c r="A15" s="1" t="s">
        <v>99</v>
      </c>
      <c r="N15" s="1" t="n">
        <v>0</v>
      </c>
      <c r="P15" s="1" t="n">
        <v>355795</v>
      </c>
      <c r="Q15" s="1" t="n">
        <v>0</v>
      </c>
      <c r="R15" s="1" t="n">
        <v>1899850</v>
      </c>
      <c r="T15" s="1" t="n">
        <f aca="false">(0.8703-0.7833)*AA15</f>
        <v>882695.823</v>
      </c>
      <c r="U15" s="1" t="n">
        <f aca="false">(0.9476-0.8703)*AA15+2012953-43145</f>
        <v>2754088.3117</v>
      </c>
      <c r="V15" s="1" t="n">
        <f aca="false">(1-0.9476)*AA15</f>
        <v>531646.6796</v>
      </c>
      <c r="W15" s="1" t="n">
        <f aca="false">1191132+1181313</f>
        <v>2372445</v>
      </c>
      <c r="X15" s="1" t="n">
        <v>1349408</v>
      </c>
      <c r="Y15" s="16" t="n">
        <f aca="false">SUM(C15:X15)</f>
        <v>10145928.8143</v>
      </c>
      <c r="Z15" s="23"/>
      <c r="AA15" s="1" t="n">
        <f aca="false">[1]Wheatland!$BR$85</f>
        <v>10145929</v>
      </c>
      <c r="AB15" s="1" t="n">
        <f aca="false">Y15-AA15</f>
        <v>-0.185699999332428</v>
      </c>
    </row>
    <row r="16" customFormat="false" ht="12.75" hidden="false" customHeight="false" outlineLevel="0" collapsed="false">
      <c r="A16" s="1" t="s">
        <v>100</v>
      </c>
      <c r="N16" s="1" t="n">
        <v>3651557</v>
      </c>
      <c r="P16" s="1" t="n">
        <f aca="false">1183571-943865</f>
        <v>239706</v>
      </c>
      <c r="Q16" s="1" t="n">
        <v>5993551</v>
      </c>
      <c r="R16" s="1" t="n">
        <v>123980</v>
      </c>
      <c r="S16" s="1" t="n">
        <v>6627015</v>
      </c>
      <c r="U16" s="1" t="n">
        <f aca="false">-1946726-3953393</f>
        <v>-5900119</v>
      </c>
      <c r="W16" s="1" t="n">
        <v>-4108675</v>
      </c>
      <c r="X16" s="1" t="n">
        <v>-10580408</v>
      </c>
      <c r="Y16" s="16" t="n">
        <f aca="false">SUM(C16:X16)</f>
        <v>-3953393</v>
      </c>
      <c r="Z16" s="23"/>
      <c r="AA16" s="1" t="n">
        <f aca="false">[1]Wheatland!$BR$89+[1]Wheatland!$BR$87</f>
        <v>-3953393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112</v>
      </c>
      <c r="F17" s="15"/>
      <c r="U17" s="1" t="n">
        <v>50000</v>
      </c>
      <c r="Y17" s="16" t="n">
        <f aca="false">SUM(C17:X17)</f>
        <v>50000</v>
      </c>
      <c r="Z17" s="23"/>
      <c r="AA17" s="1" t="n">
        <f aca="false">[1]Wheatland!$BR$121</f>
        <v>50000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78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[1]Wheatland!$BR$95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79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v>198889</v>
      </c>
      <c r="Q19" s="1" t="n">
        <v>198889</v>
      </c>
      <c r="R19" s="1" t="n">
        <f aca="false">2386700/12</f>
        <v>198891.666666667</v>
      </c>
      <c r="S19" s="1" t="n">
        <v>198889</v>
      </c>
      <c r="T19" s="1" t="n">
        <f aca="false">2386700/12</f>
        <v>198891.666666667</v>
      </c>
      <c r="U19" s="1" t="n">
        <f aca="false">2386700/12+6+3-7+5+3</f>
        <v>198901.666666667</v>
      </c>
      <c r="Y19" s="16" t="n">
        <f aca="false">SUM(C19:X19)</f>
        <v>2386700.33666667</v>
      </c>
      <c r="Z19" s="23"/>
      <c r="AA19" s="1" t="n">
        <f aca="false">[1]Wheatland!$BR96</f>
        <v>2386700</v>
      </c>
      <c r="AB19" s="1" t="n">
        <f aca="false">Y19-AA19</f>
        <v>0.33666666643694</v>
      </c>
    </row>
    <row r="20" customFormat="false" ht="12.75" hidden="false" customHeight="false" outlineLevel="0" collapsed="false">
      <c r="A20" s="1" t="s">
        <v>80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[1]Wheatland!$BR97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102</v>
      </c>
      <c r="C21" s="2" t="n">
        <v>0</v>
      </c>
      <c r="Q21" s="1" t="n">
        <v>37000</v>
      </c>
      <c r="R21" s="1" t="n">
        <v>210320</v>
      </c>
      <c r="S21" s="1" t="n">
        <v>162493</v>
      </c>
      <c r="T21" s="1" t="n">
        <v>125000</v>
      </c>
      <c r="U21" s="1" t="n">
        <f aca="false">908786-625000+88000-85320-37493</f>
        <v>248973</v>
      </c>
      <c r="V21" s="1" t="n">
        <v>125000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84</v>
      </c>
      <c r="N22" s="1" t="n">
        <v>38084</v>
      </c>
      <c r="P22" s="1" t="n">
        <v>16048</v>
      </c>
      <c r="Q22" s="1" t="n">
        <v>750</v>
      </c>
      <c r="R22" s="1" t="n">
        <v>44229</v>
      </c>
      <c r="U22" s="1" t="n">
        <f aca="false">1500000-38084-16048-750-44229</f>
        <v>1400889</v>
      </c>
      <c r="Y22" s="16" t="n">
        <f aca="false">SUM(C22:X22)</f>
        <v>1500000</v>
      </c>
      <c r="Z22" s="23"/>
      <c r="AA22" s="1" t="n">
        <f aca="false">[1]Wheatland!$BR$119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0</v>
      </c>
      <c r="T23" s="1" t="n">
        <f aca="false">500000+500000</f>
        <v>1000000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[1]Wheatland!$BR$123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5000</v>
      </c>
      <c r="P24" s="1" t="n">
        <v>259325</v>
      </c>
      <c r="Q24" s="1" t="n">
        <v>516321</v>
      </c>
      <c r="R24" s="1" t="n">
        <v>-21962</v>
      </c>
      <c r="S24" s="1" t="n">
        <v>36475</v>
      </c>
      <c r="U24" s="1" t="n">
        <v>0</v>
      </c>
      <c r="Y24" s="16" t="n">
        <f aca="false">SUM(C24:X24)</f>
        <v>1907103.26</v>
      </c>
      <c r="Z24" s="23" t="s">
        <v>69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11305</v>
      </c>
      <c r="P25" s="1" t="n">
        <v>28716</v>
      </c>
      <c r="Q25" s="1" t="n">
        <v>31364</v>
      </c>
      <c r="R25" s="1" t="n">
        <v>9815</v>
      </c>
      <c r="T25" s="1" t="n">
        <v>19859</v>
      </c>
      <c r="U25" s="1" t="n">
        <v>577</v>
      </c>
      <c r="Y25" s="16" t="n">
        <f aca="false">SUM(C25:X25)</f>
        <v>313820.42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103</v>
      </c>
      <c r="C26" s="2" t="n">
        <v>0</v>
      </c>
      <c r="F26" s="15"/>
      <c r="L26" s="1" t="n">
        <v>10000</v>
      </c>
      <c r="O26" s="1" t="n">
        <v>15000</v>
      </c>
      <c r="P26" s="1" t="n">
        <v>9120</v>
      </c>
      <c r="Q26" s="1" t="n">
        <v>0</v>
      </c>
      <c r="R26" s="1" t="n">
        <v>0</v>
      </c>
      <c r="S26" s="1" t="n">
        <v>0</v>
      </c>
      <c r="T26" s="1" t="n">
        <v>1500000</v>
      </c>
      <c r="U26" s="1" t="n">
        <f aca="false">1500000-15000+500000+500000</f>
        <v>2485000</v>
      </c>
      <c r="V26" s="1" t="n">
        <f aca="false">450000+490000</f>
        <v>940000</v>
      </c>
      <c r="W26" s="1" t="n">
        <v>40880</v>
      </c>
      <c r="Y26" s="16" t="n">
        <f aca="false">SUM(C26:X26)</f>
        <v>5000000</v>
      </c>
      <c r="Z26" s="23" t="s">
        <v>34</v>
      </c>
      <c r="AA26" s="1" t="n">
        <f aca="false">[1]Wheatland!$BR$139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0</v>
      </c>
      <c r="R27" s="1" t="n">
        <v>385500</v>
      </c>
      <c r="U27" s="1" t="n">
        <v>168500</v>
      </c>
      <c r="Y27" s="16" t="n">
        <f aca="false">SUM(C27:X27)</f>
        <v>1500000</v>
      </c>
      <c r="Z27" s="23" t="s">
        <v>34</v>
      </c>
      <c r="AA27" s="1" t="n">
        <f aca="false">[1]Wheatland!$BR$141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T28" s="1" t="n">
        <v>500000</v>
      </c>
      <c r="U28" s="1" t="n">
        <v>500000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[1]Wheatland!$BR$147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[1]Wheatland!$BR$149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0</v>
      </c>
      <c r="P31" s="1" t="n">
        <v>1469</v>
      </c>
      <c r="Q31" s="1" t="n">
        <v>24646.4</v>
      </c>
      <c r="R31" s="1" t="n">
        <v>11209.91</v>
      </c>
      <c r="S31" s="1" t="n">
        <v>0</v>
      </c>
      <c r="T31" s="1" t="n">
        <f aca="false">11111.1111111111+11112</f>
        <v>22223.1111111111</v>
      </c>
      <c r="U31" s="1" t="n">
        <f aca="false">27193+1111+10000-11209.91+11112</f>
        <v>38206.09</v>
      </c>
      <c r="V31" s="1" t="n">
        <v>9462</v>
      </c>
      <c r="W31" s="1" t="n">
        <v>180</v>
      </c>
      <c r="Y31" s="16" t="n">
        <f aca="false">SUM(C31:X31)</f>
        <v>185199.071111111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v>143263</v>
      </c>
      <c r="P32" s="1" t="n">
        <v>34982</v>
      </c>
      <c r="Q32" s="1" t="n">
        <v>40925</v>
      </c>
      <c r="R32" s="1" t="n">
        <v>52736</v>
      </c>
      <c r="S32" s="1" t="n">
        <v>64331</v>
      </c>
      <c r="T32" s="1" t="n">
        <f aca="false">80349-6410+2500</f>
        <v>76439</v>
      </c>
      <c r="U32" s="1" t="n">
        <f aca="false">2688+4280+17317+3169</f>
        <v>27454</v>
      </c>
      <c r="Y32" s="16" t="n">
        <f aca="false">SUM(C32:X32)</f>
        <v>684431.69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[1]Wheatland!$AR$201</f>
        <v>0</v>
      </c>
      <c r="P33" s="1" t="n">
        <f aca="false">5360+49464</f>
        <v>54824</v>
      </c>
      <c r="Q33" s="1" t="n">
        <v>13665</v>
      </c>
      <c r="R33" s="1" t="n">
        <v>7711</v>
      </c>
      <c r="S33" s="1" t="n">
        <v>20000</v>
      </c>
      <c r="T33" s="1" t="n">
        <f aca="false">7559+199999</f>
        <v>207558</v>
      </c>
      <c r="U33" s="1" t="n">
        <f aca="false">2441+1962+197444+48543+70636-10000</f>
        <v>311026</v>
      </c>
      <c r="V33" s="1" t="n">
        <f aca="false">6654-1</f>
        <v>6653</v>
      </c>
      <c r="W33" s="1" t="n">
        <v>4641</v>
      </c>
      <c r="Y33" s="16" t="n">
        <f aca="false">SUM(C33:X33)</f>
        <v>701672.39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3841072.79</v>
      </c>
      <c r="P34" s="18" t="n">
        <f aca="false">SUM(P8:P33)</f>
        <v>8186544.33333333</v>
      </c>
      <c r="Q34" s="18" t="n">
        <f aca="false">SUM(Q8:Q33)</f>
        <v>9090077.73333333</v>
      </c>
      <c r="R34" s="18" t="n">
        <f aca="false">SUM(R8:R33)</f>
        <v>9108629.91</v>
      </c>
      <c r="S34" s="18" t="n">
        <f aca="false">SUM(S8:S33)</f>
        <v>7186686.33333333</v>
      </c>
      <c r="T34" s="18" t="n">
        <f aca="false">SUM(T8:T33)</f>
        <v>7842008.05211111</v>
      </c>
      <c r="U34" s="18" t="n">
        <f aca="false">SUM(U8:U33)</f>
        <v>20372023.0939</v>
      </c>
      <c r="V34" s="18" t="n">
        <f aca="false">SUM(V8:V33)</f>
        <v>3419813.0932</v>
      </c>
      <c r="W34" s="18" t="n">
        <f aca="false">SUM(W8:W33)</f>
        <v>2128053</v>
      </c>
      <c r="X34" s="18" t="n">
        <f aca="false">SUM(X8:X33)</f>
        <v>-4620274</v>
      </c>
      <c r="Y34" s="19" t="n">
        <f aca="false">SUM(C34:U34)</f>
        <v>152132937.899344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90346968.4433333</v>
      </c>
      <c r="P35" s="18" t="n">
        <f aca="false">+O35+P34</f>
        <v>98533512.7766667</v>
      </c>
      <c r="Q35" s="18" t="n">
        <f aca="false">+P35+Q34</f>
        <v>107623590.51</v>
      </c>
      <c r="R35" s="18" t="n">
        <f aca="false">+Q35+R34</f>
        <v>116732220.42</v>
      </c>
      <c r="S35" s="18" t="n">
        <f aca="false">+R35+S34</f>
        <v>123918906.753333</v>
      </c>
      <c r="T35" s="18" t="n">
        <f aca="false">+S35+T34</f>
        <v>131760914.805444</v>
      </c>
      <c r="U35" s="18" t="n">
        <f aca="false">+T35+U34</f>
        <v>152132937.899344</v>
      </c>
      <c r="V35" s="18" t="n">
        <f aca="false">+U35+V34</f>
        <v>155552750.992544</v>
      </c>
      <c r="W35" s="18" t="n">
        <f aca="false">+V35+W34</f>
        <v>157680803.992544</v>
      </c>
      <c r="X35" s="18" t="n">
        <f aca="false">+W35+X34</f>
        <v>153060529.992544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323.687101913499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86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v>516340</v>
      </c>
      <c r="P39" s="15" t="n">
        <v>563836.325110041</v>
      </c>
      <c r="Q39" s="15" t="n">
        <v>615994.858259943</v>
      </c>
      <c r="R39" s="15" t="n">
        <v>668433.200158851</v>
      </c>
      <c r="S39" s="15" t="n">
        <f aca="false">(S35+R44)*$C49/12</f>
        <v>710981.7642986</v>
      </c>
      <c r="T39" s="15" t="n">
        <f aca="false">(T35+S44)*$C49/12</f>
        <v>757310.459137486</v>
      </c>
      <c r="U39" s="15" t="n">
        <f aca="false">(U35+T44)*$C49/12</f>
        <v>871761.015883106</v>
      </c>
      <c r="V39" s="15" t="n">
        <v>0</v>
      </c>
      <c r="W39" s="15" t="n">
        <v>0</v>
      </c>
      <c r="X39" s="15" t="n">
        <v>0</v>
      </c>
      <c r="Y39" s="16" t="n">
        <f aca="false">SUM(C39:X39)</f>
        <v>9685395.85649668</v>
      </c>
      <c r="Z39" s="17" t="str">
        <f aca="false">Z52</f>
        <v>Rodney Malcolm</v>
      </c>
      <c r="AA39" s="1" t="n">
        <f aca="false">Y39</f>
        <v>9685395.85649668</v>
      </c>
    </row>
    <row r="40" customFormat="false" ht="12.75" hidden="false" customHeight="false" outlineLevel="0" collapsed="false">
      <c r="A40" s="1" t="s">
        <v>87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88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Z24</f>
        <v>Steve Dowd</v>
      </c>
      <c r="AA42" s="1" t="n">
        <f aca="false">Y42</f>
        <v>0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516340</v>
      </c>
      <c r="P43" s="18" t="n">
        <f aca="false">SUM(P38:P42)</f>
        <v>563836.325110041</v>
      </c>
      <c r="Q43" s="18" t="n">
        <f aca="false">SUM(Q38:Q42)</f>
        <v>615994.858259943</v>
      </c>
      <c r="R43" s="18" t="n">
        <f aca="false">SUM(R38:R42)</f>
        <v>668433.200158851</v>
      </c>
      <c r="S43" s="18" t="n">
        <f aca="false">SUM(S38:S42)</f>
        <v>710981.7642986</v>
      </c>
      <c r="T43" s="18" t="n">
        <f aca="false">SUM(T38:T42)</f>
        <v>757310.459137486</v>
      </c>
      <c r="U43" s="18" t="n">
        <f aca="false">SUM(U38:U42)</f>
        <v>871761.015883106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9679318.35649668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5491000.73364865</v>
      </c>
      <c r="P44" s="18" t="n">
        <f aca="false">+P43+O44</f>
        <v>6054837.0587587</v>
      </c>
      <c r="Q44" s="18" t="n">
        <f aca="false">+Q43+P44</f>
        <v>6670831.91701864</v>
      </c>
      <c r="R44" s="18" t="n">
        <f aca="false">+R43+Q44</f>
        <v>7339265.11717749</v>
      </c>
      <c r="S44" s="18" t="n">
        <f aca="false">+S43+R44</f>
        <v>8050246.88147609</v>
      </c>
      <c r="T44" s="18" t="n">
        <f aca="false">+T43+S44</f>
        <v>8807557.34061357</v>
      </c>
      <c r="U44" s="18" t="n">
        <f aca="false">+U43+T44</f>
        <v>9679318.35649668</v>
      </c>
      <c r="V44" s="18" t="n">
        <f aca="false">+V43+U44</f>
        <v>9679318.35649668</v>
      </c>
      <c r="W44" s="18" t="n">
        <f aca="false">+W43+V44</f>
        <v>9679318.35649668</v>
      </c>
      <c r="X44" s="18" t="n">
        <f aca="false">+X43+W44</f>
        <v>9679318.35649668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121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4357412.79</v>
      </c>
      <c r="P46" s="2" t="n">
        <f aca="false">+P34+P43</f>
        <v>8750380.65844338</v>
      </c>
      <c r="Q46" s="2" t="n">
        <f aca="false">+Q34+Q43</f>
        <v>9706072.59159328</v>
      </c>
      <c r="R46" s="2" t="n">
        <f aca="false">+R34+R43</f>
        <v>9777063.11015885</v>
      </c>
      <c r="S46" s="2" t="n">
        <f aca="false">+S34+S43</f>
        <v>7897668.09763193</v>
      </c>
      <c r="T46" s="2" t="n">
        <f aca="false">+T34+T43</f>
        <v>8599318.5112486</v>
      </c>
      <c r="U46" s="2" t="n">
        <f aca="false">+U34+U43</f>
        <v>21243784.1097831</v>
      </c>
      <c r="V46" s="2" t="n">
        <f aca="false">+V34+V43</f>
        <v>3419813.0932</v>
      </c>
      <c r="W46" s="2" t="n">
        <f aca="false">+W34+W43</f>
        <v>2128053</v>
      </c>
      <c r="X46" s="2" t="n">
        <f aca="false">+X34+X43</f>
        <v>-4620274</v>
      </c>
      <c r="Y46" s="16" t="n">
        <f aca="false">SUM(C46:X46)</f>
        <v>162739848.349041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95837969.176982</v>
      </c>
      <c r="P47" s="2" t="n">
        <f aca="false">O47+P46</f>
        <v>104588349.835425</v>
      </c>
      <c r="Q47" s="2" t="n">
        <f aca="false">P47+Q46</f>
        <v>114294422.427019</v>
      </c>
      <c r="R47" s="2" t="n">
        <f aca="false">Q47+R46</f>
        <v>124071485.537178</v>
      </c>
      <c r="S47" s="2" t="n">
        <f aca="false">R47+S46</f>
        <v>131969153.634809</v>
      </c>
      <c r="T47" s="2" t="n">
        <f aca="false">S47+T46</f>
        <v>140568472.146058</v>
      </c>
      <c r="U47" s="2" t="n">
        <f aca="false">T47+U46</f>
        <v>161812256.255841</v>
      </c>
      <c r="V47" s="2" t="n">
        <f aca="false">U47+V46</f>
        <v>165232069.349041</v>
      </c>
      <c r="W47" s="2" t="n">
        <f aca="false">V47+W46</f>
        <v>167360122.349041</v>
      </c>
      <c r="X47" s="2" t="n">
        <f aca="false">W47+X46</f>
        <v>162739848.349041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346.254996487322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89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90</v>
      </c>
      <c r="B50" s="2"/>
      <c r="C50" s="8" t="n">
        <v>0.0035</v>
      </c>
      <c r="D50" s="29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3841072.79</v>
      </c>
      <c r="P54" s="2" t="n">
        <f aca="false">+P46-P39</f>
        <v>8186544.33333333</v>
      </c>
      <c r="Q54" s="2" t="n">
        <f aca="false">+Q46-Q39</f>
        <v>9090077.73333333</v>
      </c>
      <c r="R54" s="2" t="n">
        <f aca="false">+R46-R39</f>
        <v>9108629.91</v>
      </c>
      <c r="S54" s="2" t="n">
        <f aca="false">+S46-S39</f>
        <v>7186686.33333333</v>
      </c>
      <c r="T54" s="2" t="n">
        <f aca="false">+T46-T39</f>
        <v>7842008.05211111</v>
      </c>
      <c r="U54" s="2" t="n">
        <f aca="false">+U46-U39</f>
        <v>20372023.0939</v>
      </c>
      <c r="V54" s="2" t="n">
        <f aca="false">+V46-V39</f>
        <v>3419813.0932</v>
      </c>
      <c r="W54" s="2" t="n">
        <f aca="false">+W46-W39</f>
        <v>2128053</v>
      </c>
      <c r="X54" s="2" t="n">
        <f aca="false">+X46-X39</f>
        <v>-4620274</v>
      </c>
      <c r="Y54" s="22" t="n">
        <f aca="false">SUM(C54:X54)</f>
        <v>153054452.492544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6" t="s">
        <v>74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SUM(C59:X59)</f>
        <v>136180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[1]Wheatland!$BR$137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SUM(C60:X60)</f>
        <v>149715.2</v>
      </c>
      <c r="Z60" s="17" t="str">
        <f aca="false">+Z59</f>
        <v>Steve Dowd</v>
      </c>
      <c r="AA60" s="1" t="n">
        <f aca="false">Y60+Y32</f>
        <v>834146.89</v>
      </c>
      <c r="AB60" s="1" t="n">
        <f aca="false">[1]Wheatland!$BR$160</f>
        <v>834146.92</v>
      </c>
      <c r="AC60" s="1" t="n">
        <f aca="false">AB60-AA60</f>
        <v>0.0300000000279397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U61" s="1" t="n">
        <v>0</v>
      </c>
      <c r="Y61" s="16" t="n">
        <f aca="false">SUM(C61:X61)</f>
        <v>0</v>
      </c>
      <c r="Z61" s="17"/>
      <c r="AA61" s="1" t="n">
        <f aca="false">Y61+Y24</f>
        <v>1907103.26</v>
      </c>
      <c r="AB61" s="1" t="n">
        <f aca="false">[1]Wheatland!$BR$130</f>
        <v>1907102.57</v>
      </c>
      <c r="AC61" s="1" t="n">
        <f aca="false">AB61-AA61</f>
        <v>-0.689999999944121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SUM(C62:X62)</f>
        <v>14801.38</v>
      </c>
      <c r="Z62" s="17" t="str">
        <f aca="false">+Z60</f>
        <v>Steve Dowd</v>
      </c>
      <c r="AA62" s="1" t="n">
        <f aca="false">Y62+Y31</f>
        <v>200000.451111111</v>
      </c>
      <c r="AB62" s="1" t="n">
        <f aca="false">[1]Wheatland!$BR$151</f>
        <v>200000</v>
      </c>
      <c r="AC62" s="1" t="n">
        <f aca="false">AB62-AA62</f>
        <v>-0.45111111109145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SUM(C63:X63)</f>
        <v>0</v>
      </c>
      <c r="Z63" s="17" t="str">
        <f aca="false">+Z62</f>
        <v>Steve Dowd</v>
      </c>
      <c r="AA63" s="1" t="n">
        <f aca="false">Y63+Y33</f>
        <v>701672.39</v>
      </c>
      <c r="AB63" s="1" t="n">
        <f aca="false">[1]Wheatland!$BR$167</f>
        <v>701672.13</v>
      </c>
      <c r="AC63" s="1" t="n">
        <f aca="false">AB63-AA63</f>
        <v>-0.260000000009313</v>
      </c>
    </row>
    <row r="64" customFormat="false" ht="12.75" hidden="false" customHeight="false" outlineLevel="0" collapsed="false">
      <c r="A64" s="2" t="s">
        <v>122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0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300696.58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92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[1]Wheatland!$AN$217</f>
        <v>0</v>
      </c>
      <c r="N66" s="2" t="n">
        <f aca="false">[1]Wheatland!$AP$217</f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93</v>
      </c>
      <c r="B67" s="30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0</v>
      </c>
      <c r="N67" s="18" t="n">
        <f aca="false">SUM(N64:N66)</f>
        <v>0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195452.58</v>
      </c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  <c r="II67" s="30"/>
      <c r="IJ67" s="30"/>
      <c r="IK67" s="30"/>
      <c r="IL67" s="30"/>
      <c r="IM67" s="30"/>
      <c r="IN67" s="30"/>
      <c r="IO67" s="30"/>
      <c r="IP67" s="30"/>
      <c r="IQ67" s="30"/>
      <c r="IR67" s="30"/>
      <c r="IS67" s="30"/>
      <c r="IT67" s="30"/>
      <c r="IU67" s="30"/>
      <c r="IV67" s="30"/>
      <c r="IW67" s="30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123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124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 t="n">
        <f aca="false">SUM(V70:V74)</f>
        <v>0</v>
      </c>
      <c r="W75" s="18" t="n">
        <f aca="false">SUM(W70:W74)</f>
        <v>0</v>
      </c>
      <c r="X75" s="18" t="n">
        <f aca="false">SUM(X70:X74)</f>
        <v>0</v>
      </c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111</v>
      </c>
      <c r="C78" s="33" t="n">
        <f aca="false">+C46+C67+C75</f>
        <v>17087218</v>
      </c>
      <c r="D78" s="33" t="n">
        <f aca="false">+D46+D67+D75</f>
        <v>43642669</v>
      </c>
      <c r="E78" s="33" t="n">
        <f aca="false">+E46+E67+E75</f>
        <v>4711472</v>
      </c>
      <c r="F78" s="33" t="n">
        <f aca="false">+F46+F67+F75</f>
        <v>419273.6</v>
      </c>
      <c r="G78" s="33" t="n">
        <f aca="false">+G46+G67+G75</f>
        <v>4762088.97</v>
      </c>
      <c r="H78" s="33" t="n">
        <f aca="false">+H46+H67+H75</f>
        <v>9103942.23</v>
      </c>
      <c r="I78" s="33" t="n">
        <f aca="false">+I46+I67+I75</f>
        <v>546828.138620833</v>
      </c>
      <c r="J78" s="33" t="n">
        <f aca="false">+J46+J67+J75</f>
        <v>1092836.67213836</v>
      </c>
      <c r="K78" s="33" t="n">
        <f aca="false">+K46+K67+K75</f>
        <v>1496281.67641661</v>
      </c>
      <c r="L78" s="33" t="n">
        <f aca="false">+L46+L67+L75</f>
        <v>1780115.93</v>
      </c>
      <c r="M78" s="33" t="n">
        <f aca="false">+M46+M67+M75</f>
        <v>1566383.40884026</v>
      </c>
      <c r="N78" s="33" t="n">
        <f aca="false">+N46+N67+N75</f>
        <v>5481999.34096592</v>
      </c>
      <c r="O78" s="33" t="n">
        <f aca="false">+O46+O67+O75</f>
        <v>4357412.79</v>
      </c>
      <c r="P78" s="33" t="n">
        <f aca="false">+P46+P67+P75</f>
        <v>8750380.65844338</v>
      </c>
      <c r="Q78" s="33" t="n">
        <f aca="false">+Q46+Q67+Q75</f>
        <v>9706072.59159328</v>
      </c>
      <c r="R78" s="33" t="n">
        <f aca="false">+R46+R67+R75</f>
        <v>9777063.11015885</v>
      </c>
      <c r="S78" s="33" t="n">
        <f aca="false">+S46+S67+S75</f>
        <v>7897668.09763193</v>
      </c>
      <c r="T78" s="33" t="n">
        <f aca="false">+T46+T67+T75</f>
        <v>8599318.5112486</v>
      </c>
      <c r="U78" s="33" t="n">
        <f aca="false">+U46+U67+U75</f>
        <v>21243784.1097831</v>
      </c>
      <c r="V78" s="33" t="n">
        <f aca="false">+V46+V67+V75</f>
        <v>3419813.0932</v>
      </c>
      <c r="W78" s="33" t="n">
        <f aca="false">+W46+W67+W75</f>
        <v>2128053</v>
      </c>
      <c r="X78" s="33" t="n">
        <f aca="false">+X46+X67+X75</f>
        <v>-4620274</v>
      </c>
      <c r="Y78" s="33" t="n">
        <f aca="false">+Y46+Y67+Y75</f>
        <v>162950400.929041</v>
      </c>
    </row>
    <row r="79" customFormat="false" ht="12.75" hidden="false" customHeight="false" outlineLevel="0" collapsed="false">
      <c r="U79" s="0"/>
      <c r="V79" s="0"/>
      <c r="W79" s="0"/>
      <c r="X79" s="0"/>
      <c r="Y79" s="38" t="n">
        <f aca="false">Y78-[1]Wheatland!$BR$200</f>
        <v>3.35254448652267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2000-05-02T16:13:49Z</cp:lastPrinted>
  <cp:revision>0</cp:revision>
  <dc:subject/>
  <dc:title/>
</cp:coreProperties>
</file>