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Summary" sheetId="2" state="visible" r:id="rId4"/>
    <sheet name="Calvert City" sheetId="3" state="hidden" r:id="rId5"/>
    <sheet name="Wilton" sheetId="4" state="visible" r:id="rId6"/>
    <sheet name="Gleason" sheetId="5" state="visible" r:id="rId7"/>
    <sheet name="Wheatland" sheetId="6" state="visible" r:id="rId8"/>
  </sheets>
  <externalReferences>
    <externalReference r:id="rId9"/>
  </externalReferences>
  <definedNames>
    <definedName function="false" hidden="false" localSheetId="2" name="_xlnm.Print_Area" vbProcedure="false">'Calvert City'!$A$1:$Y$69</definedName>
    <definedName function="false" hidden="false" localSheetId="4" name="_xlnm.Print_Area" vbProcedure="false">Gleason!$A$1:$AA$73</definedName>
    <definedName function="false" hidden="false" localSheetId="5" name="_xlnm.Print_Area" vbProcedure="false">Wheatland!$A$1:$Z$79</definedName>
    <definedName function="false" hidden="false" localSheetId="3" name="_xlnm.Print_Area" vbProcedure="false">Wilton!$A$1:$Z$78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54</xdr:colOff>
                <xdr:row>4</xdr:row>
                <xdr:rowOff>1</xdr:rowOff>
              </xdr:from>
              <xdr:to>
                <xdr:col>30</xdr:col>
                <xdr:colOff>19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49</xdr:row>
                <xdr:rowOff>7</xdr:rowOff>
              </xdr:from>
              <xdr:to>
                <xdr:col>5</xdr:col>
                <xdr:colOff>44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14</xdr:rowOff>
              </xdr:from>
              <xdr:to>
                <xdr:col>12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<sst xmlns="http://schemas.openxmlformats.org/spreadsheetml/2006/main" count="598" uniqueCount="130">
  <si>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</si>
  <si>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</si>
  <si>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</si>
  <si>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</si>
  <si>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</si>
  <si>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</si>
  <si>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</si>
  <si>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</si>
  <si>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</si>
  <si>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</si>
  <si>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</si>
  <si>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</si>
  <si>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</si>
  <si>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</si>
  <si>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</si>
  <si>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</si>
  <si>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</si>
  <si>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</si>
  <si>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</si>
  <si>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</si>
  <si>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</si>
  <si>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</si>
  <si>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</si>
  <si>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</si>
  <si>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</si>
  <si>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</si>
  <si>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</si>
  <si>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</si>
  <si>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</si>
  <si>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</si>
  <si>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</si>
  <si>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</si>
  <si>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</si>
  <si>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</si>
  <si>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</si>
  <si>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</si>
  <si>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</si>
  <si>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</si>
  <si>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</si>
  <si>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</si>
  <si>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</si>
  <si>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</si>
  <si>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</si>
  <si>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</si>
  <si>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</si>
  <si>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</si>
  <si>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</si>
  <si>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</si>
  <si>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</si>
  <si>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</si>
  <si>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</si>
  <si>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</si>
  <si>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</si>
  <si>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</si>
  <si>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</si>
  <si>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</si>
  <si>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</si>
  <si>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</si>
  <si>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</si>
  <si>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</si>
  <si>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</si>
  <si>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</si>
  <si>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</si>
  <si>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</si>
  <si>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</si>
  <si>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</si>
  <si>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</si>
  <si>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</si>
  <si>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</si>
  <si>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</si>
  <si>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</si>
  <si>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</si>
  <si>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</si>
  <si>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Capital Expenditures</t>
  </si>
  <si>
    <t xml:space="preserve">Capital</t>
  </si>
  <si>
    <t xml:space="preserve">WILTON CENTER, IL</t>
  </si>
  <si>
    <t xml:space="preserve">Gleason</t>
  </si>
  <si>
    <t xml:space="preserve">WHEATLAND, IN</t>
  </si>
  <si>
    <t xml:space="preserve">     TOTAL 2000 PLANTS</t>
  </si>
  <si>
    <t xml:space="preserve">    Cumulative Total</t>
  </si>
  <si>
    <t xml:space="preserve">Expense</t>
  </si>
  <si>
    <t xml:space="preserve">Transfer </t>
  </si>
  <si>
    <t xml:space="preserve">Transfer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</si>
  <si>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</si>
  <si>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</si>
  <si>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</si>
  <si>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</si>
  <si>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</si>
  <si>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</si>
  <si>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</si>
  <si>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</si>
  <si>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</si>
  <si>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</si>
  <si>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</si>
  <si>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</si>
  <si>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</si>
  <si>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</si>
  <si>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</si>
  <si>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</si>
  <si>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February 25, 1999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</si>
  <si>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</si>
  <si>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</si>
  <si>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</si>
  <si>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</si>
  <si>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</si>
  <si>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- Reimburse Tax</t>
  </si>
  <si>
    <t xml:space="preserve">NEPCO - MISC</t>
  </si>
  <si>
    <t xml:space="preserve">NEPCO % Complete</t>
  </si>
  <si>
    <t xml:space="preserve">OEC (Mobilization of O&amp;M)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</si>
  <si>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</si>
  <si>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</si>
  <si>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</si>
  <si>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</si>
  <si>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</si>
  <si>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</si>
  <si>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</si>
  <si>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</si>
  <si>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</si>
  <si>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1/2 of Redesign costs to change projects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</si>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</sst>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0229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142064940</v>
          </cell>
        </row>
        <row r="31">
          <cell r="BR31">
            <v>5916048</v>
          </cell>
        </row>
        <row r="55">
          <cell r="BR55">
            <v>14346909</v>
          </cell>
        </row>
        <row r="81">
          <cell r="BR81">
            <v>7349178</v>
          </cell>
        </row>
        <row r="115">
          <cell r="BR115">
            <v>34323186</v>
          </cell>
        </row>
        <row r="120">
          <cell r="BR120">
            <v>5336759</v>
          </cell>
        </row>
        <row r="127">
          <cell r="BR127">
            <v>940200</v>
          </cell>
        </row>
        <row r="128">
          <cell r="BR128">
            <v>2824800</v>
          </cell>
        </row>
        <row r="129">
          <cell r="BR129">
            <v>3066700</v>
          </cell>
        </row>
        <row r="143">
          <cell r="BR143">
            <v>9479519</v>
          </cell>
        </row>
        <row r="152">
          <cell r="BR152">
            <v>908786</v>
          </cell>
        </row>
        <row r="156">
          <cell r="BR156">
            <v>218555.81</v>
          </cell>
        </row>
        <row r="158">
          <cell r="BR158">
            <v>500000</v>
          </cell>
        </row>
        <row r="160">
          <cell r="BR160">
            <v>1253881</v>
          </cell>
        </row>
        <row r="167">
          <cell r="BR167">
            <v>2472650.28</v>
          </cell>
        </row>
        <row r="174">
          <cell r="BR174">
            <v>400000</v>
          </cell>
        </row>
        <row r="176">
          <cell r="BR176">
            <v>1200000</v>
          </cell>
        </row>
        <row r="178">
          <cell r="BR178">
            <v>6500000</v>
          </cell>
        </row>
        <row r="184">
          <cell r="BR184">
            <v>1500000</v>
          </cell>
        </row>
        <row r="186">
          <cell r="BR186">
            <v>266248.5</v>
          </cell>
        </row>
        <row r="188">
          <cell r="BR188">
            <v>200000</v>
          </cell>
        </row>
        <row r="197">
          <cell r="BR197">
            <v>938158.83</v>
          </cell>
        </row>
        <row r="204">
          <cell r="BR204">
            <v>558423.13</v>
          </cell>
        </row>
        <row r="220">
          <cell r="AN220">
            <v>52217</v>
          </cell>
        </row>
        <row r="236">
          <cell r="BR236">
            <v>254991374.379775</v>
          </cell>
        </row>
      </sheetData>
      <sheetData sheetId="6">
        <row r="216">
          <cell r="BT216">
            <v>912871.063333333</v>
          </cell>
        </row>
      </sheetData>
      <sheetData sheetId="7">
        <row r="16">
          <cell r="BT16">
            <v>95561044</v>
          </cell>
        </row>
        <row r="35">
          <cell r="BT35">
            <v>6024611</v>
          </cell>
        </row>
        <row r="61">
          <cell r="BT61">
            <v>17147711</v>
          </cell>
        </row>
        <row r="89">
          <cell r="BT89">
            <v>4260931</v>
          </cell>
        </row>
        <row r="122">
          <cell r="BT122">
            <v>15443748</v>
          </cell>
        </row>
        <row r="127">
          <cell r="BT127">
            <v>12136785</v>
          </cell>
        </row>
        <row r="129">
          <cell r="BT129">
            <v>-3387761</v>
          </cell>
        </row>
        <row r="136">
          <cell r="BT136">
            <v>929800</v>
          </cell>
        </row>
        <row r="137">
          <cell r="BT137">
            <v>2840700</v>
          </cell>
        </row>
        <row r="138">
          <cell r="BT138">
            <v>3066700</v>
          </cell>
        </row>
        <row r="170">
          <cell r="BT170">
            <v>908786</v>
          </cell>
        </row>
        <row r="176">
          <cell r="BT176">
            <v>675000</v>
          </cell>
        </row>
        <row r="178">
          <cell r="BT178">
            <v>1247007</v>
          </cell>
        </row>
        <row r="185">
          <cell r="BT185">
            <v>408551</v>
          </cell>
        </row>
        <row r="195">
          <cell r="BT195">
            <v>583130.26</v>
          </cell>
        </row>
        <row r="218">
          <cell r="BT218">
            <v>3890117</v>
          </cell>
        </row>
        <row r="220">
          <cell r="BT220">
            <v>1100000</v>
          </cell>
        </row>
        <row r="223">
          <cell r="AT223">
            <v>0</v>
          </cell>
        </row>
        <row r="226">
          <cell r="BT226">
            <v>500000</v>
          </cell>
        </row>
        <row r="228">
          <cell r="BT228">
            <v>200935.25</v>
          </cell>
        </row>
        <row r="230">
          <cell r="BT230">
            <v>200000</v>
          </cell>
        </row>
        <row r="239">
          <cell r="BT239">
            <v>687854.57</v>
          </cell>
        </row>
        <row r="245">
          <cell r="BT245">
            <v>752208.46</v>
          </cell>
        </row>
        <row r="261">
          <cell r="BT261">
            <v>175957550.610628</v>
          </cell>
        </row>
      </sheetData>
      <sheetData sheetId="8">
        <row r="12">
          <cell r="BR12">
            <v>86219301</v>
          </cell>
        </row>
        <row r="32">
          <cell r="BR32">
            <v>4440534</v>
          </cell>
        </row>
        <row r="56">
          <cell r="BR56">
            <v>13748351</v>
          </cell>
        </row>
        <row r="82">
          <cell r="BR82">
            <v>4749674</v>
          </cell>
        </row>
        <row r="116">
          <cell r="BR116">
            <v>15954724</v>
          </cell>
        </row>
        <row r="119">
          <cell r="BR119">
            <v>10145929</v>
          </cell>
        </row>
        <row r="123">
          <cell r="BR123">
            <v>-3953393</v>
          </cell>
        </row>
        <row r="131">
          <cell r="BR131">
            <v>929800</v>
          </cell>
        </row>
        <row r="132">
          <cell r="BR132">
            <v>2386700</v>
          </cell>
        </row>
        <row r="133">
          <cell r="BR133">
            <v>3066700</v>
          </cell>
        </row>
        <row r="155">
          <cell r="BR155">
            <v>1500000</v>
          </cell>
        </row>
        <row r="157">
          <cell r="BR157">
            <v>50000</v>
          </cell>
        </row>
        <row r="159">
          <cell r="BR159">
            <v>1172731</v>
          </cell>
        </row>
        <row r="166">
          <cell r="BR166">
            <v>1892589.96</v>
          </cell>
        </row>
        <row r="171">
          <cell r="BR171">
            <v>450000</v>
          </cell>
        </row>
        <row r="175">
          <cell r="BR175">
            <v>5000000</v>
          </cell>
        </row>
        <row r="177">
          <cell r="BR177">
            <v>1500000</v>
          </cell>
        </row>
        <row r="183">
          <cell r="BR183">
            <v>1000000</v>
          </cell>
        </row>
        <row r="185">
          <cell r="BR185">
            <v>200000</v>
          </cell>
        </row>
        <row r="196">
          <cell r="BR196">
            <v>754273.98</v>
          </cell>
        </row>
        <row r="201">
          <cell r="AR201">
            <v>68346.51</v>
          </cell>
        </row>
        <row r="203">
          <cell r="BR203">
            <v>701672.13</v>
          </cell>
        </row>
        <row r="236">
          <cell r="BR236">
            <v>162631836.363674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XML/filtered-attachments/xls/Draw_Sched___022900.xls'#$6.5%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45926.9531909535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.99"/>
    <col collapsed="false" customWidth="true" hidden="false" outlineLevel="0" max="3" min="3" style="0" width="11.28"/>
    <col collapsed="false" customWidth="true" hidden="false" outlineLevel="0" max="21" min="4" style="0" width="12.28"/>
    <col collapsed="false" customWidth="true" hidden="false" outlineLevel="0" max="22" min="22" style="0" width="14.7"/>
    <col collapsed="false" customWidth="true" hidden="false" outlineLevel="0" max="25" min="23" style="0" width="12.28"/>
    <col collapsed="false" customWidth="true" hidden="false" outlineLevel="0" max="26" min="26" style="0" width="13.85"/>
    <col collapsed="false" customWidth="true" hidden="false" outlineLevel="0" max="27" min="27" style="0" width="12.28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73</v>
      </c>
    </row>
    <row r="4" customFormat="false" ht="15.75" hidden="false" customHeight="false" outlineLevel="0" collapsed="false">
      <c r="A4" s="3" t="s">
        <v>3</v>
      </c>
    </row>
    <row r="7" customFormat="false" ht="12.75" hidden="false" customHeight="false" outlineLevel="0" collapsed="false">
      <c r="A7" s="9"/>
      <c r="B7" s="10"/>
      <c r="C7" s="11" t="n">
        <v>1998</v>
      </c>
      <c r="D7" s="12" t="s">
        <v>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s">
        <v>5</v>
      </c>
      <c r="Q7" s="12"/>
      <c r="R7" s="12"/>
      <c r="S7" s="12"/>
      <c r="T7" s="12"/>
      <c r="U7" s="12"/>
      <c r="V7" s="12"/>
      <c r="W7" s="10"/>
      <c r="X7" s="10"/>
      <c r="Y7" s="10"/>
      <c r="Z7" s="10"/>
      <c r="AA7" s="10"/>
    </row>
    <row r="8" customFormat="false" ht="12.75" hidden="false" customHeight="false" outlineLevel="0" collapsed="false">
      <c r="A8" s="10"/>
      <c r="B8" s="10"/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7</v>
      </c>
      <c r="Q8" s="10" t="s">
        <v>8</v>
      </c>
      <c r="R8" s="10" t="s">
        <v>9</v>
      </c>
      <c r="S8" s="10" t="s">
        <v>10</v>
      </c>
      <c r="T8" s="10" t="s">
        <v>11</v>
      </c>
      <c r="U8" s="10" t="s">
        <v>12</v>
      </c>
      <c r="V8" s="10" t="s">
        <v>6</v>
      </c>
      <c r="W8" s="10"/>
      <c r="X8" s="10"/>
      <c r="Y8" s="10"/>
      <c r="Z8" s="10"/>
      <c r="AA8" s="10"/>
    </row>
    <row r="9" customFormat="false" ht="20.25" hidden="false" customHeight="false" outlineLevel="0" collapsed="false">
      <c r="A9" s="24" t="s">
        <v>74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2.75" hidden="false" customHeight="false" outlineLevel="0" collapsed="false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customFormat="false" ht="12.75" hidden="false" customHeight="false" outlineLevel="0" collapsed="false">
      <c r="A11" s="9" t="s">
        <v>75</v>
      </c>
      <c r="C11" s="1" t="n">
        <f aca="false">Wilton!C47</f>
        <v>7140000</v>
      </c>
      <c r="D11" s="1" t="n">
        <f aca="false">Wilton!D47</f>
        <v>1296410</v>
      </c>
      <c r="E11" s="1" t="n">
        <f aca="false">Wilton!E47</f>
        <v>33024184</v>
      </c>
      <c r="F11" s="1" t="n">
        <f aca="false">Wilton!F47</f>
        <v>225882.6</v>
      </c>
      <c r="G11" s="1" t="n">
        <f aca="false">Wilton!G47</f>
        <v>1752232.9</v>
      </c>
      <c r="H11" s="1" t="n">
        <f aca="false">Wilton!H47</f>
        <v>18800373.5</v>
      </c>
      <c r="I11" s="1" t="n">
        <f aca="false">Wilton!I47</f>
        <v>8037788.40252083</v>
      </c>
      <c r="J11" s="1" t="n">
        <f aca="false">Wilton!J47</f>
        <v>8808343.96206088</v>
      </c>
      <c r="K11" s="1" t="n">
        <f aca="false">Wilton!K47</f>
        <v>6987028.92872204</v>
      </c>
      <c r="L11" s="1" t="n">
        <f aca="false">Wilton!L47</f>
        <v>7789242.4890361</v>
      </c>
      <c r="M11" s="1" t="n">
        <f aca="false">Wilton!M47</f>
        <v>11600775.8308585</v>
      </c>
      <c r="N11" s="1" t="n">
        <f aca="false">Wilton!N47</f>
        <v>17679921.6272104</v>
      </c>
      <c r="O11" s="1" t="n">
        <f aca="false">Wilton!O47</f>
        <v>39310183.4086286</v>
      </c>
      <c r="P11" s="1" t="n">
        <f aca="false">Wilton!P47</f>
        <v>2943898.94923784</v>
      </c>
      <c r="Q11" s="1" t="n">
        <f aca="false">Wilton!Q47</f>
        <v>29307936.0793962</v>
      </c>
      <c r="R11" s="1" t="n">
        <f aca="false">Wilton!R47</f>
        <v>20176876.7627235</v>
      </c>
      <c r="S11" s="1" t="n">
        <f aca="false">Wilton!S47</f>
        <v>15278714.6471077</v>
      </c>
      <c r="T11" s="1" t="n">
        <f aca="false">Wilton!T47</f>
        <v>9310897.46248786</v>
      </c>
      <c r="U11" s="1" t="n">
        <f aca="false">Wilton!U47</f>
        <v>14860816.3797847</v>
      </c>
      <c r="V11" s="1" t="n">
        <f aca="false">Wilton!Y47</f>
        <v>254331507.929775</v>
      </c>
      <c r="W11" s="1"/>
      <c r="X11" s="1"/>
      <c r="Y11" s="1"/>
      <c r="Z11" s="1"/>
      <c r="AA11" s="1"/>
      <c r="AB11" s="1"/>
      <c r="AC11" s="1"/>
      <c r="AD11" s="1"/>
      <c r="AE11" s="1"/>
    </row>
    <row r="12" customFormat="false" ht="12.75" hidden="false" customHeight="false" outlineLevel="0" collapsed="false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customFormat="false" ht="12.75" hidden="false" customHeight="false" outlineLevel="0" collapsed="false">
      <c r="A13" s="9" t="s">
        <v>76</v>
      </c>
      <c r="C13" s="1" t="n">
        <f aca="false">Gleason!C47</f>
        <v>0</v>
      </c>
      <c r="D13" s="1" t="n">
        <f aca="false">Gleason!D47</f>
        <v>0</v>
      </c>
      <c r="E13" s="1" t="n">
        <f aca="false">Gleason!E47</f>
        <v>0</v>
      </c>
      <c r="F13" s="1" t="n">
        <f aca="false">Gleason!F47</f>
        <v>0</v>
      </c>
      <c r="G13" s="1" t="n">
        <f aca="false">Gleason!G47</f>
        <v>0</v>
      </c>
      <c r="H13" s="1" t="n">
        <f aca="false">Gleason!H47</f>
        <v>0</v>
      </c>
      <c r="I13" s="1" t="n">
        <f aca="false">Gleason!I47</f>
        <v>0</v>
      </c>
      <c r="J13" s="1" t="n">
        <f aca="false">Gleason!J47</f>
        <v>0</v>
      </c>
      <c r="K13" s="1" t="n">
        <f aca="false">Gleason!L47</f>
        <v>93174572.05</v>
      </c>
      <c r="L13" s="1" t="n">
        <f aca="false">Gleason!M47</f>
        <v>706459.93</v>
      </c>
      <c r="M13" s="1" t="n">
        <f aca="false">Gleason!N47</f>
        <v>2178270.25600972</v>
      </c>
      <c r="N13" s="1" t="n">
        <f aca="false">Gleason!O47</f>
        <v>7520808.75656311</v>
      </c>
      <c r="O13" s="1" t="n">
        <f aca="false">Gleason!P47</f>
        <v>2620724.57860699</v>
      </c>
      <c r="P13" s="1" t="n">
        <f aca="false">Gleason!Q47</f>
        <v>8277786.43027445</v>
      </c>
      <c r="Q13" s="1" t="n">
        <f aca="false">Gleason!R47</f>
        <v>7595606.34139677</v>
      </c>
      <c r="R13" s="1" t="n">
        <f aca="false">Gleason!S47</f>
        <v>12133994.3685965</v>
      </c>
      <c r="S13" s="1" t="n">
        <f aca="false">Gleason!T47</f>
        <v>10433206.5115368</v>
      </c>
      <c r="T13" s="1" t="n">
        <f aca="false">Gleason!U47</f>
        <v>8272837.75526547</v>
      </c>
      <c r="U13" s="1" t="n">
        <f aca="false">Gleason!V47</f>
        <v>25424116.6446002</v>
      </c>
      <c r="V13" s="1" t="n">
        <f aca="false">Gleason!Z47</f>
        <v>175838092.62285</v>
      </c>
      <c r="W13" s="1"/>
      <c r="X13" s="1"/>
      <c r="Y13" s="1"/>
      <c r="Z13" s="1"/>
      <c r="AA13" s="1"/>
      <c r="AB13" s="1"/>
      <c r="AC13" s="1"/>
      <c r="AD13" s="1"/>
      <c r="AE13" s="1"/>
    </row>
    <row r="14" customFormat="false" ht="12.75" hidden="false" customHeight="false" outlineLevel="0" collapsed="false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customFormat="false" ht="12.75" hidden="false" customHeight="false" outlineLevel="0" collapsed="false">
      <c r="A15" s="2" t="s">
        <v>77</v>
      </c>
      <c r="C15" s="1" t="n">
        <f aca="false">Wheatland!C46</f>
        <v>17087218</v>
      </c>
      <c r="D15" s="1" t="n">
        <f aca="false">Wheatland!D46</f>
        <v>43641491</v>
      </c>
      <c r="E15" s="1" t="n">
        <f aca="false">Wheatland!E46</f>
        <v>4681548</v>
      </c>
      <c r="F15" s="1" t="n">
        <f aca="false">Wheatland!F46</f>
        <v>362603.6</v>
      </c>
      <c r="G15" s="1" t="n">
        <f aca="false">Wheatland!G46</f>
        <v>4745094.59</v>
      </c>
      <c r="H15" s="1" t="n">
        <f aca="false">Wheatland!H46</f>
        <v>9091692.23</v>
      </c>
      <c r="I15" s="1" t="n">
        <f aca="false">Wheatland!I46</f>
        <v>497761.128620833</v>
      </c>
      <c r="J15" s="1" t="n">
        <f aca="false">Wheatland!J46</f>
        <v>1048367.48213836</v>
      </c>
      <c r="K15" s="1" t="n">
        <f aca="false">Wheatland!K46</f>
        <v>1496281.67641661</v>
      </c>
      <c r="L15" s="1" t="n">
        <f aca="false">Wheatland!L46</f>
        <v>1780115.93</v>
      </c>
      <c r="M15" s="1" t="n">
        <f aca="false">Wheatland!M46</f>
        <v>1566383.40884026</v>
      </c>
      <c r="N15" s="1" t="n">
        <f aca="false">Wheatland!N46</f>
        <v>5481999.34096592</v>
      </c>
      <c r="O15" s="1" t="n">
        <f aca="false">Wheatland!O46</f>
        <v>4425759.3</v>
      </c>
      <c r="P15" s="1" t="n">
        <f aca="false">Wheatland!P46</f>
        <v>8750380.65844338</v>
      </c>
      <c r="Q15" s="1" t="n">
        <f aca="false">Wheatland!Q46</f>
        <v>9672253.77534328</v>
      </c>
      <c r="R15" s="1" t="n">
        <f aca="false">Wheatland!R46</f>
        <v>11164324.0494346</v>
      </c>
      <c r="S15" s="1" t="n">
        <f aca="false">Wheatland!S46</f>
        <v>8589464.95841073</v>
      </c>
      <c r="T15" s="1" t="n">
        <f aca="false">Wheatland!T46</f>
        <v>8102661.73458379</v>
      </c>
      <c r="U15" s="1" t="n">
        <f aca="false">Wheatland!U46</f>
        <v>18992199.6272099</v>
      </c>
      <c r="V15" s="1" t="n">
        <f aca="false">Wheatland!Y46</f>
        <v>162354471.217608</v>
      </c>
      <c r="W15" s="1"/>
      <c r="X15" s="1"/>
      <c r="Y15" s="1"/>
      <c r="Z15" s="1"/>
      <c r="AA15" s="1"/>
      <c r="AB15" s="1"/>
      <c r="AC15" s="1"/>
      <c r="AD15" s="1"/>
      <c r="AE15" s="1"/>
    </row>
    <row r="16" customFormat="false" ht="12.75" hidden="false" customHeight="false" outlineLevel="0" collapsed="false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"/>
      <c r="X16" s="1"/>
      <c r="Y16" s="1"/>
      <c r="Z16" s="1"/>
      <c r="AA16" s="1"/>
      <c r="AB16" s="1"/>
      <c r="AC16" s="1"/>
      <c r="AD16" s="1"/>
      <c r="AE16" s="1"/>
    </row>
    <row r="17" customFormat="false" ht="12.75" hidden="false" customHeight="false" outlineLevel="0" collapsed="false">
      <c r="A17" s="26" t="s">
        <v>78</v>
      </c>
      <c r="C17" s="1" t="n">
        <f aca="false">SUM(C10:C15)</f>
        <v>24227218</v>
      </c>
      <c r="D17" s="1" t="n">
        <f aca="false">SUM(D10:D15)</f>
        <v>44937901</v>
      </c>
      <c r="E17" s="1" t="n">
        <f aca="false">SUM(E10:E15)</f>
        <v>37705732</v>
      </c>
      <c r="F17" s="1" t="n">
        <f aca="false">SUM(F10:F15)</f>
        <v>588486.2</v>
      </c>
      <c r="G17" s="1" t="n">
        <f aca="false">SUM(G10:G15)</f>
        <v>6497327.49</v>
      </c>
      <c r="H17" s="1" t="n">
        <f aca="false">SUM(H10:H15)</f>
        <v>27892065.73</v>
      </c>
      <c r="I17" s="1" t="n">
        <f aca="false">SUM(I10:I15)</f>
        <v>8535549.53114167</v>
      </c>
      <c r="J17" s="1" t="n">
        <f aca="false">SUM(J10:J15)</f>
        <v>9856711.44419924</v>
      </c>
      <c r="K17" s="1" t="n">
        <f aca="false">SUM(K10:K15)</f>
        <v>101657882.655139</v>
      </c>
      <c r="L17" s="1" t="n">
        <f aca="false">SUM(L10:L15)</f>
        <v>10275818.3490361</v>
      </c>
      <c r="M17" s="1" t="n">
        <f aca="false">SUM(M10:M15)</f>
        <v>15345429.4957085</v>
      </c>
      <c r="N17" s="1" t="n">
        <f aca="false">SUM(N10:N15)</f>
        <v>30682729.7247394</v>
      </c>
      <c r="O17" s="1" t="n">
        <f aca="false">SUM(O10:O15)</f>
        <v>46356667.2872356</v>
      </c>
      <c r="P17" s="1" t="n">
        <f aca="false">SUM(P10:P15)</f>
        <v>19972066.0379557</v>
      </c>
      <c r="Q17" s="1" t="n">
        <f aca="false">SUM(Q10:Q15)</f>
        <v>46575796.1961363</v>
      </c>
      <c r="R17" s="1" t="n">
        <f aca="false">SUM(R10:R15)</f>
        <v>43475195.1807546</v>
      </c>
      <c r="S17" s="1" t="n">
        <f aca="false">SUM(S10:S15)</f>
        <v>34301386.1170552</v>
      </c>
      <c r="T17" s="1" t="n">
        <f aca="false">SUM(T10:T15)</f>
        <v>25686396.9523371</v>
      </c>
      <c r="U17" s="1" t="n">
        <f aca="false">SUM(U10:U15)</f>
        <v>59277132.6515948</v>
      </c>
      <c r="V17" s="1" t="n">
        <f aca="false">SUM(V10:V15)</f>
        <v>592524071.770233</v>
      </c>
      <c r="W17" s="1"/>
      <c r="X17" s="1"/>
      <c r="Y17" s="1"/>
      <c r="Z17" s="1"/>
      <c r="AA17" s="1"/>
      <c r="AB17" s="1"/>
      <c r="AC17" s="1"/>
      <c r="AD17" s="1"/>
      <c r="AE17" s="1"/>
    </row>
    <row r="18" customFormat="false" ht="12.75" hidden="false" customHeight="false" outlineLevel="0" collapsed="false">
      <c r="A18" s="2" t="s">
        <v>79</v>
      </c>
      <c r="B18" s="2"/>
      <c r="C18" s="2" t="n">
        <f aca="false">C17</f>
        <v>24227218</v>
      </c>
      <c r="D18" s="2" t="n">
        <f aca="false">C18+D17</f>
        <v>69165119</v>
      </c>
      <c r="E18" s="2" t="n">
        <f aca="false">D18+E17</f>
        <v>106870851</v>
      </c>
      <c r="F18" s="2" t="n">
        <f aca="false">E18+F17</f>
        <v>107459337.2</v>
      </c>
      <c r="G18" s="2" t="n">
        <f aca="false">F18+G17</f>
        <v>113956664.69</v>
      </c>
      <c r="H18" s="2" t="n">
        <f aca="false">G18+H17</f>
        <v>141848730.42</v>
      </c>
      <c r="I18" s="2" t="n">
        <f aca="false">H18+I17</f>
        <v>150384279.951142</v>
      </c>
      <c r="J18" s="2" t="n">
        <f aca="false">I18+J17</f>
        <v>160240991.395341</v>
      </c>
      <c r="K18" s="2" t="n">
        <f aca="false">J18+K17</f>
        <v>261898874.05048</v>
      </c>
      <c r="L18" s="2" t="n">
        <f aca="false">K18+L17</f>
        <v>272174692.399516</v>
      </c>
      <c r="M18" s="2" t="n">
        <f aca="false">L18+M17</f>
        <v>287520121.895224</v>
      </c>
      <c r="N18" s="2" t="n">
        <f aca="false">M18+N17</f>
        <v>318202851.619964</v>
      </c>
      <c r="O18" s="2" t="n">
        <f aca="false">N18+O17</f>
        <v>364559518.907199</v>
      </c>
      <c r="P18" s="2" t="n">
        <f aca="false">O18+P17</f>
        <v>384531584.945155</v>
      </c>
      <c r="Q18" s="2" t="n">
        <f aca="false">P18+Q17</f>
        <v>431107381.141291</v>
      </c>
      <c r="R18" s="2" t="n">
        <f aca="false">Q18+R17</f>
        <v>474582576.322046</v>
      </c>
      <c r="S18" s="2" t="n">
        <f aca="false">R18+S17</f>
        <v>508883962.439101</v>
      </c>
      <c r="T18" s="2" t="n">
        <f aca="false">S18+T17</f>
        <v>534570359.391438</v>
      </c>
      <c r="U18" s="2" t="n">
        <f aca="false">T18+U17</f>
        <v>593847492.043033</v>
      </c>
      <c r="V18" s="2"/>
      <c r="W18" s="2"/>
      <c r="X18" s="2"/>
      <c r="Y18" s="2"/>
      <c r="Z18" s="2"/>
      <c r="AA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customFormat="false" ht="12.75" hidden="false" customHeight="false" outlineLevel="0" collapsed="false">
      <c r="A20" s="27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1"/>
      <c r="AC20" s="1"/>
      <c r="AD20" s="1"/>
      <c r="AE20" s="1"/>
    </row>
    <row r="21" customFormat="false" ht="12.75" hidden="false" customHeight="false" outlineLevel="0" collapsed="false">
      <c r="A21" s="27"/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customFormat="false" ht="12.75" hidden="false" customHeight="false" outlineLevel="0" collapsed="false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customFormat="false" ht="12.7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customFormat="false" ht="12.75" hidden="false" customHeight="false" outlineLevel="0" collapsed="false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customFormat="false" ht="12.75" hidden="false" customHeight="false" outlineLevel="0" collapsed="false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customFormat="false" ht="12.75" hidden="false" customHeight="false" outlineLevel="0" collapsed="false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customFormat="false" ht="12.75" hidden="false" customHeight="false" outlineLevel="0" collapsed="false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customFormat="false" ht="12.75" hidden="false" customHeight="false" outlineLevel="0" collapsed="false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customFormat="false" ht="12.75" hidden="false" customHeight="fals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customFormat="false" ht="12.7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</sheetData>
  <mergeCells count="2">
    <mergeCell ref="D7:O7"/>
    <mergeCell ref="P7:V7"/>
  </mergeCells>
  <printOptions headings="false" gridLines="false" gridLinesSet="true" horizontalCentered="false" verticalCentered="false"/>
  <pageMargins left="0.179861111111111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February 25,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XML/filtered-attachments/xls/Draw_Sched___022900.xls'#$Calvert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45926.9531910171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76</v>
      </c>
      <c r="N5" s="12" t="s">
        <v>80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81</v>
      </c>
      <c r="N6" s="10" t="s">
        <v>82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83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84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85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86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87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88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31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31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31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32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89</v>
      </c>
      <c r="F24" s="32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90</v>
      </c>
      <c r="F25" s="32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32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32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32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32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31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32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31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31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91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92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93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4" t="s">
        <v>80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96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97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-241341.193333333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O14" activePane="bottomRight" state="frozen"/>
      <selection pane="topLeft" activeCell="A1" activeCellId="0" sqref="A1"/>
      <selection pane="topRight" activeCell="O1" activeCellId="0" sqref="O1"/>
      <selection pane="bottomLeft" activeCell="A14" activeCellId="0" sqref="A14"/>
      <selection pane="bottomRight" activeCell="O18" activeCellId="0" sqref="O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3.28"/>
    <col collapsed="false" customWidth="true" hidden="false" outlineLevel="0" max="6" min="6" style="1" width="12.28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5" min="15" style="1" width="13.99"/>
    <col collapsed="false" customWidth="true" hidden="false" outlineLevel="0" max="16" min="16" style="1" width="14.41"/>
    <col collapsed="false" customWidth="true" hidden="false" outlineLevel="0" max="17" min="17" style="1" width="12.85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1" min="20" style="1" width="13.85"/>
    <col collapsed="false" customWidth="true" hidden="true" outlineLevel="0" max="24" min="22" style="1" width="13.85"/>
    <col collapsed="false" customWidth="true" hidden="false" outlineLevel="0" max="25" min="25" style="2" width="14.41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XML/filtered-attachments/xls/Draw_Sched___022900.xls'#$Wilton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45926.9531910447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5" t="n">
        <v>0.35</v>
      </c>
      <c r="F9" s="35" t="n">
        <v>0.4</v>
      </c>
      <c r="G9" s="35" t="n">
        <v>0.45</v>
      </c>
      <c r="H9" s="35" t="n">
        <v>0.5</v>
      </c>
      <c r="I9" s="35" t="n">
        <v>0.55</v>
      </c>
      <c r="J9" s="35" t="n">
        <v>0.6</v>
      </c>
      <c r="K9" s="35" t="n">
        <v>0.65</v>
      </c>
      <c r="L9" s="35" t="n">
        <v>0.7</v>
      </c>
      <c r="M9" s="35" t="n">
        <v>0.7625</v>
      </c>
      <c r="N9" s="36" t="n">
        <v>0.8562</v>
      </c>
      <c r="O9" s="35" t="n">
        <v>0.95</v>
      </c>
      <c r="P9" s="10"/>
      <c r="Q9" s="10"/>
      <c r="R9" s="10"/>
      <c r="S9" s="10"/>
      <c r="T9" s="10"/>
      <c r="U9" s="35" t="n">
        <v>1</v>
      </c>
      <c r="V9" s="35"/>
      <c r="W9" s="35"/>
      <c r="X9" s="35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Q10" s="1" t="n">
        <v>13325691</v>
      </c>
      <c r="R10" s="1" t="n">
        <v>0</v>
      </c>
      <c r="U10" s="1" t="n">
        <v>7103247</v>
      </c>
      <c r="Y10" s="16" t="n">
        <f aca="false">SUM(C10:X10)</f>
        <v>142064939.75</v>
      </c>
      <c r="Z10" s="17" t="s">
        <v>23</v>
      </c>
      <c r="AA10" s="1" t="n">
        <f aca="false">[1]Wilton!$BR$12</f>
        <v>142064940</v>
      </c>
      <c r="AB10" s="1" t="n">
        <f aca="false">Y10-AA10</f>
        <v>-0.25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R11" s="1" t="n">
        <v>591605</v>
      </c>
      <c r="Y11" s="16" t="n">
        <f aca="false">SUM(C11:X11)</f>
        <v>5916047.8</v>
      </c>
      <c r="Z11" s="17" t="str">
        <f aca="false">Z10</f>
        <v>Mike Miller</v>
      </c>
      <c r="AA11" s="1" t="n">
        <f aca="false">[1]Wilton!$BR$31</f>
        <v>5916048</v>
      </c>
      <c r="AB11" s="1" t="n">
        <f aca="false">Y11-AA11</f>
        <v>-0.200000000186265</v>
      </c>
    </row>
    <row r="12" customFormat="false" ht="12.75" hidden="false" customHeight="false" outlineLevel="0" collapsed="false">
      <c r="A12" s="1" t="s">
        <v>100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Q12" s="1" t="n">
        <v>1183814.88</v>
      </c>
      <c r="R12" s="1" t="n">
        <v>2943550.62</v>
      </c>
      <c r="U12" s="1" t="n">
        <f aca="false">466454+150440</f>
        <v>616894</v>
      </c>
      <c r="Y12" s="16" t="n">
        <f aca="false">SUM(C12:X12)</f>
        <v>9479519.3</v>
      </c>
      <c r="Z12" s="17" t="str">
        <f aca="false">Z11</f>
        <v>Mike Miller</v>
      </c>
      <c r="AA12" s="1" t="n">
        <f aca="false">[1]Wilton!$BR$143</f>
        <v>9479519</v>
      </c>
      <c r="AB12" s="1" t="n">
        <f aca="false">Y12-AA12</f>
        <v>0.300000000745058</v>
      </c>
    </row>
    <row r="13" customFormat="false" ht="12.75" hidden="false" customHeight="false" outlineLevel="0" collapsed="false">
      <c r="A13" s="1" t="s">
        <v>83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[1]Wilton!$BR$127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84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v>235398</v>
      </c>
      <c r="P14" s="1" t="n">
        <v>235399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2824800/12+1+2+1</f>
        <v>235404</v>
      </c>
      <c r="Y14" s="16" t="n">
        <f aca="false">SUM(C14:X14)</f>
        <v>2824800</v>
      </c>
      <c r="Z14" s="17" t="str">
        <f aca="false">Z13</f>
        <v>Mike Miller</v>
      </c>
      <c r="AA14" s="1" t="n">
        <f aca="false">[1]Wilton!$BR$128</f>
        <v>2824800</v>
      </c>
      <c r="AB14" s="1" t="n">
        <f aca="false">Y14-AA14</f>
        <v>0</v>
      </c>
    </row>
    <row r="15" customFormat="false" ht="12.75" hidden="false" customHeight="false" outlineLevel="0" collapsed="false">
      <c r="A15" s="1" t="s">
        <v>85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[1]Wilton!$BR$129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101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v>636689</v>
      </c>
      <c r="P16" s="1" t="n">
        <v>1727562</v>
      </c>
      <c r="R16" s="1" t="n">
        <v>2351106</v>
      </c>
      <c r="S16" s="1" t="n">
        <v>2233236</v>
      </c>
      <c r="T16" s="1" t="n">
        <v>1746094</v>
      </c>
      <c r="U16" s="1" t="n">
        <f aca="false">1164348+622654+868432</f>
        <v>2655434</v>
      </c>
      <c r="Y16" s="16" t="n">
        <f aca="false">SUM(C16:X16)</f>
        <v>12212209</v>
      </c>
      <c r="Z16" s="17" t="str">
        <f aca="false">Z15</f>
        <v>Mike Miller</v>
      </c>
      <c r="AA16" s="1" t="n">
        <f aca="false">[1]Wilton!$BR$55</f>
        <v>14346909</v>
      </c>
      <c r="AB16" s="1" t="n">
        <f aca="false">Y16-AA16</f>
        <v>-2134700</v>
      </c>
    </row>
    <row r="17" customFormat="false" ht="12.75" hidden="false" customHeight="false" outlineLevel="0" collapsed="false">
      <c r="A17" s="1" t="s">
        <v>102</v>
      </c>
      <c r="F17" s="15"/>
      <c r="N17" s="1" t="n">
        <v>3301</v>
      </c>
      <c r="O17" s="1" t="n">
        <v>346618</v>
      </c>
      <c r="P17" s="1" t="n">
        <v>1451621</v>
      </c>
      <c r="R17" s="1" t="n">
        <v>1862702</v>
      </c>
      <c r="S17" s="1" t="n">
        <v>1954057</v>
      </c>
      <c r="T17" s="1" t="n">
        <v>231962</v>
      </c>
      <c r="U17" s="1" t="n">
        <f aca="false">108857+357741-271</f>
        <v>466327</v>
      </c>
      <c r="Y17" s="16" t="n">
        <f aca="false">SUM(C17:X17)</f>
        <v>6316588</v>
      </c>
      <c r="Z17" s="17" t="str">
        <f aca="false">Z16</f>
        <v>Mike Miller</v>
      </c>
      <c r="AA17" s="1" t="n">
        <f aca="false">[1]Wilton!$BR$81</f>
        <v>7349178</v>
      </c>
      <c r="AB17" s="1" t="n">
        <f aca="false">Y17-AA17</f>
        <v>-1032590</v>
      </c>
    </row>
    <row r="18" customFormat="false" ht="12.75" hidden="false" customHeight="false" outlineLevel="0" collapsed="false">
      <c r="A18" s="1" t="s">
        <v>103</v>
      </c>
      <c r="F18" s="15"/>
      <c r="N18" s="1" t="n">
        <v>0</v>
      </c>
      <c r="O18" s="1" t="n">
        <v>2569929</v>
      </c>
      <c r="P18" s="1" t="n">
        <v>4657660</v>
      </c>
      <c r="R18" s="1" t="n">
        <f aca="false">12922196-R16-R17-R19</f>
        <v>7381251</v>
      </c>
      <c r="S18" s="1" t="n">
        <f aca="false">11527832-S16-S17-S19</f>
        <v>6849670</v>
      </c>
      <c r="T18" s="1" t="n">
        <v>3000000</v>
      </c>
      <c r="U18" s="1" t="n">
        <f aca="false">4849213-U16-U17-U19+4363162-3390463</f>
        <v>1936866</v>
      </c>
      <c r="W18" s="1" t="n">
        <v>0</v>
      </c>
      <c r="Y18" s="16" t="n">
        <f aca="false">SUM(C18:X18)</f>
        <v>26395376</v>
      </c>
      <c r="Z18" s="17" t="str">
        <f aca="false">Z17</f>
        <v>Mike Miller</v>
      </c>
      <c r="AA18" s="1" t="n">
        <f aca="false">[1]Wilton!$BR$115</f>
        <v>34323186</v>
      </c>
      <c r="AB18" s="1" t="n">
        <f aca="false">Y18-AA18</f>
        <v>-7927810</v>
      </c>
    </row>
    <row r="19" customFormat="false" ht="12.75" hidden="false" customHeight="false" outlineLevel="0" collapsed="false">
      <c r="A19" s="1" t="s">
        <v>104</v>
      </c>
      <c r="F19" s="15"/>
      <c r="M19" s="1" t="n">
        <v>0</v>
      </c>
      <c r="N19" s="1" t="n">
        <v>0</v>
      </c>
      <c r="O19" s="1" t="n">
        <v>28388</v>
      </c>
      <c r="P19" s="1" t="n">
        <v>763285</v>
      </c>
      <c r="R19" s="1" t="n">
        <v>1327137</v>
      </c>
      <c r="S19" s="1" t="n">
        <v>490869</v>
      </c>
      <c r="T19" s="1" t="n">
        <f aca="false">199984-63285</f>
        <v>136699</v>
      </c>
      <c r="U19" s="1" t="n">
        <v>763285</v>
      </c>
      <c r="Y19" s="16" t="n">
        <f aca="false">SUM(C19:X19)</f>
        <v>3509663</v>
      </c>
      <c r="Z19" s="17" t="str">
        <f aca="false">Z18</f>
        <v>Mike Miller</v>
      </c>
      <c r="AA19" s="1" t="n">
        <f aca="false">[1]Wilton!$BR$120</f>
        <v>5336759</v>
      </c>
      <c r="AB19" s="1" t="n">
        <f aca="false">Y19-AA19</f>
        <v>-1827096</v>
      </c>
    </row>
    <row r="20" customFormat="false" ht="12.75" hidden="false" customHeight="false" outlineLevel="0" collapsed="false">
      <c r="A20" s="1" t="s">
        <v>105</v>
      </c>
      <c r="F20" s="15"/>
      <c r="N20" s="1" t="n">
        <v>0</v>
      </c>
      <c r="U20" s="1" t="n">
        <v>500000</v>
      </c>
      <c r="Y20" s="16" t="n">
        <f aca="false">SUM(C20:X20)</f>
        <v>500000</v>
      </c>
      <c r="Z20" s="17" t="str">
        <f aca="false">Z19</f>
        <v>Mike Miller</v>
      </c>
      <c r="AA20" s="1" t="n">
        <f aca="false">[1]Wilton!$BR$158</f>
        <v>500000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106</v>
      </c>
      <c r="F21" s="15"/>
      <c r="O21" s="1" t="n">
        <f aca="false">41000+531</f>
        <v>41531</v>
      </c>
      <c r="S21" s="1" t="n">
        <f aca="false">-744251-41531</f>
        <v>-785782</v>
      </c>
      <c r="U21" s="1" t="n">
        <v>744251</v>
      </c>
      <c r="W21" s="1" t="n">
        <v>0</v>
      </c>
      <c r="Y21" s="16" t="n">
        <f aca="false">SUM(C21:X21)</f>
        <v>0</v>
      </c>
      <c r="Z21" s="17"/>
      <c r="AA21" s="1" t="n">
        <v>0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107</v>
      </c>
      <c r="F22" s="15"/>
      <c r="N22" s="1" t="n">
        <v>8573073</v>
      </c>
      <c r="O22" s="1" t="n">
        <v>7093919</v>
      </c>
      <c r="P22" s="1" t="n">
        <v>-7855877</v>
      </c>
      <c r="Q22" s="1" t="n">
        <v>12922196</v>
      </c>
      <c r="U22" s="1" t="n">
        <v>-7811115</v>
      </c>
      <c r="Y22" s="16" t="n">
        <f aca="false">SUM(C22:X22)</f>
        <v>12922196</v>
      </c>
      <c r="Z22" s="17" t="str">
        <f aca="false">Z20</f>
        <v>Mike Miller</v>
      </c>
      <c r="AB22" s="1" t="n">
        <f aca="false">Y22-AA22</f>
        <v>12922196</v>
      </c>
    </row>
    <row r="23" customFormat="false" ht="12.75" hidden="false" customHeight="false" outlineLevel="0" collapsed="false">
      <c r="A23" s="1" t="s">
        <v>108</v>
      </c>
      <c r="C23" s="2" t="n">
        <v>0</v>
      </c>
      <c r="F23" s="15"/>
      <c r="P23" s="1" t="n">
        <v>0</v>
      </c>
      <c r="Q23" s="1" t="n">
        <v>37000</v>
      </c>
      <c r="R23" s="1" t="n">
        <v>125000</v>
      </c>
      <c r="S23" s="1" t="n">
        <f aca="false">125000+100000</f>
        <v>225000</v>
      </c>
      <c r="T23" s="1" t="n">
        <f aca="false">125000+113000</f>
        <v>238000</v>
      </c>
      <c r="U23" s="1" t="n">
        <f aca="false">908786-625000</f>
        <v>283786</v>
      </c>
      <c r="Y23" s="16" t="n">
        <f aca="false">SUM(C23:X23)</f>
        <v>908786</v>
      </c>
      <c r="Z23" s="17" t="s">
        <v>28</v>
      </c>
      <c r="AA23" s="1" t="n">
        <f aca="false">[1]Wilton!$BR$152</f>
        <v>908786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29</v>
      </c>
      <c r="C24" s="2" t="n">
        <v>0</v>
      </c>
      <c r="F24" s="15"/>
      <c r="S24" s="1" t="n">
        <v>500000</v>
      </c>
      <c r="T24" s="1" t="n">
        <v>500000</v>
      </c>
      <c r="U24" s="1" t="n">
        <f aca="false">1253881-1000000</f>
        <v>253881</v>
      </c>
      <c r="Y24" s="16" t="n">
        <f aca="false">SUM(C24:X24)</f>
        <v>1253881</v>
      </c>
      <c r="Z24" s="17" t="str">
        <f aca="false">Z16</f>
        <v>Mike Miller</v>
      </c>
      <c r="AA24" s="1" t="n">
        <f aca="false">[1]Wilton!$BR$160</f>
        <v>1253881</v>
      </c>
      <c r="AB24" s="1" t="n">
        <f aca="false">Y24-AA24</f>
        <v>0</v>
      </c>
    </row>
    <row r="25" customFormat="false" ht="12.75" hidden="false" customHeight="false" outlineLevel="0" collapsed="false">
      <c r="A25" s="1" t="s">
        <v>30</v>
      </c>
      <c r="C25" s="2" t="n">
        <v>0</v>
      </c>
      <c r="F25" s="15" t="n">
        <v>20000</v>
      </c>
      <c r="G25" s="1" t="n">
        <f aca="false">1381361+65000</f>
        <v>1446361</v>
      </c>
      <c r="H25" s="1" t="n">
        <v>8500</v>
      </c>
      <c r="J25" s="1" t="n">
        <v>821965</v>
      </c>
      <c r="K25" s="1" t="n">
        <v>0</v>
      </c>
      <c r="M25" s="1" t="n">
        <v>1000</v>
      </c>
      <c r="N25" s="1" t="n">
        <v>7992</v>
      </c>
      <c r="P25" s="1" t="n">
        <v>180000</v>
      </c>
      <c r="Q25" s="1" t="n">
        <v>-13168</v>
      </c>
      <c r="Y25" s="16" t="n">
        <f aca="false">SUM(C25:X25)</f>
        <v>2472650</v>
      </c>
      <c r="Z25" s="17" t="s">
        <v>31</v>
      </c>
      <c r="AA25" s="1" t="n">
        <f aca="false">[1]Wilton!$BR$167</f>
        <v>2472650.28</v>
      </c>
      <c r="AB25" s="1" t="n">
        <f aca="false">Y25-AA25</f>
        <v>-0.28000000026077</v>
      </c>
    </row>
    <row r="26" customFormat="false" ht="12.75" hidden="false" customHeight="false" outlineLevel="0" collapsed="false">
      <c r="A26" s="1" t="s">
        <v>32</v>
      </c>
      <c r="C26" s="2" t="n">
        <v>0</v>
      </c>
      <c r="E26" s="1" t="n">
        <v>0</v>
      </c>
      <c r="F26" s="15" t="n">
        <v>0</v>
      </c>
      <c r="H26" s="1" t="n">
        <v>71081</v>
      </c>
      <c r="I26" s="1" t="n">
        <v>13262</v>
      </c>
      <c r="J26" s="1" t="n">
        <v>24704.06</v>
      </c>
      <c r="K26" s="1" t="n">
        <v>9361.22</v>
      </c>
      <c r="L26" s="1" t="n">
        <v>11746.18</v>
      </c>
      <c r="M26" s="1" t="n">
        <v>19878</v>
      </c>
      <c r="N26" s="1" t="n">
        <v>29832</v>
      </c>
      <c r="O26" s="1" t="n">
        <v>39860</v>
      </c>
      <c r="P26" s="1" t="n">
        <v>5434</v>
      </c>
      <c r="Q26" s="1" t="n">
        <v>2588</v>
      </c>
      <c r="R26" s="1" t="n">
        <v>73458</v>
      </c>
      <c r="U26" s="1" t="n">
        <v>0</v>
      </c>
      <c r="Y26" s="16" t="n">
        <f aca="false">SUM(C26:X26)</f>
        <v>301204.46</v>
      </c>
      <c r="Z26" s="17" t="str">
        <f aca="false">Z25</f>
        <v>Scott Healy</v>
      </c>
    </row>
    <row r="27" customFormat="false" ht="12.75" hidden="false" customHeight="false" outlineLevel="0" collapsed="false">
      <c r="A27" s="1" t="s">
        <v>89</v>
      </c>
      <c r="F27" s="15"/>
      <c r="O27" s="1" t="n">
        <v>216382</v>
      </c>
      <c r="P27" s="1" t="n">
        <v>2174</v>
      </c>
      <c r="Y27" s="16" t="n">
        <f aca="false">SUM(C27:X27)</f>
        <v>218556</v>
      </c>
      <c r="Z27" s="17"/>
      <c r="AA27" s="1" t="n">
        <f aca="false">[1]Wilton!$BR$156</f>
        <v>218555.81</v>
      </c>
      <c r="AB27" s="1" t="n">
        <f aca="false">Y27-AA27</f>
        <v>0.189999999973224</v>
      </c>
    </row>
    <row r="28" customFormat="false" ht="12.75" hidden="false" customHeight="false" outlineLevel="0" collapsed="false">
      <c r="A28" s="1" t="s">
        <v>109</v>
      </c>
      <c r="C28" s="2" t="n">
        <v>0</v>
      </c>
      <c r="F28" s="15"/>
      <c r="M28" s="1" t="n">
        <v>50050</v>
      </c>
      <c r="N28" s="1" t="n">
        <v>160616</v>
      </c>
      <c r="O28" s="1" t="n">
        <v>8228</v>
      </c>
      <c r="P28" s="1" t="n">
        <v>115500</v>
      </c>
      <c r="Q28" s="1" t="n">
        <v>445269</v>
      </c>
      <c r="R28" s="1" t="n">
        <v>200000</v>
      </c>
      <c r="S28" s="1" t="n">
        <v>220337</v>
      </c>
      <c r="Y28" s="16" t="n">
        <f aca="false">SUM(C28:X28)</f>
        <v>1200000</v>
      </c>
      <c r="Z28" s="17" t="s">
        <v>34</v>
      </c>
      <c r="AA28" s="1" t="n">
        <f aca="false">[1]Wilton!$BR$176</f>
        <v>1200000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33</v>
      </c>
      <c r="C29" s="2" t="n">
        <v>0</v>
      </c>
      <c r="F29" s="15"/>
      <c r="O29" s="1" t="n">
        <v>0</v>
      </c>
      <c r="P29" s="1" t="n">
        <v>0</v>
      </c>
      <c r="Q29" s="1" t="n">
        <v>0</v>
      </c>
      <c r="R29" s="1" t="n">
        <f aca="false">1250000+500000</f>
        <v>1750000</v>
      </c>
      <c r="S29" s="1" t="n">
        <v>1500000</v>
      </c>
      <c r="T29" s="1" t="n">
        <f aca="false">500000+750000</f>
        <v>1250000</v>
      </c>
      <c r="U29" s="1" t="n">
        <f aca="false">250000+1750000</f>
        <v>2000000</v>
      </c>
      <c r="Y29" s="16" t="n">
        <f aca="false">SUM(C29:X29)</f>
        <v>6500000</v>
      </c>
      <c r="Z29" s="17" t="s">
        <v>34</v>
      </c>
      <c r="AA29" s="1" t="n">
        <f aca="false">[1]Wilton!$BR$178</f>
        <v>6500000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36</v>
      </c>
      <c r="C30" s="2" t="n">
        <v>0</v>
      </c>
      <c r="F30" s="15"/>
      <c r="S30" s="1" t="n">
        <v>500000</v>
      </c>
      <c r="T30" s="1" t="n">
        <v>500000</v>
      </c>
      <c r="U30" s="1" t="n">
        <v>500000</v>
      </c>
      <c r="Y30" s="16" t="n">
        <f aca="false">SUM(C30:X30)</f>
        <v>1500000</v>
      </c>
      <c r="Z30" s="17" t="str">
        <f aca="false">Z23</f>
        <v>Kevin Presto</v>
      </c>
      <c r="AA30" s="1" t="n">
        <f aca="false">[1]Wilton!$BR$184</f>
        <v>1500000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38</v>
      </c>
      <c r="C31" s="2" t="n">
        <v>0</v>
      </c>
      <c r="F31" s="15"/>
      <c r="M31" s="1" t="n">
        <v>0</v>
      </c>
      <c r="N31" s="1" t="n">
        <v>0</v>
      </c>
      <c r="O31" s="1" t="n">
        <v>266248.5</v>
      </c>
      <c r="Y31" s="16" t="n">
        <f aca="false">SUM(C31:X31)</f>
        <v>266248.5</v>
      </c>
      <c r="Z31" s="17" t="s">
        <v>31</v>
      </c>
      <c r="AA31" s="1" t="n">
        <f aca="false">[1]Wilton!$BR$186</f>
        <v>266248.5</v>
      </c>
      <c r="AB31" s="1" t="n">
        <f aca="false">Y31-AA31</f>
        <v>0</v>
      </c>
    </row>
    <row r="32" customFormat="false" ht="12.75" hidden="false" customHeight="false" outlineLevel="0" collapsed="false">
      <c r="A32" s="1" t="s">
        <v>39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7949</v>
      </c>
      <c r="H32" s="1" t="n">
        <v>29402</v>
      </c>
      <c r="I32" s="1" t="n">
        <v>13770.85</v>
      </c>
      <c r="J32" s="1" t="n">
        <v>7746</v>
      </c>
      <c r="K32" s="1" t="n">
        <v>6276</v>
      </c>
      <c r="L32" s="1" t="n">
        <v>6591.41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0</v>
      </c>
      <c r="R32" s="1" t="n">
        <f aca="false">200000/15</f>
        <v>13333.3333333333</v>
      </c>
      <c r="S32" s="1" t="n">
        <f aca="false">6712-438+13334</f>
        <v>19608</v>
      </c>
      <c r="T32" s="1" t="n">
        <v>5588</v>
      </c>
      <c r="U32" s="1" t="n">
        <f aca="false">6742+33723+13333</f>
        <v>53798</v>
      </c>
      <c r="Y32" s="16" t="n">
        <f aca="false">SUM(C32:X32)</f>
        <v>164062.593333333</v>
      </c>
      <c r="Z32" s="17" t="s">
        <v>31</v>
      </c>
    </row>
    <row r="33" customFormat="false" ht="12.75" hidden="false" customHeight="false" outlineLevel="0" collapsed="false">
      <c r="A33" s="1" t="s">
        <v>40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11792</v>
      </c>
      <c r="I33" s="1" t="n">
        <f aca="false">11675+5185</f>
        <v>16860</v>
      </c>
      <c r="J33" s="1" t="n">
        <f aca="false">3599+10838+1916.6</f>
        <v>16353.6</v>
      </c>
      <c r="K33" s="1" t="n">
        <v>33741</v>
      </c>
      <c r="L33" s="1" t="n">
        <f aca="false">20657.14+6342.74</f>
        <v>26999.88</v>
      </c>
      <c r="M33" s="1" t="n">
        <v>47825</v>
      </c>
      <c r="N33" s="1" t="n">
        <v>131162</v>
      </c>
      <c r="O33" s="1" t="n">
        <v>154225</v>
      </c>
      <c r="P33" s="1" t="n">
        <v>51069</v>
      </c>
      <c r="Q33" s="1" t="n">
        <v>42246</v>
      </c>
      <c r="R33" s="1" t="n">
        <v>31732</v>
      </c>
      <c r="U33" s="1" t="n">
        <f aca="false">36960-8586</f>
        <v>28374</v>
      </c>
      <c r="Y33" s="16" t="n">
        <f aca="false">SUM(C33:X33)</f>
        <v>592379.48</v>
      </c>
      <c r="Z33" s="17" t="s">
        <v>31</v>
      </c>
    </row>
    <row r="34" customFormat="false" ht="12.75" hidden="false" customHeight="false" outlineLevel="0" collapsed="false">
      <c r="A34" s="1" t="s">
        <v>41</v>
      </c>
      <c r="C34" s="2" t="n">
        <v>0</v>
      </c>
      <c r="D34" s="1" t="n">
        <v>0</v>
      </c>
      <c r="E34" s="1" t="n">
        <v>0</v>
      </c>
      <c r="F34" s="15" t="n">
        <v>0</v>
      </c>
      <c r="G34" s="1" t="n">
        <v>0</v>
      </c>
      <c r="H34" s="1" t="n">
        <v>604.5</v>
      </c>
      <c r="I34" s="1" t="n">
        <v>0</v>
      </c>
      <c r="J34" s="1" t="n">
        <v>21423</v>
      </c>
      <c r="K34" s="1" t="n">
        <v>0</v>
      </c>
      <c r="L34" s="1" t="n">
        <v>75</v>
      </c>
      <c r="M34" s="1" t="n">
        <v>6749</v>
      </c>
      <c r="N34" s="1" t="n">
        <v>4455</v>
      </c>
      <c r="O34" s="1" t="n">
        <f aca="false">252209+5848.5</f>
        <v>258057.5</v>
      </c>
      <c r="P34" s="1" t="n">
        <v>49464</v>
      </c>
      <c r="Q34" s="1" t="n">
        <v>0</v>
      </c>
      <c r="R34" s="1" t="n">
        <f aca="false">5000+50000</f>
        <v>55000</v>
      </c>
      <c r="S34" s="1" t="n">
        <f aca="false">153+18251</f>
        <v>18404</v>
      </c>
      <c r="T34" s="1" t="n">
        <f aca="false">54925-5848.5+50000</f>
        <v>99076.5</v>
      </c>
      <c r="U34" s="1" t="n">
        <f aca="false">15544</f>
        <v>15544</v>
      </c>
      <c r="Y34" s="16" t="n">
        <f aca="false">SUM(C34:X34)</f>
        <v>528852.5</v>
      </c>
      <c r="Z34" s="17" t="s">
        <v>31</v>
      </c>
      <c r="AA34" s="1" t="n">
        <v>0</v>
      </c>
    </row>
    <row r="35" customFormat="false" ht="12.75" hidden="false" customHeight="false" outlineLevel="0" collapsed="false">
      <c r="A35" s="1" t="s">
        <v>42</v>
      </c>
      <c r="C35" s="18" t="n">
        <f aca="false">SUM(C10:C34)</f>
        <v>6800000</v>
      </c>
      <c r="D35" s="18" t="n">
        <f aca="false">SUM(D10:D34)</f>
        <v>1250000</v>
      </c>
      <c r="E35" s="18" t="n">
        <f aca="false">SUM(E10:E34)</f>
        <v>32884800</v>
      </c>
      <c r="F35" s="18" t="n">
        <f aca="false">SUM(F10:F34)</f>
        <v>20000</v>
      </c>
      <c r="G35" s="18" t="n">
        <f aca="false">SUM(G10:G34)</f>
        <v>1454310</v>
      </c>
      <c r="H35" s="18" t="n">
        <f aca="false">SUM(H10:H34)</f>
        <v>18431906.5</v>
      </c>
      <c r="I35" s="18" t="n">
        <f aca="false">SUM(I10:I34)</f>
        <v>7659172.85</v>
      </c>
      <c r="J35" s="18" t="n">
        <f aca="false">SUM(J10:J34)</f>
        <v>8382273.59333333</v>
      </c>
      <c r="K35" s="18" t="n">
        <f aca="false">SUM(K10:K34)</f>
        <v>6523038.55333333</v>
      </c>
      <c r="L35" s="18" t="n">
        <f aca="false">SUM(L10:L34)</f>
        <v>7283592.80333333</v>
      </c>
      <c r="M35" s="18" t="n">
        <f aca="false">SUM(M10:M34)</f>
        <v>11032599.53</v>
      </c>
      <c r="N35" s="18" t="n">
        <f aca="false">SUM(N10:N34)</f>
        <v>17015699.3333333</v>
      </c>
      <c r="O35" s="18" t="n">
        <f aca="false">SUM(O10:O34)</f>
        <v>38436364.0833333</v>
      </c>
      <c r="P35" s="18" t="n">
        <f aca="false">SUM(P10:P34)</f>
        <v>2052829.13333333</v>
      </c>
      <c r="Q35" s="18" t="n">
        <f aca="false">SUM(Q10:Q34)</f>
        <v>28258970.2133333</v>
      </c>
      <c r="R35" s="18" t="n">
        <f aca="false">SUM(R10:R34)</f>
        <v>19019208.2866667</v>
      </c>
      <c r="S35" s="18" t="n">
        <f aca="false">SUM(S10:S34)</f>
        <v>14038732.3333333</v>
      </c>
      <c r="T35" s="18" t="n">
        <f aca="false">SUM(T10:T34)</f>
        <v>8020752.83333333</v>
      </c>
      <c r="U35" s="18" t="n">
        <f aca="false">SUM(U10:U34)</f>
        <v>13490609.3333333</v>
      </c>
      <c r="V35" s="18" t="n">
        <f aca="false">SUM(V10:V34)</f>
        <v>0</v>
      </c>
      <c r="W35" s="18" t="n">
        <f aca="false">SUM(W10:W34)</f>
        <v>0</v>
      </c>
      <c r="X35" s="18" t="n">
        <f aca="false">SUM(X10:X34)</f>
        <v>0</v>
      </c>
      <c r="Y35" s="19" t="n">
        <f aca="false">SUM(C35:X35)</f>
        <v>242054859.38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6800000</v>
      </c>
      <c r="D36" s="18" t="n">
        <f aca="false">+C36+D35</f>
        <v>8050000</v>
      </c>
      <c r="E36" s="18" t="n">
        <f aca="false">+D36+E35</f>
        <v>40934800</v>
      </c>
      <c r="F36" s="18" t="n">
        <f aca="false">+E36+F35</f>
        <v>40954800</v>
      </c>
      <c r="G36" s="18" t="n">
        <f aca="false">+F36+G35</f>
        <v>42409110</v>
      </c>
      <c r="H36" s="18" t="n">
        <f aca="false">+G36+H35</f>
        <v>60841016.5</v>
      </c>
      <c r="I36" s="18" t="n">
        <f aca="false">+H36+I35</f>
        <v>68500189.35</v>
      </c>
      <c r="J36" s="18" t="n">
        <f aca="false">+I36+J35</f>
        <v>76882462.9433333</v>
      </c>
      <c r="K36" s="18" t="n">
        <f aca="false">+J36+K35</f>
        <v>83405501.4966667</v>
      </c>
      <c r="L36" s="18" t="n">
        <f aca="false">+K36+L35</f>
        <v>90689094.3</v>
      </c>
      <c r="M36" s="18" t="n">
        <f aca="false">+L36+M35</f>
        <v>101721693.83</v>
      </c>
      <c r="N36" s="18" t="n">
        <f aca="false">+M36+N35</f>
        <v>118737393.163333</v>
      </c>
      <c r="O36" s="18" t="n">
        <f aca="false">+N36+O35</f>
        <v>157173757.246667</v>
      </c>
      <c r="P36" s="18" t="n">
        <f aca="false">+O36+P35</f>
        <v>159226586.38</v>
      </c>
      <c r="Q36" s="18" t="n">
        <f aca="false">+P36+Q35</f>
        <v>187485556.593333</v>
      </c>
      <c r="R36" s="18" t="n">
        <f aca="false">+Q36+R35</f>
        <v>206504764.88</v>
      </c>
      <c r="S36" s="18" t="n">
        <f aca="false">+R36+S35</f>
        <v>220543497.213333</v>
      </c>
      <c r="T36" s="18" t="n">
        <f aca="false">+S36+T35</f>
        <v>228564250.046667</v>
      </c>
      <c r="U36" s="18" t="n">
        <f aca="false">+T36+U35</f>
        <v>242054859.38</v>
      </c>
      <c r="V36" s="18" t="n">
        <f aca="false">+U36+V35</f>
        <v>242054859.38</v>
      </c>
      <c r="W36" s="18" t="n">
        <f aca="false">+V36+W35</f>
        <v>242054859.38</v>
      </c>
      <c r="X36" s="18" t="n">
        <f aca="false">+W36+X35</f>
        <v>242054859.38</v>
      </c>
      <c r="Y36" s="20"/>
    </row>
    <row r="37" customFormat="false" ht="12.75" hidden="false" customHeight="false" outlineLevel="0" collapsed="false">
      <c r="A37" s="1" t="s">
        <v>44</v>
      </c>
      <c r="F37" s="15"/>
      <c r="Y37" s="21" t="n">
        <f aca="false">+Y35/C52/1000</f>
        <v>398.116545032895</v>
      </c>
    </row>
    <row r="38" customFormat="false" ht="12.75" hidden="false" customHeight="false" outlineLevel="0" collapsed="false">
      <c r="F38" s="15"/>
      <c r="Y38" s="16"/>
    </row>
    <row r="39" customFormat="false" ht="12.75" hidden="false" customHeight="false" outlineLevel="0" collapsed="false">
      <c r="A39" s="1" t="s">
        <v>91</v>
      </c>
      <c r="F39" s="15" t="n">
        <v>-21556.4</v>
      </c>
      <c r="G39" s="15" t="n">
        <f aca="false">43113+23365.9</f>
        <v>66478.9</v>
      </c>
      <c r="H39" s="1" t="n">
        <v>-51000</v>
      </c>
      <c r="Y39" s="16" t="n">
        <f aca="false">SUM(C39:X39)</f>
        <v>-6077.50000000001</v>
      </c>
      <c r="Z39" s="17" t="s">
        <v>47</v>
      </c>
    </row>
    <row r="40" customFormat="false" ht="12.75" hidden="false" customHeight="false" outlineLevel="0" collapsed="false">
      <c r="A40" s="1" t="s">
        <v>45</v>
      </c>
      <c r="C40" s="2" t="n">
        <v>340000</v>
      </c>
      <c r="D40" s="1" t="n">
        <v>46410</v>
      </c>
      <c r="E40" s="1" t="n">
        <v>139384</v>
      </c>
      <c r="F40" s="15" t="n">
        <f aca="false">205882.6+21556.4</f>
        <v>227439</v>
      </c>
      <c r="G40" s="15" t="n">
        <v>231444</v>
      </c>
      <c r="H40" s="15" t="n">
        <v>419367</v>
      </c>
      <c r="I40" s="15" t="n">
        <v>378615.552520833</v>
      </c>
      <c r="J40" s="15" t="n">
        <v>426070.368727543</v>
      </c>
      <c r="K40" s="15" t="n">
        <v>463711.375388706</v>
      </c>
      <c r="L40" s="15" t="n">
        <v>505639.68570277</v>
      </c>
      <c r="M40" s="15" t="n">
        <v>568176.300858508</v>
      </c>
      <c r="N40" s="15" t="n">
        <v>663422.293877047</v>
      </c>
      <c r="O40" s="15" t="n">
        <v>873819.325295269</v>
      </c>
      <c r="P40" s="15" t="n">
        <v>891069.815904508</v>
      </c>
      <c r="Q40" s="15" t="n">
        <f aca="false">(Q36+P45)*$C50/12</f>
        <v>1048965.86606288</v>
      </c>
      <c r="R40" s="15" t="n">
        <f aca="false">(R36+Q45)*$C50/12</f>
        <v>1157668.47605683</v>
      </c>
      <c r="S40" s="15" t="n">
        <f aca="false">(S36+R45)*$C50/12</f>
        <v>1239982.31377436</v>
      </c>
      <c r="T40" s="15" t="n">
        <f aca="false">(T36+S45)*$C50/12</f>
        <v>1290144.62915453</v>
      </c>
      <c r="U40" s="15" t="n">
        <f aca="false">(U36+T45)*$C50/12</f>
        <v>1370207.04645134</v>
      </c>
      <c r="V40" s="15"/>
      <c r="W40" s="15"/>
      <c r="X40" s="15"/>
      <c r="Y40" s="16" t="n">
        <f aca="false">SUM(C40:X40)</f>
        <v>12281537.0497751</v>
      </c>
      <c r="Z40" s="17" t="n">
        <f aca="false">Z53</f>
        <v>0</v>
      </c>
    </row>
    <row r="41" customFormat="false" ht="12.75" hidden="false" customHeight="false" outlineLevel="0" collapsed="false">
      <c r="A41" s="1" t="s">
        <v>92</v>
      </c>
      <c r="F41" s="15" t="n">
        <v>0</v>
      </c>
      <c r="G41" s="15" t="n">
        <v>0</v>
      </c>
      <c r="H41" s="15" t="n">
        <v>0</v>
      </c>
      <c r="I41" s="15" t="n">
        <v>0</v>
      </c>
      <c r="J41" s="15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/>
      <c r="W41" s="15"/>
      <c r="X41" s="15"/>
      <c r="Y41" s="16" t="n">
        <f aca="false">SUM(C41:X41)</f>
        <v>0</v>
      </c>
      <c r="Z41" s="17" t="n">
        <f aca="false">Z40</f>
        <v>0</v>
      </c>
    </row>
    <row r="42" customFormat="false" ht="12.75" hidden="false" customHeight="false" outlineLevel="0" collapsed="false">
      <c r="A42" s="1" t="s">
        <v>110</v>
      </c>
      <c r="C42" s="2" t="n">
        <v>0</v>
      </c>
      <c r="H42" s="1" t="n">
        <v>100</v>
      </c>
      <c r="K42" s="1" t="n">
        <f aca="false">220+59</f>
        <v>279</v>
      </c>
      <c r="L42" s="1" t="n">
        <v>10</v>
      </c>
      <c r="M42" s="1" t="n">
        <v>0</v>
      </c>
      <c r="N42" s="1" t="n">
        <v>800</v>
      </c>
      <c r="Y42" s="16" t="n">
        <f aca="false">SUM(C42:X42)</f>
        <v>1189</v>
      </c>
      <c r="Z42" s="17"/>
    </row>
    <row r="43" customFormat="false" ht="12.75" hidden="false" customHeight="false" outlineLevel="0" collapsed="false">
      <c r="A43" s="1" t="s">
        <v>93</v>
      </c>
      <c r="C43" s="2" t="n">
        <v>0</v>
      </c>
      <c r="U43" s="1" t="n">
        <v>0</v>
      </c>
      <c r="Y43" s="16" t="n">
        <f aca="false">SUM(C43:X43)</f>
        <v>0</v>
      </c>
      <c r="Z43" s="17" t="str">
        <f aca="false">Z24</f>
        <v>Mike Miller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340000</v>
      </c>
      <c r="D44" s="18" t="n">
        <f aca="false">SUM(D39:D43)</f>
        <v>46410</v>
      </c>
      <c r="E44" s="18" t="n">
        <f aca="false">SUM(E39:E43)</f>
        <v>139384</v>
      </c>
      <c r="F44" s="18" t="n">
        <f aca="false">SUM(F39:F43)</f>
        <v>205882.6</v>
      </c>
      <c r="G44" s="18" t="n">
        <f aca="false">SUM(G39:G43)</f>
        <v>297922.9</v>
      </c>
      <c r="H44" s="18" t="n">
        <f aca="false">SUM(H39:H43)</f>
        <v>368467</v>
      </c>
      <c r="I44" s="18" t="n">
        <f aca="false">SUM(I39:I43)</f>
        <v>378615.552520833</v>
      </c>
      <c r="J44" s="18" t="n">
        <f aca="false">SUM(J39:J43)</f>
        <v>426070.368727543</v>
      </c>
      <c r="K44" s="18" t="n">
        <f aca="false">SUM(K39:K43)</f>
        <v>463990.375388706</v>
      </c>
      <c r="L44" s="18" t="n">
        <f aca="false">SUM(L39:L43)</f>
        <v>505649.68570277</v>
      </c>
      <c r="M44" s="18" t="n">
        <f aca="false">SUM(M39:M43)</f>
        <v>568176.300858508</v>
      </c>
      <c r="N44" s="18" t="n">
        <f aca="false">SUM(N39:N43)</f>
        <v>664222.293877047</v>
      </c>
      <c r="O44" s="18" t="n">
        <f aca="false">SUM(O39:O43)</f>
        <v>873819.325295269</v>
      </c>
      <c r="P44" s="18" t="n">
        <f aca="false">SUM(P39:P43)</f>
        <v>891069.815904508</v>
      </c>
      <c r="Q44" s="18" t="n">
        <f aca="false">SUM(Q39:Q43)</f>
        <v>1048965.86606288</v>
      </c>
      <c r="R44" s="18" t="n">
        <f aca="false">SUM(R39:R43)</f>
        <v>1157668.47605683</v>
      </c>
      <c r="S44" s="18" t="n">
        <f aca="false">SUM(S39:S43)</f>
        <v>1239982.31377436</v>
      </c>
      <c r="T44" s="18" t="n">
        <f aca="false">SUM(T39:T43)</f>
        <v>1290144.62915453</v>
      </c>
      <c r="U44" s="18" t="n">
        <f aca="false">SUM(U39:U43)</f>
        <v>1370207.04645134</v>
      </c>
      <c r="V44" s="18" t="n">
        <f aca="false">SUM(V39:V43)</f>
        <v>0</v>
      </c>
      <c r="W44" s="18" t="n">
        <f aca="false">SUM(W39:W43)</f>
        <v>0</v>
      </c>
      <c r="X44" s="18" t="n">
        <f aca="false">SUM(X39:X43)</f>
        <v>0</v>
      </c>
      <c r="Y44" s="19" t="n">
        <f aca="false">SUM(C44:U44)</f>
        <v>12276648.5497751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340000</v>
      </c>
      <c r="D45" s="18" t="n">
        <f aca="false">+D44+C45</f>
        <v>386410</v>
      </c>
      <c r="E45" s="18" t="n">
        <f aca="false">+E44+D45</f>
        <v>525794</v>
      </c>
      <c r="F45" s="18" t="n">
        <f aca="false">+F44+E45</f>
        <v>731676.6</v>
      </c>
      <c r="G45" s="18" t="n">
        <f aca="false">+G44+F45</f>
        <v>1029599.5</v>
      </c>
      <c r="H45" s="18" t="n">
        <f aca="false">+H44+G45</f>
        <v>1398066.5</v>
      </c>
      <c r="I45" s="18" t="n">
        <f aca="false">+I44+H45</f>
        <v>1776682.05252083</v>
      </c>
      <c r="J45" s="18" t="n">
        <f aca="false">+J44+I45</f>
        <v>2202752.42124838</v>
      </c>
      <c r="K45" s="18" t="n">
        <f aca="false">+K44+J45</f>
        <v>2666742.79663708</v>
      </c>
      <c r="L45" s="18" t="n">
        <f aca="false">+L44+K45</f>
        <v>3172392.48233985</v>
      </c>
      <c r="M45" s="18" t="n">
        <f aca="false">+M44+L45</f>
        <v>3740568.78319836</v>
      </c>
      <c r="N45" s="18" t="n">
        <f aca="false">+N44+M45</f>
        <v>4404791.07707541</v>
      </c>
      <c r="O45" s="18" t="n">
        <f aca="false">+O44+N45</f>
        <v>5278610.40237068</v>
      </c>
      <c r="P45" s="18" t="n">
        <f aca="false">+P44+O45</f>
        <v>6169680.21827518</v>
      </c>
      <c r="Q45" s="18" t="n">
        <f aca="false">+Q44+P45</f>
        <v>7218646.08433806</v>
      </c>
      <c r="R45" s="18" t="n">
        <f aca="false">+R44+Q45</f>
        <v>8376314.56039489</v>
      </c>
      <c r="S45" s="18" t="n">
        <f aca="false">+S44+R45</f>
        <v>9616296.87416926</v>
      </c>
      <c r="T45" s="18" t="n">
        <f aca="false">+T44+S45</f>
        <v>10906441.5033238</v>
      </c>
      <c r="U45" s="18" t="n">
        <f aca="false">+U44+T45</f>
        <v>12276648.5497751</v>
      </c>
      <c r="V45" s="18" t="n">
        <f aca="false">+V44+U45</f>
        <v>12276648.5497751</v>
      </c>
      <c r="W45" s="18" t="n">
        <f aca="false">+W44+V45</f>
        <v>12276648.5497751</v>
      </c>
      <c r="X45" s="18" t="n">
        <f aca="false">+X44+W45</f>
        <v>12276648.5497751</v>
      </c>
      <c r="Y45" s="16"/>
    </row>
    <row r="46" customFormat="false" ht="12.75" hidden="false" customHeight="false" outlineLevel="0" collapsed="false">
      <c r="Y46" s="16"/>
    </row>
    <row r="47" customFormat="false" ht="12.75" hidden="false" customHeight="false" outlineLevel="0" collapsed="false">
      <c r="A47" s="2" t="s">
        <v>111</v>
      </c>
      <c r="B47" s="2"/>
      <c r="C47" s="2" t="n">
        <f aca="false">+C35+C44</f>
        <v>7140000</v>
      </c>
      <c r="D47" s="2" t="n">
        <f aca="false">+D35+D44</f>
        <v>1296410</v>
      </c>
      <c r="E47" s="2" t="n">
        <f aca="false">+E35+E44</f>
        <v>33024184</v>
      </c>
      <c r="F47" s="2" t="n">
        <f aca="false">+F35+F44</f>
        <v>225882.6</v>
      </c>
      <c r="G47" s="2" t="n">
        <f aca="false">+G35+G44</f>
        <v>1752232.9</v>
      </c>
      <c r="H47" s="2" t="n">
        <f aca="false">+H35+H44</f>
        <v>18800373.5</v>
      </c>
      <c r="I47" s="2" t="n">
        <f aca="false">+I35+I44</f>
        <v>8037788.40252083</v>
      </c>
      <c r="J47" s="2" t="n">
        <f aca="false">+J35+J44</f>
        <v>8808343.96206088</v>
      </c>
      <c r="K47" s="2" t="n">
        <f aca="false">+K35+K44</f>
        <v>6987028.92872204</v>
      </c>
      <c r="L47" s="2" t="n">
        <f aca="false">+L35+L44</f>
        <v>7789242.4890361</v>
      </c>
      <c r="M47" s="2" t="n">
        <f aca="false">+M35+M44</f>
        <v>11600775.8308585</v>
      </c>
      <c r="N47" s="2" t="n">
        <f aca="false">+N35+N44</f>
        <v>17679921.6272104</v>
      </c>
      <c r="O47" s="2" t="n">
        <f aca="false">+O35+O44</f>
        <v>39310183.4086286</v>
      </c>
      <c r="P47" s="2" t="n">
        <f aca="false">+P35+P44</f>
        <v>2943898.94923784</v>
      </c>
      <c r="Q47" s="2" t="n">
        <f aca="false">+Q35+Q44</f>
        <v>29307936.0793962</v>
      </c>
      <c r="R47" s="2" t="n">
        <f aca="false">+R35+R44</f>
        <v>20176876.7627235</v>
      </c>
      <c r="S47" s="2" t="n">
        <f aca="false">+S35+S44</f>
        <v>15278714.6471077</v>
      </c>
      <c r="T47" s="2" t="n">
        <f aca="false">+T35+T44</f>
        <v>9310897.46248786</v>
      </c>
      <c r="U47" s="2" t="n">
        <f aca="false">+U35+U44</f>
        <v>14860816.3797847</v>
      </c>
      <c r="V47" s="2" t="n">
        <f aca="false">+V35+V44</f>
        <v>0</v>
      </c>
      <c r="W47" s="2" t="n">
        <f aca="false">+W35+W44</f>
        <v>0</v>
      </c>
      <c r="X47" s="2" t="n">
        <f aca="false">+X35+X44</f>
        <v>0</v>
      </c>
      <c r="Y47" s="16" t="n">
        <f aca="false">SUM(C47:X47)</f>
        <v>254331507.929775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7140000</v>
      </c>
      <c r="D48" s="2" t="n">
        <f aca="false">C48+D47</f>
        <v>8436410</v>
      </c>
      <c r="E48" s="2" t="n">
        <f aca="false">D48+E47</f>
        <v>41460594</v>
      </c>
      <c r="F48" s="2" t="n">
        <f aca="false">E48+F47</f>
        <v>41686476.6</v>
      </c>
      <c r="G48" s="2" t="n">
        <f aca="false">F48+G47</f>
        <v>43438709.5</v>
      </c>
      <c r="H48" s="2" t="n">
        <f aca="false">G48+H47</f>
        <v>62239083</v>
      </c>
      <c r="I48" s="2" t="n">
        <f aca="false">H48+I47</f>
        <v>70276871.4025208</v>
      </c>
      <c r="J48" s="2" t="n">
        <f aca="false">I48+J47</f>
        <v>79085215.3645817</v>
      </c>
      <c r="K48" s="2" t="n">
        <f aca="false">J48+K47</f>
        <v>86072244.2933037</v>
      </c>
      <c r="L48" s="2" t="n">
        <f aca="false">K48+L47</f>
        <v>93861486.7823398</v>
      </c>
      <c r="M48" s="2" t="n">
        <f aca="false">L48+M47</f>
        <v>105462262.613198</v>
      </c>
      <c r="N48" s="2" t="n">
        <f aca="false">M48+N47</f>
        <v>123142184.240409</v>
      </c>
      <c r="O48" s="2" t="n">
        <f aca="false">N48+O47</f>
        <v>162452367.649037</v>
      </c>
      <c r="P48" s="2" t="n">
        <f aca="false">O48+P47</f>
        <v>165396266.598275</v>
      </c>
      <c r="Q48" s="2" t="n">
        <f aca="false">P48+Q47</f>
        <v>194704202.677671</v>
      </c>
      <c r="R48" s="2" t="n">
        <f aca="false">Q48+R47</f>
        <v>214881079.440395</v>
      </c>
      <c r="S48" s="2" t="n">
        <f aca="false">R48+S47</f>
        <v>230159794.087503</v>
      </c>
      <c r="T48" s="2" t="n">
        <f aca="false">S48+T47</f>
        <v>239470691.54999</v>
      </c>
      <c r="U48" s="2" t="n">
        <f aca="false">T48+U47</f>
        <v>254331507.929775</v>
      </c>
      <c r="V48" s="2" t="n">
        <f aca="false">U48+V47</f>
        <v>254331507.929775</v>
      </c>
      <c r="W48" s="2" t="n">
        <f aca="false">V48+W47</f>
        <v>254331507.929775</v>
      </c>
      <c r="X48" s="2" t="n">
        <f aca="false">W48+X47</f>
        <v>254331507.929775</v>
      </c>
      <c r="Y48" s="16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" t="s">
        <v>44</v>
      </c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1" t="n">
        <f aca="false">+Y47/C52/1000</f>
        <v>418.308401200288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245672000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/>
      <c r="B52" s="2"/>
      <c r="C52" s="2" t="n">
        <v>608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U53" s="1" t="n">
        <v>0</v>
      </c>
      <c r="Y53" s="22" t="n">
        <f aca="false">SUM(C53:U53)</f>
        <v>0</v>
      </c>
      <c r="Z53" s="17" t="n">
        <f aca="false">Z42</f>
        <v>0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6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+C47-C40</f>
        <v>6800000</v>
      </c>
      <c r="D55" s="2" t="n">
        <f aca="false">+D47-D40</f>
        <v>1250000</v>
      </c>
      <c r="E55" s="2" t="n">
        <f aca="false">+E47-E40</f>
        <v>32884800</v>
      </c>
      <c r="F55" s="2" t="n">
        <f aca="false">+F47-F40</f>
        <v>-1556.39999999999</v>
      </c>
      <c r="G55" s="2" t="n">
        <f aca="false">+G47-G40</f>
        <v>1520788.9</v>
      </c>
      <c r="H55" s="2" t="n">
        <f aca="false">+H47-H40</f>
        <v>18381006.5</v>
      </c>
      <c r="I55" s="2" t="n">
        <f aca="false">+I47-I40</f>
        <v>7659172.85</v>
      </c>
      <c r="J55" s="2" t="n">
        <f aca="false">+J47-J40</f>
        <v>8382273.59333333</v>
      </c>
      <c r="K55" s="2" t="n">
        <f aca="false">+K47-K40</f>
        <v>6523317.55333333</v>
      </c>
      <c r="L55" s="2" t="n">
        <f aca="false">+L47-L40</f>
        <v>7283602.80333333</v>
      </c>
      <c r="M55" s="2" t="n">
        <f aca="false">+M47-M40</f>
        <v>11032599.53</v>
      </c>
      <c r="N55" s="2" t="n">
        <f aca="false">+N47-N40</f>
        <v>17016499.3333333</v>
      </c>
      <c r="O55" s="2" t="n">
        <f aca="false">+O47-O40</f>
        <v>38436364.0833333</v>
      </c>
      <c r="P55" s="2" t="n">
        <f aca="false">+P47-P40</f>
        <v>2052829.13333333</v>
      </c>
      <c r="Q55" s="2" t="n">
        <f aca="false">+Q47-Q40</f>
        <v>28258970.2133333</v>
      </c>
      <c r="R55" s="2" t="n">
        <f aca="false">+R47-R40</f>
        <v>19019208.2866667</v>
      </c>
      <c r="S55" s="2" t="n">
        <f aca="false">+S47-S40</f>
        <v>14038732.3333333</v>
      </c>
      <c r="T55" s="2" t="n">
        <f aca="false">+T47-T40</f>
        <v>8020752.83333333</v>
      </c>
      <c r="U55" s="2" t="n">
        <f aca="false">+U47-U40</f>
        <v>13490609.3333333</v>
      </c>
      <c r="V55" s="2" t="n">
        <f aca="false">+V47-V40</f>
        <v>0</v>
      </c>
      <c r="W55" s="2" t="n">
        <f aca="false">+W47-W40</f>
        <v>0</v>
      </c>
      <c r="X55" s="2" t="n">
        <f aca="false">+X47-X40</f>
        <v>0</v>
      </c>
      <c r="Y55" s="16" t="n">
        <f aca="false">SUM(C55:X55)</f>
        <v>242049970.88</v>
      </c>
    </row>
    <row r="56" customFormat="false" ht="9.75" hidden="false" customHeight="true" outlineLevel="0" collapsed="false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6"/>
    </row>
    <row r="57" customFormat="false" ht="12.75" hidden="false" customHeight="false" outlineLevel="0" collapsed="false">
      <c r="Y57" s="16"/>
    </row>
    <row r="58" customFormat="false" ht="20.25" hidden="false" customHeight="false" outlineLevel="0" collapsed="false">
      <c r="A58" s="24" t="s">
        <v>80</v>
      </c>
      <c r="Y58" s="16"/>
      <c r="AB58" s="1" t="s">
        <v>112</v>
      </c>
    </row>
    <row r="59" customFormat="false" ht="12.75" hidden="false" customHeight="false" outlineLevel="0" collapsed="false">
      <c r="A59" s="9" t="s">
        <v>20</v>
      </c>
      <c r="Y59" s="16"/>
      <c r="AB59" s="1" t="s">
        <v>113</v>
      </c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0</v>
      </c>
      <c r="E60" s="1" t="n">
        <v>0</v>
      </c>
      <c r="F60" s="15" t="n">
        <v>8000</v>
      </c>
      <c r="G60" s="1" t="n">
        <v>24712</v>
      </c>
      <c r="H60" s="1" t="n">
        <v>0</v>
      </c>
      <c r="I60" s="1" t="n">
        <v>0</v>
      </c>
      <c r="J60" s="1" t="n">
        <v>14873.37</v>
      </c>
      <c r="K60" s="1" t="n">
        <v>2460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48750</v>
      </c>
      <c r="Y60" s="16" t="n">
        <f aca="false">SUM(C60:U60)</f>
        <v>98795.37</v>
      </c>
      <c r="Z60" s="17" t="s">
        <v>31</v>
      </c>
      <c r="AA60" s="1" t="n">
        <f aca="false">Y60+Y26</f>
        <v>399999.83</v>
      </c>
      <c r="AB60" s="1" t="n">
        <f aca="false">[1]Wilton!$BR$174</f>
        <v>400000</v>
      </c>
      <c r="AC60" s="1" t="n">
        <f aca="false">AB60-AA60</f>
        <v>0.17000000004191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1236</v>
      </c>
      <c r="E61" s="1" t="n">
        <f aca="false">56608-22604+22500</f>
        <v>56504</v>
      </c>
      <c r="F61" s="15" t="n">
        <f aca="false">5706+21114</f>
        <v>26820</v>
      </c>
      <c r="G61" s="1" t="n">
        <f aca="false">9652+1899</f>
        <v>11551</v>
      </c>
      <c r="H61" s="1" t="n">
        <v>0</v>
      </c>
      <c r="I61" s="1" t="n">
        <f aca="false">169479.45+30387.78</f>
        <v>199867.23</v>
      </c>
      <c r="J61" s="1" t="n">
        <f aca="false">566.91+3047.17+16608.78+17351.65+10439.68</f>
        <v>48014.19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1787</v>
      </c>
      <c r="Y61" s="16" t="n">
        <f aca="false">SUM(C61:U61)</f>
        <v>345779.42</v>
      </c>
      <c r="Z61" s="17" t="str">
        <f aca="false">Z60</f>
        <v>Scott Healy</v>
      </c>
      <c r="AA61" s="1" t="n">
        <f aca="false">Y61+Y33</f>
        <v>938158.9</v>
      </c>
      <c r="AB61" s="1" t="n">
        <f aca="false">[1]Wilton!$BR$197</f>
        <v>938158.83</v>
      </c>
      <c r="AC61" s="1" t="n">
        <f aca="false">AB61-AA61</f>
        <v>-0.0700000000651926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22604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13333</v>
      </c>
      <c r="Y62" s="16" t="n">
        <f aca="false">SUM(C62:U62)</f>
        <v>35937</v>
      </c>
      <c r="Z62" s="17" t="str">
        <f aca="false">Z61</f>
        <v>Scott Healy</v>
      </c>
      <c r="AA62" s="1" t="n">
        <f aca="false">Y62+Y32</f>
        <v>199999.593333333</v>
      </c>
      <c r="AB62" s="1" t="n">
        <f aca="false">[1]Wilton!$BR$188</f>
        <v>200000</v>
      </c>
      <c r="AC62" s="1" t="n">
        <f aca="false">AB62-AA62</f>
        <v>0.406666666676756</v>
      </c>
    </row>
    <row r="63" customFormat="false" ht="12.75" hidden="false" customHeight="false" outlineLevel="0" collapsed="false">
      <c r="A63" s="1" t="s">
        <v>41</v>
      </c>
      <c r="C63" s="2" t="n">
        <v>0</v>
      </c>
      <c r="D63" s="1" t="n">
        <v>0</v>
      </c>
      <c r="E63" s="1" t="n">
        <v>0</v>
      </c>
      <c r="F63" s="15" t="n">
        <v>10000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19571</v>
      </c>
      <c r="Y63" s="16" t="n">
        <f aca="false">SUM(C63:U63)</f>
        <v>29571</v>
      </c>
      <c r="Z63" s="17" t="str">
        <f aca="false">Z62</f>
        <v>Scott Healy</v>
      </c>
      <c r="AA63" s="1" t="n">
        <f aca="false">Y63+Y34</f>
        <v>558423.5</v>
      </c>
      <c r="AB63" s="1" t="n">
        <f aca="false">[1]Wilton!$BR$204</f>
        <v>558423.13</v>
      </c>
      <c r="AC63" s="1" t="n">
        <f aca="false">AB63-AA63</f>
        <v>-0.369999999995343</v>
      </c>
    </row>
    <row r="64" customFormat="false" ht="12.75" hidden="false" customHeight="false" outlineLevel="0" collapsed="false">
      <c r="A64" s="2" t="s">
        <v>114</v>
      </c>
      <c r="C64" s="18" t="n">
        <f aca="false">SUM(C60:C63)</f>
        <v>0</v>
      </c>
      <c r="D64" s="18" t="n">
        <f aca="false">SUM(D60:D63)</f>
        <v>1236</v>
      </c>
      <c r="E64" s="18" t="n">
        <f aca="false">SUM(E60:E63)</f>
        <v>79108</v>
      </c>
      <c r="F64" s="18" t="n">
        <f aca="false">SUM(F60:F63)</f>
        <v>44820</v>
      </c>
      <c r="G64" s="18" t="n">
        <f aca="false">SUM(G60:G63)</f>
        <v>36263</v>
      </c>
      <c r="H64" s="18" t="n">
        <f aca="false">SUM(H60:H63)</f>
        <v>0</v>
      </c>
      <c r="I64" s="18" t="n">
        <f aca="false">SUM(I60:I63)</f>
        <v>199867.23</v>
      </c>
      <c r="J64" s="18" t="n">
        <f aca="false">SUM(J60:J63)</f>
        <v>62887.56</v>
      </c>
      <c r="K64" s="18" t="n">
        <f aca="false">SUM(K60:K63)</f>
        <v>2460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0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83441</v>
      </c>
      <c r="V64" s="18" t="n">
        <f aca="false">SUM(V60:V63)</f>
        <v>0</v>
      </c>
      <c r="W64" s="18" t="n">
        <f aca="false">SUM(W60:W63)</f>
        <v>0</v>
      </c>
      <c r="X64" s="18" t="n">
        <f aca="false">SUM(X60:X63)</f>
        <v>0</v>
      </c>
      <c r="Y64" s="19" t="n">
        <f aca="false">SUM(C64:U64)</f>
        <v>510082.79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6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-56500</v>
      </c>
      <c r="H66" s="2" t="n">
        <f aca="false">1-35</f>
        <v>-34</v>
      </c>
      <c r="I66" s="2" t="n">
        <v>-69954</v>
      </c>
      <c r="J66" s="2" t="n">
        <v>-22011</v>
      </c>
      <c r="K66" s="2" t="n">
        <f aca="false">-98-861</f>
        <v>-959</v>
      </c>
      <c r="L66" s="2" t="n">
        <f aca="false">-3</f>
        <v>-3</v>
      </c>
      <c r="M66" s="2" t="n">
        <f aca="false">[1]Wilton!$AN$220</f>
        <v>52217</v>
      </c>
      <c r="N66" s="2" t="n">
        <f aca="false">-233-52264</f>
        <v>-52497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16" t="n">
        <f aca="false">SUM(G66:U66)</f>
        <v>-149741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1236</v>
      </c>
      <c r="E67" s="18" t="n">
        <f aca="false">SUM(E64:E66)</f>
        <v>79108</v>
      </c>
      <c r="F67" s="18" t="n">
        <f aca="false">SUM(F64:F66)</f>
        <v>44820</v>
      </c>
      <c r="G67" s="18" t="n">
        <f aca="false">SUM(G64:G66)</f>
        <v>-20237</v>
      </c>
      <c r="H67" s="18" t="n">
        <f aca="false">SUM(H64:H66)</f>
        <v>-34</v>
      </c>
      <c r="I67" s="18" t="n">
        <f aca="false">SUM(I64:I66)</f>
        <v>129913.23</v>
      </c>
      <c r="J67" s="18" t="n">
        <f aca="false">SUM(J64:J66)</f>
        <v>40876.56</v>
      </c>
      <c r="K67" s="18" t="n">
        <f aca="false">SUM(K64:K66)</f>
        <v>1501</v>
      </c>
      <c r="L67" s="18" t="n">
        <f aca="false">SUM(L64:L66)</f>
        <v>-3</v>
      </c>
      <c r="M67" s="18" t="n">
        <f aca="false">SUM(M64:M66)</f>
        <v>52217</v>
      </c>
      <c r="N67" s="18" t="n">
        <f aca="false">SUM(N64:N66)</f>
        <v>-52497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83441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360341.79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115</v>
      </c>
      <c r="Y69" s="16"/>
    </row>
    <row r="70" customFormat="false" ht="12.75" hidden="false" customHeight="false" outlineLevel="0" collapsed="false">
      <c r="A70" s="1" t="s">
        <v>39</v>
      </c>
      <c r="E70" s="1" t="n">
        <v>19729</v>
      </c>
      <c r="F70" s="1" t="n">
        <v>0</v>
      </c>
      <c r="H70" s="1" t="n">
        <v>12698.23</v>
      </c>
      <c r="J70" s="1" t="n">
        <v>5725</v>
      </c>
      <c r="O70" s="1" t="n">
        <v>1242.3</v>
      </c>
      <c r="Y70" s="16" t="n">
        <f aca="false">SUM(C70:U70)</f>
        <v>39394.53</v>
      </c>
      <c r="Z70" s="17" t="str">
        <f aca="false">+Z63</f>
        <v>Scott Healy</v>
      </c>
    </row>
    <row r="71" customFormat="false" ht="12.75" hidden="false" customHeight="false" outlineLevel="0" collapsed="false">
      <c r="A71" s="1" t="s">
        <v>40</v>
      </c>
      <c r="D71" s="1" t="n">
        <v>1343</v>
      </c>
      <c r="E71" s="15" t="n">
        <f aca="false">24234.66+4681.29</f>
        <v>28915.95</v>
      </c>
      <c r="F71" s="1" t="n">
        <f aca="false">19059+269.69</f>
        <v>19328.69</v>
      </c>
      <c r="G71" s="1" t="n">
        <v>568</v>
      </c>
      <c r="H71" s="1" t="n">
        <v>68419</v>
      </c>
      <c r="L71" s="1" t="n">
        <v>591.45</v>
      </c>
      <c r="Y71" s="16" t="n">
        <f aca="false">SUM(C71:U71)</f>
        <v>119166.09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41</v>
      </c>
      <c r="C72" s="2" t="n">
        <v>52133</v>
      </c>
      <c r="G72" s="1" t="n">
        <v>1331</v>
      </c>
      <c r="Y72" s="16" t="n">
        <f aca="false">SUM(C72:U72)</f>
        <v>53464</v>
      </c>
      <c r="Z72" s="17" t="str">
        <f aca="false">Z71</f>
        <v>Scott Healy</v>
      </c>
    </row>
    <row r="73" customFormat="false" ht="12.75" hidden="false" customHeight="false" outlineLevel="0" collapsed="false">
      <c r="A73" s="1" t="s">
        <v>30</v>
      </c>
      <c r="C73" s="2" t="n">
        <v>87500</v>
      </c>
      <c r="Y73" s="16" t="n">
        <f aca="false">SUM(C73:U73)</f>
        <v>87500</v>
      </c>
    </row>
    <row r="74" customFormat="false" ht="12.75" hidden="false" customHeight="false" outlineLevel="0" collapsed="false">
      <c r="A74" s="2" t="s">
        <v>116</v>
      </c>
      <c r="C74" s="18" t="n">
        <f aca="false">SUM(C70:C73)</f>
        <v>139633</v>
      </c>
      <c r="D74" s="18" t="n">
        <f aca="false">SUM(D70:D73)</f>
        <v>1343</v>
      </c>
      <c r="E74" s="18" t="n">
        <f aca="false">SUM(E70:E73)</f>
        <v>48644.95</v>
      </c>
      <c r="F74" s="18" t="n">
        <f aca="false">SUM(F70:F73)</f>
        <v>19328.69</v>
      </c>
      <c r="G74" s="18" t="n">
        <f aca="false">SUM(G70:G73)</f>
        <v>1899</v>
      </c>
      <c r="H74" s="18" t="n">
        <f aca="false">SUM(H70:H73)</f>
        <v>81117.23</v>
      </c>
      <c r="I74" s="18" t="n">
        <f aca="false">SUM(I70:I73)</f>
        <v>0</v>
      </c>
      <c r="J74" s="18" t="n">
        <f aca="false">SUM(J70:J73)</f>
        <v>5725</v>
      </c>
      <c r="K74" s="18" t="n">
        <f aca="false">SUM(K70:K73)</f>
        <v>0</v>
      </c>
      <c r="L74" s="18" t="n">
        <f aca="false">SUM(L70:L73)</f>
        <v>591.45</v>
      </c>
      <c r="M74" s="18" t="n">
        <f aca="false">SUM(M70:M73)</f>
        <v>0</v>
      </c>
      <c r="N74" s="18" t="n">
        <f aca="false">SUM(N70:N73)</f>
        <v>0</v>
      </c>
      <c r="O74" s="18" t="n">
        <f aca="false">SUM(O70:O73)</f>
        <v>1242.3</v>
      </c>
      <c r="P74" s="18" t="n">
        <f aca="false">SUM(P70:P73)</f>
        <v>0</v>
      </c>
      <c r="Q74" s="18" t="n">
        <f aca="false">SUM(Q70:Q73)</f>
        <v>0</v>
      </c>
      <c r="R74" s="18" t="n">
        <f aca="false">SUM(R70:R73)</f>
        <v>0</v>
      </c>
      <c r="S74" s="18" t="n">
        <f aca="false">SUM(S70:S73)</f>
        <v>0</v>
      </c>
      <c r="T74" s="18" t="n">
        <f aca="false">SUM(T70:T73)</f>
        <v>0</v>
      </c>
      <c r="U74" s="18" t="n">
        <f aca="false">SUM(U70:U73)</f>
        <v>0</v>
      </c>
      <c r="V74" s="18" t="n">
        <f aca="false">SUM(V70:V73)</f>
        <v>0</v>
      </c>
      <c r="W74" s="18" t="n">
        <f aca="false">SUM(W70:W73)</f>
        <v>0</v>
      </c>
      <c r="X74" s="18" t="n">
        <f aca="false">SUM(X70:X73)</f>
        <v>0</v>
      </c>
      <c r="Y74" s="19" t="n">
        <f aca="false">SUM(C74:U74)</f>
        <v>299524.62</v>
      </c>
    </row>
    <row r="75" customFormat="false" ht="12.75" hidden="false" customHeight="false" outlineLevel="0" collapsed="false">
      <c r="Y75" s="16"/>
    </row>
    <row r="76" customFormat="false" ht="12.75" hidden="false" customHeight="false" outlineLevel="0" collapsed="false">
      <c r="Y76" s="16"/>
    </row>
    <row r="77" customFormat="false" ht="13.5" hidden="false" customHeight="false" outlineLevel="0" collapsed="false">
      <c r="A77" s="2" t="s">
        <v>117</v>
      </c>
      <c r="C77" s="37" t="n">
        <f aca="false">+C47+C67+C74</f>
        <v>7279633</v>
      </c>
      <c r="D77" s="37" t="n">
        <f aca="false">+D47+D67+D74</f>
        <v>1298989</v>
      </c>
      <c r="E77" s="37" t="n">
        <f aca="false">+E47+E67+E74</f>
        <v>33151936.95</v>
      </c>
      <c r="F77" s="37" t="n">
        <f aca="false">+F47+F67+F74</f>
        <v>290031.29</v>
      </c>
      <c r="G77" s="37" t="n">
        <f aca="false">+G47+G67+G74</f>
        <v>1733894.9</v>
      </c>
      <c r="H77" s="37" t="n">
        <f aca="false">+H47+H67+H74</f>
        <v>18881456.73</v>
      </c>
      <c r="I77" s="37" t="n">
        <f aca="false">+I47+I67+I74</f>
        <v>8167701.63252083</v>
      </c>
      <c r="J77" s="37" t="n">
        <f aca="false">+J47+J67+J74</f>
        <v>8854945.52206088</v>
      </c>
      <c r="K77" s="37" t="n">
        <f aca="false">+K47+K67+K74</f>
        <v>6988529.92872204</v>
      </c>
      <c r="L77" s="37" t="n">
        <f aca="false">+L47+L67+L74</f>
        <v>7789830.9390361</v>
      </c>
      <c r="M77" s="37" t="n">
        <f aca="false">+M47+M67+M74</f>
        <v>11652992.8308585</v>
      </c>
      <c r="N77" s="37" t="n">
        <f aca="false">+N47+N67+N74</f>
        <v>17627424.6272104</v>
      </c>
      <c r="O77" s="37" t="n">
        <f aca="false">+O47+O67+O74</f>
        <v>39311425.7086286</v>
      </c>
      <c r="P77" s="37" t="n">
        <f aca="false">+P47+P67+P74</f>
        <v>2943898.94923784</v>
      </c>
      <c r="Q77" s="37" t="n">
        <f aca="false">+Q47+Q67+Q74</f>
        <v>29307936.0793962</v>
      </c>
      <c r="R77" s="37" t="n">
        <f aca="false">+R47+R67+R74</f>
        <v>20176876.7627235</v>
      </c>
      <c r="S77" s="37" t="n">
        <f aca="false">+S47+S67+S74</f>
        <v>15278714.6471077</v>
      </c>
      <c r="T77" s="37" t="n">
        <f aca="false">+T47+T67+T74</f>
        <v>9310897.46248786</v>
      </c>
      <c r="U77" s="37" t="n">
        <f aca="false">+U47+U67+U74</f>
        <v>14944257.3797847</v>
      </c>
      <c r="V77" s="37" t="n">
        <f aca="false">+V47+V67+V74</f>
        <v>0</v>
      </c>
      <c r="W77" s="37" t="n">
        <f aca="false">+W47+W67+W74</f>
        <v>0</v>
      </c>
      <c r="X77" s="37" t="n">
        <f aca="false">+X47+X67+X74</f>
        <v>0</v>
      </c>
      <c r="Y77" s="38" t="n">
        <f aca="false">SUM(C77:U77)</f>
        <v>254991374.339775</v>
      </c>
    </row>
    <row r="78" customFormat="false" ht="12.75" hidden="false" customHeight="false" outlineLevel="0" collapsed="false">
      <c r="U78" s="0"/>
      <c r="V78" s="0"/>
      <c r="W78" s="0"/>
      <c r="X78" s="0"/>
      <c r="Y78" s="39" t="n">
        <f aca="false">Y77-[1]Wilton!$BR$236</f>
        <v>-0.0400000214576721</v>
      </c>
    </row>
    <row r="79" customFormat="false" ht="12.75" hidden="false" customHeight="false" outlineLevel="0" collapsed="false">
      <c r="U79" s="0"/>
      <c r="V79" s="0"/>
      <c r="W79" s="0"/>
      <c r="X79" s="0"/>
      <c r="Y79" s="0"/>
    </row>
    <row r="80" customFormat="false" ht="12.75" hidden="false" customHeight="false" outlineLevel="0" collapsed="false">
      <c r="U80" s="0"/>
      <c r="V80" s="0"/>
      <c r="W80" s="0"/>
      <c r="X80" s="0"/>
      <c r="Y80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O13" activePane="bottomRight" state="frozen"/>
      <selection pane="topLeft" activeCell="A1" activeCellId="0" sqref="A1"/>
      <selection pane="topRight" activeCell="O1" activeCellId="0" sqref="O1"/>
      <selection pane="bottomLeft" activeCell="A13" activeCellId="0" sqref="A13"/>
      <selection pane="bottomRight" activeCell="R21" activeCellId="0" sqref="R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5" min="5" style="1" width="13.28"/>
    <col collapsed="false" customWidth="true" hidden="false" outlineLevel="0" max="6" min="6" style="1" width="11.28"/>
    <col collapsed="false" customWidth="true" hidden="false" outlineLevel="0" max="7" min="7" style="1" width="12.85"/>
    <col collapsed="false" customWidth="true" hidden="false" outlineLevel="0" max="8" min="8" style="1" width="11.28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1.28"/>
    <col collapsed="false" customWidth="true" hidden="false" outlineLevel="0" max="14" min="12" style="1" width="12.28"/>
    <col collapsed="false" customWidth="true" hidden="false" outlineLevel="0" max="15" min="15" style="1" width="13.99"/>
    <col collapsed="false" customWidth="true" hidden="false" outlineLevel="0" max="17" min="16" style="1" width="12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2.28"/>
    <col collapsed="false" customWidth="true" hidden="false" outlineLevel="0" max="22" min="22" style="1" width="12.85"/>
    <col collapsed="false" customWidth="true" hidden="true" outlineLevel="0" max="25" min="23" style="1" width="12.14"/>
    <col collapsed="false" customWidth="true" hidden="false" outlineLevel="0" max="26" min="26" style="2" width="13.56"/>
    <col collapsed="false" customWidth="true" hidden="false" outlineLevel="0" max="27" min="27" style="1" width="28.28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February 25,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XML/filtered-attachments/xls/Draw_Sched___022900.xls'#$Gleason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45926.9531910862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81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v>0</v>
      </c>
      <c r="Q10" s="1" t="n">
        <v>0</v>
      </c>
      <c r="R10" s="1" t="n">
        <v>0</v>
      </c>
      <c r="S10" s="1" t="n">
        <v>1160414</v>
      </c>
      <c r="U10" s="1" t="n">
        <v>11</v>
      </c>
      <c r="V10" s="1" t="n">
        <f aca="false">3081531-1282310</f>
        <v>1799221</v>
      </c>
      <c r="Z10" s="16" t="n">
        <f aca="false">SUM(C10:Y10)</f>
        <v>60842740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1559250+97385+1409470+237943</f>
        <v>3304048</v>
      </c>
      <c r="Z11" s="16" t="n">
        <f aca="false">SUM(C11:Y11)</f>
        <v>34718304</v>
      </c>
      <c r="AA11" s="23" t="s">
        <v>23</v>
      </c>
      <c r="AB11" s="1" t="n">
        <f aca="false">[1]Gleason!$BT$16</f>
        <v>95561044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f aca="false">1765743.3+130800</f>
        <v>1896543.3</v>
      </c>
      <c r="R12" s="1" t="n">
        <v>0</v>
      </c>
      <c r="S12" s="1" t="n">
        <f aca="false">531586.8-58500+645576</f>
        <v>1118662.8</v>
      </c>
      <c r="T12" s="1" t="n">
        <v>0</v>
      </c>
      <c r="V12" s="1" t="n">
        <v>0</v>
      </c>
      <c r="Z12" s="16" t="n">
        <f aca="false">SUM(C12:Y12)</f>
        <v>6024611.4</v>
      </c>
      <c r="AA12" s="23" t="s">
        <v>23</v>
      </c>
      <c r="AB12" s="1" t="n">
        <f aca="false">[1]Gleason!$BT$35</f>
        <v>6024611</v>
      </c>
      <c r="AC12" s="1" t="n">
        <f aca="false">Z12-AB12</f>
        <v>0.399999999441206</v>
      </c>
    </row>
    <row r="13" customFormat="false" ht="12.75" hidden="false" customHeight="false" outlineLevel="0" collapsed="false">
      <c r="A13" s="1" t="s">
        <v>83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[1]Gleason!$BT$136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84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v>236722</v>
      </c>
      <c r="R14" s="1" t="n">
        <f aca="false">2840700/12</f>
        <v>236725</v>
      </c>
      <c r="S14" s="1" t="n">
        <f aca="false">2840700/12</f>
        <v>236725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2840700/12+12</f>
        <v>236737</v>
      </c>
      <c r="Z14" s="16" t="n">
        <f aca="false">SUM(C14:Y14)</f>
        <v>2840700</v>
      </c>
      <c r="AA14" s="23" t="s">
        <v>23</v>
      </c>
      <c r="AB14" s="1" t="n">
        <f aca="false">[1]Gleason!$BT$137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85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[1]Gleason!$BT$138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101</v>
      </c>
      <c r="O16" s="1" t="n">
        <v>420818</v>
      </c>
      <c r="Q16" s="1" t="n">
        <v>1769159</v>
      </c>
      <c r="R16" s="1" t="n">
        <v>0</v>
      </c>
      <c r="S16" s="1" t="n">
        <f aca="false">(0.6457-0.4765)*AB16</f>
        <v>2901392.7012</v>
      </c>
      <c r="T16" s="1" t="n">
        <f aca="false">(0.7795-0.6457)*AB16</f>
        <v>2294363.7318</v>
      </c>
      <c r="U16" s="1" t="n">
        <f aca="false">(0.8617-0.7795)*AB16</f>
        <v>1409541.8442</v>
      </c>
      <c r="V16" s="1" t="n">
        <f aca="false">((0.9293-0.8617)*AB16)+1212343+784135+3131172</f>
        <v>6286835.2636</v>
      </c>
      <c r="W16" s="1" t="n">
        <f aca="false">17147711-15082111</f>
        <v>2065600</v>
      </c>
      <c r="Z16" s="16" t="n">
        <f aca="false">SUM(C16:Y16)</f>
        <v>17147710.5408</v>
      </c>
      <c r="AA16" s="23"/>
      <c r="AB16" s="1" t="n">
        <f aca="false">[1]Gleason!$BT$61</f>
        <v>17147711</v>
      </c>
      <c r="AC16" s="1" t="n">
        <f aca="false">Z16-AB16</f>
        <v>-0.459199998527765</v>
      </c>
    </row>
    <row r="17" customFormat="false" ht="12.75" hidden="false" customHeight="false" outlineLevel="0" collapsed="false">
      <c r="A17" s="1" t="s">
        <v>102</v>
      </c>
      <c r="O17" s="1" t="n">
        <v>84021</v>
      </c>
      <c r="Q17" s="1" t="n">
        <v>225269</v>
      </c>
      <c r="R17" s="1" t="n">
        <v>0</v>
      </c>
      <c r="S17" s="1" t="n">
        <f aca="false">(0.6457-0.4765)*AB17</f>
        <v>720949.5252</v>
      </c>
      <c r="T17" s="1" t="n">
        <f aca="false">(0.7795-0.6457)*AB17</f>
        <v>570112.5678</v>
      </c>
      <c r="U17" s="1" t="n">
        <f aca="false">(0.8617-0.7795)*AB17</f>
        <v>350248.5282</v>
      </c>
      <c r="V17" s="1" t="n">
        <f aca="false">(0.9293-0.8617)*AB17+301248+409183+778046</f>
        <v>1776515.9356</v>
      </c>
      <c r="W17" s="1" t="n">
        <f aca="false">4260931-3727117</f>
        <v>533814</v>
      </c>
      <c r="Z17" s="16" t="n">
        <f aca="false">SUM(C17:Y17)</f>
        <v>4260930.5568</v>
      </c>
      <c r="AA17" s="23"/>
      <c r="AB17" s="1" t="n">
        <f aca="false">[1]Gleason!$BT$89</f>
        <v>4260931</v>
      </c>
      <c r="AC17" s="1" t="n">
        <f aca="false">Z17-AB17</f>
        <v>-0.443199999630451</v>
      </c>
    </row>
    <row r="18" customFormat="false" ht="12.75" hidden="false" customHeight="false" outlineLevel="0" collapsed="false">
      <c r="A18" s="1" t="s">
        <v>103</v>
      </c>
      <c r="O18" s="1" t="n">
        <v>204588</v>
      </c>
      <c r="Q18" s="1" t="n">
        <v>2792896</v>
      </c>
      <c r="R18" s="1" t="n">
        <v>0</v>
      </c>
      <c r="S18" s="1" t="n">
        <f aca="false">(0.6457-0.4765)*AB18</f>
        <v>2613082.1616</v>
      </c>
      <c r="T18" s="1" t="n">
        <f aca="false">(0.7795-0.6457)*AB18</f>
        <v>2066373.4824</v>
      </c>
      <c r="U18" s="1" t="n">
        <f aca="false">(0.8617-0.7795)*AB18</f>
        <v>1269476.0856</v>
      </c>
      <c r="V18" s="1" t="n">
        <f aca="false">(0.9293-0.8617)*AB18+1091873-193321-300000+2820028</f>
        <v>4462577.3648</v>
      </c>
      <c r="W18" s="1" t="n">
        <f aca="false">15443748-13408993</f>
        <v>2034755</v>
      </c>
      <c r="Z18" s="16" t="n">
        <f aca="false">SUM(C18:Y18)</f>
        <v>15443748.0944</v>
      </c>
      <c r="AA18" s="23"/>
      <c r="AB18" s="1" t="n">
        <f aca="false">[1]Gleason!$BT$122</f>
        <v>15443748</v>
      </c>
      <c r="AC18" s="1" t="n">
        <f aca="false">Z18-AB18</f>
        <v>0.0943999998271465</v>
      </c>
    </row>
    <row r="19" customFormat="false" ht="12.75" hidden="false" customHeight="false" outlineLevel="0" collapsed="false">
      <c r="A19" s="1" t="s">
        <v>104</v>
      </c>
      <c r="N19" s="1" t="n">
        <v>0</v>
      </c>
      <c r="O19" s="1" t="n">
        <v>0</v>
      </c>
      <c r="Q19" s="1" t="n">
        <v>848349</v>
      </c>
      <c r="R19" s="1" t="n">
        <v>0</v>
      </c>
      <c r="S19" s="1" t="n">
        <f aca="false">(0.6457-0.4765)*AB19</f>
        <v>2053544.022</v>
      </c>
      <c r="T19" s="1" t="n">
        <f aca="false">(0.7795-0.6457)*AB19</f>
        <v>1623901.833</v>
      </c>
      <c r="U19" s="1" t="n">
        <f aca="false">(0.8617-0.7795)*AB19</f>
        <v>997643.727000001</v>
      </c>
      <c r="V19" s="1" t="n">
        <f aca="false">(0.9293-0.8617)*AB19+858071+958818+2216177</f>
        <v>4853512.666</v>
      </c>
      <c r="W19" s="1" t="n">
        <f aca="false">12136785-10376951</f>
        <v>1759834</v>
      </c>
      <c r="Z19" s="16" t="n">
        <f aca="false">SUM(C19:Y19)</f>
        <v>12136785.248</v>
      </c>
      <c r="AA19" s="23" t="s">
        <v>23</v>
      </c>
      <c r="AB19" s="1" t="n">
        <f aca="false">[1]Gleason!$BT$127</f>
        <v>12136785</v>
      </c>
      <c r="AC19" s="1" t="n">
        <f aca="false">Z19-AB19</f>
        <v>0.247999999672174</v>
      </c>
    </row>
    <row r="20" customFormat="false" ht="12.75" hidden="false" customHeight="false" outlineLevel="0" collapsed="false">
      <c r="A20" s="1" t="s">
        <v>105</v>
      </c>
      <c r="V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[1]Gleason!$BT$176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107</v>
      </c>
      <c r="O21" s="1" t="n">
        <v>5344605</v>
      </c>
      <c r="Q21" s="1" t="n">
        <f aca="false">-291068-49399</f>
        <v>-340467</v>
      </c>
      <c r="R21" s="1" t="n">
        <v>6512226</v>
      </c>
      <c r="V21" s="1" t="n">
        <f aca="false">640621-49399-3124465-3387761</f>
        <v>-5921004</v>
      </c>
      <c r="W21" s="1" t="n">
        <f aca="false">-3387761-5595360</f>
        <v>-8983121</v>
      </c>
      <c r="Z21" s="16" t="n">
        <f aca="false">SUM(C21:Y21)</f>
        <v>-3387761</v>
      </c>
      <c r="AA21" s="23" t="s">
        <v>23</v>
      </c>
      <c r="AB21" s="1" t="n">
        <f aca="false">[1]Gleason!$BT$129</f>
        <v>-3387761</v>
      </c>
      <c r="AC21" s="1" t="n">
        <f aca="false">Z21-AB21</f>
        <v>0</v>
      </c>
    </row>
    <row r="22" customFormat="false" ht="12.75" hidden="false" customHeight="false" outlineLevel="0" collapsed="false">
      <c r="A22" s="1" t="s">
        <v>108</v>
      </c>
      <c r="R22" s="1" t="n">
        <v>37000</v>
      </c>
      <c r="S22" s="1" t="n">
        <f aca="false">150000+75000</f>
        <v>225000</v>
      </c>
      <c r="T22" s="1" t="n">
        <v>150000</v>
      </c>
      <c r="U22" s="1" t="n">
        <v>150000</v>
      </c>
      <c r="V22" s="1" t="n">
        <f aca="false">908786-750000+188000</f>
        <v>346786</v>
      </c>
      <c r="Z22" s="16" t="n">
        <f aca="false">SUM(C22:Y22)</f>
        <v>908786</v>
      </c>
      <c r="AA22" s="23" t="s">
        <v>28</v>
      </c>
      <c r="AB22" s="1" t="n">
        <f aca="false">[1]Gleason!$BT$170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Z23" s="16" t="n">
        <f aca="false">SUM(C23:Y23)</f>
        <v>1247007</v>
      </c>
      <c r="AA23" s="23" t="s">
        <v>23</v>
      </c>
      <c r="AB23" s="1" t="n">
        <f aca="false">[1]Gleason!$BT$178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118</v>
      </c>
      <c r="P24" s="1" t="n">
        <v>-250000</v>
      </c>
      <c r="Z24" s="16" t="n">
        <f aca="false">SUM(C24:Y24)</f>
        <v>-250000</v>
      </c>
      <c r="AA24" s="23"/>
    </row>
    <row r="25" customFormat="false" ht="12.75" hidden="false" customHeight="false" outlineLevel="0" collapsed="false">
      <c r="A25" s="1" t="s">
        <v>30</v>
      </c>
      <c r="L25" s="1" t="n">
        <v>369041</v>
      </c>
      <c r="N25" s="1" t="n">
        <v>0</v>
      </c>
      <c r="Q25" s="1" t="n">
        <v>14500</v>
      </c>
      <c r="R25" s="1" t="n">
        <v>25010</v>
      </c>
      <c r="Z25" s="16" t="n">
        <f aca="false">SUM(C25:Y25)</f>
        <v>408551</v>
      </c>
      <c r="AA25" s="23" t="s">
        <v>61</v>
      </c>
      <c r="AB25" s="1" t="n">
        <f aca="false">[1]Gleason!$BT$185</f>
        <v>408551</v>
      </c>
      <c r="AC25" s="1" t="n">
        <f aca="false">Z25-AB25</f>
        <v>0</v>
      </c>
    </row>
    <row r="26" customFormat="false" ht="12.75" hidden="false" customHeight="false" outlineLevel="0" collapsed="false">
      <c r="A26" s="1" t="s">
        <v>32</v>
      </c>
      <c r="F26" s="31"/>
      <c r="L26" s="1" t="n">
        <v>69419</v>
      </c>
      <c r="M26" s="1" t="n">
        <v>190571</v>
      </c>
      <c r="N26" s="1" t="n">
        <v>0</v>
      </c>
      <c r="O26" s="1" t="n">
        <v>264856</v>
      </c>
      <c r="P26" s="1" t="n">
        <v>0</v>
      </c>
      <c r="Q26" s="1" t="n">
        <v>38192</v>
      </c>
      <c r="R26" s="1" t="n">
        <v>20092</v>
      </c>
      <c r="S26" s="1" t="n">
        <v>0</v>
      </c>
      <c r="T26" s="1" t="n">
        <v>0</v>
      </c>
      <c r="Z26" s="16" t="n">
        <f aca="false">SUM(C26:Y26)</f>
        <v>583130</v>
      </c>
      <c r="AA26" s="23" t="str">
        <f aca="false">AA25</f>
        <v>Ben Jacoby</v>
      </c>
    </row>
    <row r="27" customFormat="false" ht="12.75" hidden="false" customHeight="false" outlineLevel="0" collapsed="false">
      <c r="A27" s="1" t="s">
        <v>33</v>
      </c>
      <c r="F27" s="32"/>
      <c r="Q27" s="1" t="n">
        <v>20486</v>
      </c>
      <c r="R27" s="1" t="n">
        <v>0</v>
      </c>
      <c r="S27" s="1" t="n">
        <v>125000</v>
      </c>
      <c r="T27" s="1" t="n">
        <v>350000</v>
      </c>
      <c r="U27" s="1" t="n">
        <v>375000</v>
      </c>
      <c r="V27" s="1" t="n">
        <f aca="false">104514+125000</f>
        <v>229514</v>
      </c>
      <c r="Z27" s="16" t="n">
        <f aca="false">SUM(C27:Y27)</f>
        <v>1100000</v>
      </c>
      <c r="AA27" s="23" t="s">
        <v>34</v>
      </c>
      <c r="AB27" s="1" t="n">
        <f aca="false">[1]Gleason!$BT$220</f>
        <v>1100000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90</v>
      </c>
      <c r="F28" s="32"/>
      <c r="N28" s="1" t="n">
        <v>18018</v>
      </c>
      <c r="P28" s="1" t="n">
        <v>7500</v>
      </c>
      <c r="R28" s="1" t="n">
        <v>0</v>
      </c>
      <c r="T28" s="1" t="n">
        <v>1500000</v>
      </c>
      <c r="V28" s="1" t="n">
        <f aca="false">2148964+190117+25518</f>
        <v>2364599</v>
      </c>
      <c r="Z28" s="16" t="n">
        <f aca="false">SUM(C28:Y28)</f>
        <v>3890117</v>
      </c>
      <c r="AA28" s="23"/>
      <c r="AB28" s="1" t="n">
        <f aca="false">[1]Gleason!$BT$218</f>
        <v>3890117</v>
      </c>
      <c r="AC28" s="1" t="n">
        <f aca="false">Z28-AB28</f>
        <v>0</v>
      </c>
    </row>
    <row r="29" customFormat="false" ht="12.75" hidden="false" customHeight="false" outlineLevel="0" collapsed="false">
      <c r="A29" s="1" t="s">
        <v>36</v>
      </c>
      <c r="F29" s="32"/>
      <c r="T29" s="1" t="n">
        <v>0</v>
      </c>
      <c r="U29" s="1" t="n">
        <v>250000</v>
      </c>
      <c r="V29" s="1" t="n">
        <v>250000</v>
      </c>
      <c r="Z29" s="16" t="n">
        <f aca="false">SUM(C29:Y29)</f>
        <v>500000</v>
      </c>
      <c r="AA29" s="23" t="str">
        <f aca="false">AA22</f>
        <v>Kevin Presto</v>
      </c>
      <c r="AB29" s="1" t="n">
        <f aca="false">[1]Gleason!$BT$226</f>
        <v>500000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63</v>
      </c>
      <c r="F30" s="32"/>
      <c r="V30" s="1" t="n">
        <v>0</v>
      </c>
      <c r="Z30" s="16" t="n">
        <f aca="false">SUM(C30:Y30)</f>
        <v>0</v>
      </c>
      <c r="AA30" s="23" t="s">
        <v>64</v>
      </c>
      <c r="AB30" s="1" t="n">
        <v>0</v>
      </c>
      <c r="AC30" s="1" t="n">
        <f aca="false">Z30-AB30</f>
        <v>0</v>
      </c>
    </row>
    <row r="31" customFormat="false" ht="12.75" hidden="false" customHeight="false" outlineLevel="0" collapsed="false">
      <c r="A31" s="1" t="s">
        <v>38</v>
      </c>
      <c r="F31" s="32"/>
      <c r="N31" s="1" t="n">
        <v>0</v>
      </c>
      <c r="O31" s="1" t="n">
        <v>0</v>
      </c>
      <c r="P31" s="1" t="n">
        <v>200935</v>
      </c>
      <c r="Z31" s="16" t="n">
        <f aca="false">SUM(C31:Y31)</f>
        <v>200935</v>
      </c>
      <c r="AA31" s="23"/>
      <c r="AB31" s="1" t="n">
        <f aca="false">[1]Gleason!$BT$228</f>
        <v>200935.25</v>
      </c>
      <c r="AC31" s="1" t="n">
        <f aca="false">Z31-AB31</f>
        <v>-0.25</v>
      </c>
    </row>
    <row r="32" customFormat="false" ht="12.75" hidden="false" customHeight="false" outlineLevel="0" collapsed="false">
      <c r="A32" s="1" t="s">
        <v>39</v>
      </c>
      <c r="F32" s="15"/>
      <c r="G32" s="15"/>
      <c r="H32" s="15"/>
      <c r="I32" s="15"/>
      <c r="J32" s="15"/>
      <c r="K32" s="15"/>
      <c r="L32" s="15" t="n">
        <v>55021.05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1755</v>
      </c>
      <c r="R32" s="1" t="n">
        <v>0</v>
      </c>
      <c r="S32" s="1" t="n">
        <v>11111.1111111111</v>
      </c>
      <c r="T32" s="1" t="n">
        <v>11111.1111111111</v>
      </c>
      <c r="U32" s="1" t="n">
        <v>31111</v>
      </c>
      <c r="V32" s="1" t="n">
        <v>32312</v>
      </c>
      <c r="W32" s="1" t="n">
        <f aca="false">20595-66</f>
        <v>20529</v>
      </c>
      <c r="Z32" s="16" t="n">
        <f aca="false">SUM(C32:Y32)</f>
        <v>162950.272222222</v>
      </c>
      <c r="AA32" s="23"/>
    </row>
    <row r="33" customFormat="false" ht="12.75" hidden="false" customHeight="false" outlineLevel="0" collapsed="false">
      <c r="A33" s="1" t="s">
        <v>40</v>
      </c>
      <c r="F33" s="32"/>
      <c r="L33" s="1" t="n">
        <v>137763</v>
      </c>
      <c r="M33" s="1" t="n">
        <v>2411</v>
      </c>
      <c r="N33" s="1" t="n">
        <v>18874</v>
      </c>
      <c r="O33" s="1" t="n">
        <f aca="false">113219</f>
        <v>113219</v>
      </c>
      <c r="P33" s="1" t="n">
        <f aca="false">[1]Gleason!$AT$223</f>
        <v>0</v>
      </c>
      <c r="Q33" s="1" t="n">
        <v>80147</v>
      </c>
      <c r="R33" s="1" t="n">
        <v>29397</v>
      </c>
      <c r="S33" s="1" t="n">
        <v>35000</v>
      </c>
      <c r="T33" s="1" t="n">
        <v>35000</v>
      </c>
      <c r="U33" s="1" t="n">
        <v>35000</v>
      </c>
      <c r="V33" s="1" t="n">
        <f aca="false">140764-13593</f>
        <v>127171</v>
      </c>
      <c r="Z33" s="16" t="n">
        <f aca="false">SUM(C33:Y33)</f>
        <v>613982</v>
      </c>
      <c r="AA33" s="23"/>
    </row>
    <row r="34" customFormat="false" ht="12.75" hidden="false" customHeight="false" outlineLevel="0" collapsed="false">
      <c r="A34" s="1" t="s">
        <v>41</v>
      </c>
      <c r="L34" s="1" t="n">
        <v>14302</v>
      </c>
      <c r="M34" s="1" t="n">
        <v>13886</v>
      </c>
      <c r="N34" s="1" t="n">
        <v>27415</v>
      </c>
      <c r="O34" s="1" t="n">
        <v>13908</v>
      </c>
      <c r="P34" s="1" t="n">
        <f aca="false">[1]Gleason!$AT$229</f>
        <v>0</v>
      </c>
      <c r="Q34" s="1" t="n">
        <v>0</v>
      </c>
      <c r="R34" s="1" t="n">
        <v>0</v>
      </c>
      <c r="S34" s="1" t="n">
        <v>132585</v>
      </c>
      <c r="T34" s="1" t="n">
        <v>96092</v>
      </c>
      <c r="U34" s="1" t="n">
        <v>121058</v>
      </c>
      <c r="V34" s="1" t="n">
        <f aca="false">253000+994</f>
        <v>253994</v>
      </c>
      <c r="W34" s="1" t="n">
        <v>68298</v>
      </c>
      <c r="Z34" s="16" t="n">
        <f aca="false">SUM(C34:Y34)</f>
        <v>741538</v>
      </c>
      <c r="AA34" s="23"/>
    </row>
    <row r="35" customFormat="false" ht="12.75" hidden="false" customHeight="false" outlineLevel="0" collapsed="false">
      <c r="A35" s="1" t="s">
        <v>42</v>
      </c>
      <c r="C35" s="18" t="n">
        <f aca="false">SUM(C9:C34)</f>
        <v>0</v>
      </c>
      <c r="D35" s="18" t="n">
        <f aca="false">SUM(D9:D34)</f>
        <v>0</v>
      </c>
      <c r="E35" s="18" t="n">
        <f aca="false">SUM(E9:E34)</f>
        <v>0</v>
      </c>
      <c r="F35" s="18" t="n">
        <f aca="false">SUM(F9:F34)</f>
        <v>0</v>
      </c>
      <c r="G35" s="18" t="n">
        <f aca="false">SUM(G9:G34)</f>
        <v>0</v>
      </c>
      <c r="H35" s="18" t="n">
        <f aca="false">SUM(H9:H34)</f>
        <v>0</v>
      </c>
      <c r="I35" s="18" t="n">
        <f aca="false">SUM(I9:I34)</f>
        <v>0</v>
      </c>
      <c r="J35" s="18" t="n">
        <f aca="false">SUM(J9:J34)</f>
        <v>0</v>
      </c>
      <c r="K35" s="18" t="n">
        <f aca="false">SUM(K10:K34)</f>
        <v>0</v>
      </c>
      <c r="L35" s="18" t="n">
        <f aca="false">SUM(L10:L34)</f>
        <v>88847709.05</v>
      </c>
      <c r="M35" s="18" t="n">
        <f aca="false">SUM(M10:M34)</f>
        <v>206868</v>
      </c>
      <c r="N35" s="18" t="n">
        <f aca="false">SUM(N10:N34)</f>
        <v>1660822.33333333</v>
      </c>
      <c r="O35" s="18" t="n">
        <f aca="false">SUM(O10:O34)</f>
        <v>6962875.33333333</v>
      </c>
      <c r="P35" s="18" t="n">
        <f aca="false">SUM(P10:P34)</f>
        <v>2046386.63333333</v>
      </c>
      <c r="Q35" s="18" t="n">
        <f aca="false">SUM(Q10:Q34)</f>
        <v>7661034.63333333</v>
      </c>
      <c r="R35" s="18" t="n">
        <f aca="false">SUM(R10:R34)</f>
        <v>6937933.33333333</v>
      </c>
      <c r="S35" s="18" t="n">
        <f aca="false">SUM(S10:S34)</f>
        <v>11410949.6544444</v>
      </c>
      <c r="T35" s="18" t="n">
        <f aca="false">SUM(T10:T34)</f>
        <v>9653953.05944444</v>
      </c>
      <c r="U35" s="18" t="n">
        <f aca="false">SUM(U10:U34)</f>
        <v>7449014.51833334</v>
      </c>
      <c r="V35" s="18" t="n">
        <f aca="false">SUM(V10:V34)</f>
        <v>24469009.5633333</v>
      </c>
      <c r="W35" s="18" t="n">
        <f aca="false">SUM(W10:W34)</f>
        <v>-2500291</v>
      </c>
      <c r="X35" s="18" t="n">
        <f aca="false">SUM(X10:X34)</f>
        <v>0</v>
      </c>
      <c r="Y35" s="18" t="n">
        <f aca="false">SUM(Y10:Y34)</f>
        <v>0</v>
      </c>
      <c r="Z35" s="19" t="n">
        <f aca="false">SUM(C35:Y35)</f>
        <v>164806265.112222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0</v>
      </c>
      <c r="D36" s="18" t="n">
        <f aca="false">+D35</f>
        <v>0</v>
      </c>
      <c r="E36" s="18" t="n">
        <f aca="false">+E35</f>
        <v>0</v>
      </c>
      <c r="F36" s="18" t="n">
        <f aca="false">+F35</f>
        <v>0</v>
      </c>
      <c r="G36" s="18" t="n">
        <f aca="false">+G35</f>
        <v>0</v>
      </c>
      <c r="H36" s="18" t="n">
        <f aca="false">+H35</f>
        <v>0</v>
      </c>
      <c r="I36" s="18" t="n">
        <f aca="false">+I35</f>
        <v>0</v>
      </c>
      <c r="J36" s="18" t="n">
        <f aca="false">+J35</f>
        <v>0</v>
      </c>
      <c r="K36" s="18" t="n">
        <f aca="false">+K35</f>
        <v>0</v>
      </c>
      <c r="L36" s="18" t="n">
        <f aca="false">+K36+L35</f>
        <v>88847709.05</v>
      </c>
      <c r="M36" s="18" t="n">
        <f aca="false">+L36+M35</f>
        <v>89054577.05</v>
      </c>
      <c r="N36" s="18" t="n">
        <f aca="false">+M36+N35</f>
        <v>90715399.3833333</v>
      </c>
      <c r="O36" s="18" t="n">
        <f aca="false">+N36+O35</f>
        <v>97678274.7166667</v>
      </c>
      <c r="P36" s="18" t="n">
        <f aca="false">+O36+P35</f>
        <v>99724661.35</v>
      </c>
      <c r="Q36" s="18" t="n">
        <f aca="false">+P36+Q35</f>
        <v>107385695.983333</v>
      </c>
      <c r="R36" s="18" t="n">
        <f aca="false">+Q36+R35</f>
        <v>114323629.316667</v>
      </c>
      <c r="S36" s="18" t="n">
        <f aca="false">+R36+S35</f>
        <v>125734578.971111</v>
      </c>
      <c r="T36" s="18" t="n">
        <f aca="false">+S36+T35</f>
        <v>135388532.030556</v>
      </c>
      <c r="U36" s="18" t="n">
        <f aca="false">+T36+U35</f>
        <v>142837546.548889</v>
      </c>
      <c r="V36" s="18" t="n">
        <f aca="false">+U36+V35</f>
        <v>167306556.112222</v>
      </c>
      <c r="W36" s="18" t="n">
        <f aca="false">+V36+W35</f>
        <v>164806265.112222</v>
      </c>
      <c r="X36" s="18" t="n">
        <f aca="false">+W36+X35</f>
        <v>164806265.112222</v>
      </c>
      <c r="Y36" s="18" t="n">
        <f aca="false">+X36+Y35</f>
        <v>164806265.112222</v>
      </c>
      <c r="Z36" s="16"/>
    </row>
    <row r="37" customFormat="false" ht="12.75" hidden="false" customHeight="false" outlineLevel="0" collapsed="false">
      <c r="A37" s="1" t="s">
        <v>44</v>
      </c>
      <c r="D37" s="2"/>
      <c r="E37" s="2"/>
      <c r="F37" s="2"/>
      <c r="G37" s="2"/>
      <c r="H37" s="2"/>
      <c r="I37" s="2"/>
      <c r="J37" s="2"/>
      <c r="K37" s="2"/>
      <c r="L37" s="2"/>
      <c r="Z37" s="21" t="n">
        <f aca="false">+Z35/C54/1000</f>
        <v>323.14953943573</v>
      </c>
    </row>
    <row r="38" customFormat="false" ht="12.75" hidden="false" customHeight="false" outlineLevel="0" collapsed="false">
      <c r="D38" s="2"/>
      <c r="E38" s="2"/>
      <c r="F38" s="2"/>
      <c r="G38" s="2"/>
      <c r="H38" s="2"/>
      <c r="I38" s="2"/>
      <c r="J38" s="2"/>
      <c r="K38" s="2"/>
      <c r="L38" s="2"/>
      <c r="Z38" s="21"/>
    </row>
    <row r="39" customFormat="false" ht="12.75" hidden="false" customHeight="false" outlineLevel="0" collapsed="false">
      <c r="A39" s="1" t="s">
        <v>91</v>
      </c>
      <c r="D39" s="2"/>
      <c r="E39" s="2"/>
      <c r="F39" s="2"/>
      <c r="G39" s="2"/>
      <c r="H39" s="2"/>
      <c r="I39" s="2"/>
      <c r="J39" s="2"/>
      <c r="K39" s="2"/>
      <c r="L39" s="2"/>
      <c r="M39" s="1" t="n">
        <v>-6077</v>
      </c>
      <c r="Z39" s="16" t="n">
        <f aca="false">SUM(C39:Y39)</f>
        <v>-6077</v>
      </c>
      <c r="AA39" s="17" t="s">
        <v>47</v>
      </c>
    </row>
    <row r="40" customFormat="false" ht="12.75" hidden="false" customHeight="false" outlineLevel="0" collapsed="false">
      <c r="A40" s="1" t="s">
        <v>45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f aca="false">4326863</f>
        <v>4326863</v>
      </c>
      <c r="M40" s="15" t="n">
        <v>505668.93</v>
      </c>
      <c r="N40" s="15" t="n">
        <v>517447.922676389</v>
      </c>
      <c r="O40" s="15" t="n">
        <v>557933.423229775</v>
      </c>
      <c r="P40" s="15" t="n">
        <v>574337.945273658</v>
      </c>
      <c r="Q40" s="15" t="n">
        <v>616751.796941113</v>
      </c>
      <c r="R40" s="15" t="n">
        <f aca="false">(R36+Q45)*$C52/12</f>
        <v>657673.008063433</v>
      </c>
      <c r="S40" s="15" t="n">
        <f aca="false">(S36+R45)*$C52/12</f>
        <v>723044.714152017</v>
      </c>
      <c r="T40" s="15" t="n">
        <f aca="false">(T36+S45)*$C52/12</f>
        <v>779253.452092331</v>
      </c>
      <c r="U40" s="15" t="n">
        <f aca="false">(U36+T45)*$C52/12</f>
        <v>823823.236932137</v>
      </c>
      <c r="V40" s="15" t="n">
        <f aca="false">(V36+U45)*$C52/12-5719</f>
        <v>955107.081266908</v>
      </c>
      <c r="W40" s="15"/>
      <c r="X40" s="15"/>
      <c r="Y40" s="15"/>
      <c r="Z40" s="16" t="n">
        <f aca="false">SUM(C40:Y40)</f>
        <v>11037904.5106278</v>
      </c>
      <c r="AA40" s="17" t="str">
        <f aca="false">AA55</f>
        <v>Rodney Malcolm</v>
      </c>
    </row>
    <row r="41" customFormat="false" ht="12.75" hidden="false" customHeight="false" outlineLevel="0" collapsed="false">
      <c r="A41" s="1" t="s">
        <v>92</v>
      </c>
      <c r="D41" s="2"/>
      <c r="E41" s="2"/>
      <c r="F41" s="2"/>
      <c r="G41" s="2"/>
      <c r="H41" s="2"/>
      <c r="I41" s="2"/>
      <c r="J41" s="2"/>
      <c r="K41" s="2"/>
      <c r="L41" s="2"/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5"/>
      <c r="X41" s="15"/>
      <c r="Y41" s="15"/>
      <c r="Z41" s="16" t="n">
        <f aca="false">SUM(C41:Y41)</f>
        <v>0</v>
      </c>
      <c r="AA41" s="17" t="str">
        <f aca="false">AA40</f>
        <v>Rodney Malcolm</v>
      </c>
    </row>
    <row r="42" customFormat="false" ht="12.75" hidden="false" customHeight="false" outlineLevel="0" collapsed="false">
      <c r="A42" s="1" t="s">
        <v>46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Z42" s="16" t="n">
        <f aca="false">SUM(C42:Y42)</f>
        <v>0</v>
      </c>
      <c r="AA42" s="17" t="s">
        <v>47</v>
      </c>
    </row>
    <row r="43" customFormat="false" ht="12.75" hidden="false" customHeight="false" outlineLevel="0" collapsed="false">
      <c r="A43" s="1" t="s">
        <v>93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V43" s="1" t="n">
        <v>0</v>
      </c>
      <c r="Z43" s="16" t="n">
        <f aca="false">SUM(C43:Y43)</f>
        <v>0</v>
      </c>
      <c r="AA43" s="17" t="str">
        <f aca="false">AA26</f>
        <v>Ben Jacoby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0</v>
      </c>
      <c r="D44" s="18" t="n">
        <f aca="false">SUM(D39:D43)</f>
        <v>0</v>
      </c>
      <c r="E44" s="18" t="n">
        <f aca="false">SUM(E39:E43)</f>
        <v>0</v>
      </c>
      <c r="F44" s="18" t="n">
        <f aca="false">SUM(F39:F43)</f>
        <v>0</v>
      </c>
      <c r="G44" s="18" t="n">
        <f aca="false">SUM(G39:G43)</f>
        <v>0</v>
      </c>
      <c r="H44" s="18" t="n">
        <f aca="false">SUM(H39:H43)</f>
        <v>0</v>
      </c>
      <c r="I44" s="18" t="n">
        <f aca="false">SUM(I39:I43)</f>
        <v>0</v>
      </c>
      <c r="J44" s="18" t="n">
        <f aca="false">SUM(J39:J43)</f>
        <v>0</v>
      </c>
      <c r="K44" s="18" t="n">
        <f aca="false">SUM(K39:K43)</f>
        <v>0</v>
      </c>
      <c r="L44" s="18" t="n">
        <f aca="false">SUM(L39:L43)</f>
        <v>4326863</v>
      </c>
      <c r="M44" s="18" t="n">
        <f aca="false">SUM(M39:M43)</f>
        <v>499591.93</v>
      </c>
      <c r="N44" s="18" t="n">
        <f aca="false">SUM(N39:N43)</f>
        <v>517447.922676389</v>
      </c>
      <c r="O44" s="18" t="n">
        <f aca="false">SUM(O39:O43)</f>
        <v>557933.423229775</v>
      </c>
      <c r="P44" s="18" t="n">
        <f aca="false">SUM(P39:P43)</f>
        <v>574337.945273658</v>
      </c>
      <c r="Q44" s="18" t="n">
        <f aca="false">SUM(Q39:Q43)</f>
        <v>616751.796941113</v>
      </c>
      <c r="R44" s="18" t="n">
        <f aca="false">SUM(R39:R43)</f>
        <v>657673.008063433</v>
      </c>
      <c r="S44" s="18" t="n">
        <f aca="false">SUM(S39:S43)</f>
        <v>723044.714152017</v>
      </c>
      <c r="T44" s="18" t="n">
        <f aca="false">SUM(T39:T43)</f>
        <v>779253.452092331</v>
      </c>
      <c r="U44" s="18" t="n">
        <f aca="false">SUM(U39:U43)</f>
        <v>823823.236932137</v>
      </c>
      <c r="V44" s="18" t="n">
        <f aca="false">SUM(V39:V43)</f>
        <v>955107.081266908</v>
      </c>
      <c r="W44" s="18" t="n">
        <f aca="false">SUM(W39:W43)</f>
        <v>0</v>
      </c>
      <c r="X44" s="18" t="n">
        <f aca="false">SUM(X39:X43)</f>
        <v>0</v>
      </c>
      <c r="Y44" s="18" t="n">
        <f aca="false">SUM(Y39:Y43)</f>
        <v>0</v>
      </c>
      <c r="Z44" s="19" t="n">
        <f aca="false">SUM(C44:Y44)</f>
        <v>11031827.5106278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0</v>
      </c>
      <c r="D45" s="18" t="n">
        <f aca="false">+D44</f>
        <v>0</v>
      </c>
      <c r="E45" s="18" t="n">
        <f aca="false">+E44</f>
        <v>0</v>
      </c>
      <c r="F45" s="18" t="n">
        <f aca="false">+F44</f>
        <v>0</v>
      </c>
      <c r="G45" s="18" t="n">
        <f aca="false">+G44</f>
        <v>0</v>
      </c>
      <c r="H45" s="18" t="n">
        <f aca="false">+H44</f>
        <v>0</v>
      </c>
      <c r="I45" s="18" t="n">
        <f aca="false">+I44</f>
        <v>0</v>
      </c>
      <c r="J45" s="18" t="n">
        <f aca="false">+J44</f>
        <v>0</v>
      </c>
      <c r="K45" s="18" t="n">
        <f aca="false">+K44</f>
        <v>0</v>
      </c>
      <c r="L45" s="18" t="n">
        <f aca="false">+L44</f>
        <v>4326863</v>
      </c>
      <c r="M45" s="18" t="n">
        <f aca="false">L45+M44</f>
        <v>4826454.93</v>
      </c>
      <c r="N45" s="18" t="n">
        <f aca="false">M45+N44</f>
        <v>5343902.85267639</v>
      </c>
      <c r="O45" s="18" t="n">
        <f aca="false">N45+O44</f>
        <v>5901836.27590616</v>
      </c>
      <c r="P45" s="18" t="n">
        <f aca="false">O45+P44</f>
        <v>6476174.22117982</v>
      </c>
      <c r="Q45" s="18" t="n">
        <f aca="false">P45+Q44</f>
        <v>7092926.01812093</v>
      </c>
      <c r="R45" s="18" t="n">
        <f aca="false">Q45+R44</f>
        <v>7750599.02618437</v>
      </c>
      <c r="S45" s="18" t="n">
        <f aca="false">R45+S44</f>
        <v>8473643.74033639</v>
      </c>
      <c r="T45" s="18" t="n">
        <f aca="false">S45+T44</f>
        <v>9252897.19242872</v>
      </c>
      <c r="U45" s="18" t="n">
        <f aca="false">T45+U44</f>
        <v>10076720.4293609</v>
      </c>
      <c r="V45" s="18" t="n">
        <f aca="false">U45+V44</f>
        <v>11031827.5106278</v>
      </c>
      <c r="W45" s="18" t="n">
        <f aca="false">V45+W44</f>
        <v>11031827.5106278</v>
      </c>
      <c r="X45" s="18" t="n">
        <f aca="false">W45+X44</f>
        <v>11031827.5106278</v>
      </c>
      <c r="Y45" s="18" t="n">
        <f aca="false">X45+Y44</f>
        <v>11031827.5106278</v>
      </c>
      <c r="Z45" s="16"/>
    </row>
    <row r="46" customFormat="false" ht="12.75" hidden="false" customHeight="false" outlineLevel="0" collapsed="false">
      <c r="D46" s="2"/>
      <c r="E46" s="2"/>
      <c r="F46" s="2"/>
      <c r="G46" s="2"/>
      <c r="H46" s="2"/>
      <c r="I46" s="2"/>
      <c r="J46" s="2"/>
      <c r="K46" s="2"/>
      <c r="L46" s="2"/>
      <c r="Z46" s="16"/>
    </row>
    <row r="47" customFormat="false" ht="12.75" hidden="false" customHeight="false" outlineLevel="0" collapsed="false">
      <c r="A47" s="2" t="s">
        <v>65</v>
      </c>
      <c r="B47" s="2"/>
      <c r="C47" s="2" t="n">
        <f aca="false">+C35+C44</f>
        <v>0</v>
      </c>
      <c r="D47" s="2" t="n">
        <f aca="false">+D35+D44</f>
        <v>0</v>
      </c>
      <c r="E47" s="2" t="n">
        <f aca="false">+E35+E44</f>
        <v>0</v>
      </c>
      <c r="F47" s="2" t="n">
        <f aca="false">+F35+F44</f>
        <v>0</v>
      </c>
      <c r="G47" s="2" t="n">
        <f aca="false">+G35+G44</f>
        <v>0</v>
      </c>
      <c r="H47" s="2" t="n">
        <f aca="false">+H35+H44</f>
        <v>0</v>
      </c>
      <c r="I47" s="2" t="n">
        <f aca="false">+I35+I44</f>
        <v>0</v>
      </c>
      <c r="J47" s="2" t="n">
        <f aca="false">+J35+J44</f>
        <v>0</v>
      </c>
      <c r="K47" s="2" t="n">
        <f aca="false">+K35+K44</f>
        <v>0</v>
      </c>
      <c r="L47" s="2" t="n">
        <f aca="false">+L35+L44</f>
        <v>93174572.05</v>
      </c>
      <c r="M47" s="2" t="n">
        <f aca="false">+M35+M44</f>
        <v>706459.93</v>
      </c>
      <c r="N47" s="2" t="n">
        <f aca="false">+N35+N44</f>
        <v>2178270.25600972</v>
      </c>
      <c r="O47" s="2" t="n">
        <f aca="false">+O35+O44</f>
        <v>7520808.75656311</v>
      </c>
      <c r="P47" s="2" t="n">
        <f aca="false">+P35+P44</f>
        <v>2620724.57860699</v>
      </c>
      <c r="Q47" s="2" t="n">
        <f aca="false">+Q35+Q44</f>
        <v>8277786.43027445</v>
      </c>
      <c r="R47" s="2" t="n">
        <f aca="false">+R35+R44</f>
        <v>7595606.34139677</v>
      </c>
      <c r="S47" s="2" t="n">
        <f aca="false">+S35+S44</f>
        <v>12133994.3685965</v>
      </c>
      <c r="T47" s="2" t="n">
        <f aca="false">+T35+T44</f>
        <v>10433206.5115368</v>
      </c>
      <c r="U47" s="2" t="n">
        <f aca="false">+U35+U44</f>
        <v>8272837.75526547</v>
      </c>
      <c r="V47" s="2" t="n">
        <f aca="false">+V35+V44</f>
        <v>25424116.6446002</v>
      </c>
      <c r="W47" s="2" t="n">
        <f aca="false">+W35+W44</f>
        <v>-2500291</v>
      </c>
      <c r="X47" s="2" t="n">
        <f aca="false">+X35+X44</f>
        <v>0</v>
      </c>
      <c r="Y47" s="2" t="n">
        <f aca="false">+Y35+Y44</f>
        <v>0</v>
      </c>
      <c r="Z47" s="16" t="n">
        <f aca="false">SUM(C47:W47)</f>
        <v>175838092.62285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0</v>
      </c>
      <c r="D48" s="2" t="n">
        <f aca="false">D47</f>
        <v>0</v>
      </c>
      <c r="E48" s="2" t="n">
        <f aca="false">E47</f>
        <v>0</v>
      </c>
      <c r="F48" s="2" t="n">
        <f aca="false">F47</f>
        <v>0</v>
      </c>
      <c r="G48" s="2" t="n">
        <f aca="false">G47</f>
        <v>0</v>
      </c>
      <c r="H48" s="2" t="n">
        <f aca="false">H47</f>
        <v>0</v>
      </c>
      <c r="I48" s="2" t="n">
        <f aca="false">I47</f>
        <v>0</v>
      </c>
      <c r="J48" s="2" t="n">
        <f aca="false">J47</f>
        <v>0</v>
      </c>
      <c r="K48" s="2" t="n">
        <f aca="false">K47</f>
        <v>0</v>
      </c>
      <c r="L48" s="2" t="n">
        <f aca="false">L47</f>
        <v>93174572.05</v>
      </c>
      <c r="M48" s="2" t="n">
        <f aca="false">M47+L48</f>
        <v>93881031.98</v>
      </c>
      <c r="N48" s="2" t="n">
        <f aca="false">N47+M48</f>
        <v>96059302.2360097</v>
      </c>
      <c r="O48" s="2" t="n">
        <f aca="false">O47+N48</f>
        <v>103580110.992573</v>
      </c>
      <c r="P48" s="2" t="n">
        <f aca="false">P47+O48</f>
        <v>106200835.57118</v>
      </c>
      <c r="Q48" s="2" t="n">
        <f aca="false">Q47+P48</f>
        <v>114478622.001454</v>
      </c>
      <c r="R48" s="2" t="n">
        <f aca="false">R47+Q48</f>
        <v>122074228.342851</v>
      </c>
      <c r="S48" s="2" t="n">
        <f aca="false">S47+R48</f>
        <v>134208222.711448</v>
      </c>
      <c r="T48" s="2" t="n">
        <f aca="false">T47+S48</f>
        <v>144641429.222984</v>
      </c>
      <c r="U48" s="2" t="n">
        <f aca="false">U47+T48</f>
        <v>152914266.97825</v>
      </c>
      <c r="V48" s="2" t="n">
        <f aca="false">V47+U48</f>
        <v>178338383.62285</v>
      </c>
      <c r="W48" s="2" t="n">
        <f aca="false">W47+V48</f>
        <v>175838092.62285</v>
      </c>
      <c r="X48" s="2" t="n">
        <f aca="false">X47+W48</f>
        <v>175838092.62285</v>
      </c>
      <c r="Y48" s="2" t="n">
        <f aca="false">Y47+X48</f>
        <v>175838092.62285</v>
      </c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1" t="n">
        <f aca="false">+Z47/C54/1000</f>
        <v>344.780573770294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94</v>
      </c>
      <c r="B52" s="2"/>
      <c r="C52" s="8" t="n">
        <v>0.065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5" t="s">
        <v>95</v>
      </c>
      <c r="B53" s="2"/>
      <c r="C53" s="8" t="n">
        <v>0.0035</v>
      </c>
      <c r="D53" s="33" t="n">
        <v>174500000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44</v>
      </c>
      <c r="B54" s="2"/>
      <c r="C54" s="2" t="n">
        <v>510</v>
      </c>
      <c r="D54" s="2" t="s">
        <v>54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6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55</v>
      </c>
      <c r="C55" s="2" t="n">
        <v>0</v>
      </c>
      <c r="V55" s="1" t="n">
        <v>0</v>
      </c>
      <c r="W55" s="1" t="n">
        <v>0</v>
      </c>
      <c r="Z55" s="22" t="n">
        <f aca="false">SUM(C55:V55)</f>
        <v>0</v>
      </c>
      <c r="AA55" s="17" t="str">
        <f aca="false">AA42</f>
        <v>Rodney Malcolm</v>
      </c>
    </row>
    <row r="56" customFormat="false" ht="12.75" hidden="false" customHeight="false" outlineLevel="0" collapsed="false">
      <c r="A56" s="15"/>
      <c r="B56" s="2"/>
      <c r="C56" s="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" t="s">
        <v>56</v>
      </c>
      <c r="C57" s="2" t="n">
        <f aca="false">+C47-C40</f>
        <v>0</v>
      </c>
      <c r="D57" s="2" t="n">
        <f aca="false">+D47-D40</f>
        <v>0</v>
      </c>
      <c r="E57" s="2" t="n">
        <f aca="false">+E47-E40</f>
        <v>0</v>
      </c>
      <c r="F57" s="2" t="n">
        <f aca="false">+F47-F40</f>
        <v>0</v>
      </c>
      <c r="G57" s="2" t="n">
        <f aca="false">+G47-G40</f>
        <v>0</v>
      </c>
      <c r="H57" s="2" t="n">
        <f aca="false">+H47-H40</f>
        <v>0</v>
      </c>
      <c r="I57" s="2" t="n">
        <f aca="false">+I47-I40</f>
        <v>0</v>
      </c>
      <c r="J57" s="2" t="n">
        <f aca="false">+J47-J40</f>
        <v>0</v>
      </c>
      <c r="K57" s="2" t="n">
        <f aca="false">+K47-K40</f>
        <v>0</v>
      </c>
      <c r="L57" s="2"/>
      <c r="M57" s="2" t="n">
        <f aca="false">+M47-M40</f>
        <v>200791</v>
      </c>
      <c r="N57" s="2" t="n">
        <f aca="false">+N47-N40</f>
        <v>1660822.33333333</v>
      </c>
      <c r="O57" s="2" t="n">
        <f aca="false">+O47-O40</f>
        <v>6962875.33333333</v>
      </c>
      <c r="P57" s="2" t="n">
        <f aca="false">+P47-P40</f>
        <v>2046386.63333333</v>
      </c>
      <c r="Q57" s="2" t="n">
        <f aca="false">+Q47-Q40</f>
        <v>7661034.63333333</v>
      </c>
      <c r="R57" s="2" t="n">
        <f aca="false">+R47-R40</f>
        <v>6937933.33333333</v>
      </c>
      <c r="S57" s="2" t="n">
        <f aca="false">+S47-S40</f>
        <v>11410949.6544444</v>
      </c>
      <c r="T57" s="2" t="n">
        <f aca="false">+T47-T40</f>
        <v>9653953.05944444</v>
      </c>
      <c r="U57" s="2" t="n">
        <f aca="false">+U47-U40</f>
        <v>7449014.51833334</v>
      </c>
      <c r="V57" s="2" t="n">
        <f aca="false">+V47-V40</f>
        <v>24469009.5633333</v>
      </c>
      <c r="W57" s="2" t="n">
        <f aca="false">+W47-W40</f>
        <v>-2500291</v>
      </c>
      <c r="X57" s="2" t="n">
        <f aca="false">+X47-X40</f>
        <v>0</v>
      </c>
      <c r="Y57" s="2" t="n">
        <f aca="false">+Y47-Y40</f>
        <v>0</v>
      </c>
      <c r="Z57" s="16" t="n">
        <f aca="false">SUM(C57:Y57)</f>
        <v>75952479.0622222</v>
      </c>
    </row>
    <row r="58" customFormat="false" ht="12.75" hidden="false" customHeight="false" outlineLevel="0" collapsed="false">
      <c r="Z58" s="16"/>
    </row>
    <row r="59" customFormat="false" ht="12.75" hidden="false" customHeight="false" outlineLevel="0" collapsed="false">
      <c r="Z59" s="16"/>
    </row>
    <row r="60" customFormat="false" ht="20.25" hidden="false" customHeight="false" outlineLevel="0" collapsed="false">
      <c r="A60" s="24" t="s">
        <v>80</v>
      </c>
      <c r="Z60" s="16"/>
    </row>
    <row r="61" customFormat="false" ht="12.75" hidden="false" customHeight="false" outlineLevel="0" collapsed="false">
      <c r="A61" s="2" t="s">
        <v>119</v>
      </c>
      <c r="Z61" s="16"/>
    </row>
    <row r="62" customFormat="false" ht="12.75" hidden="false" customHeight="false" outlineLevel="0" collapsed="false">
      <c r="A62" s="40" t="s">
        <v>120</v>
      </c>
      <c r="B62" s="41"/>
      <c r="H62" s="1" t="n">
        <f aca="false">135487+48439.18</f>
        <v>183926.18</v>
      </c>
      <c r="I62" s="1" t="n">
        <v>0</v>
      </c>
      <c r="J62" s="1" t="n">
        <v>2645</v>
      </c>
      <c r="K62" s="1" t="n">
        <v>0</v>
      </c>
      <c r="L62" s="1" t="n">
        <f aca="false">-SUM(G62:K62)-M62</f>
        <v>-194774.18</v>
      </c>
      <c r="M62" s="1" t="n">
        <v>8203</v>
      </c>
      <c r="Q62" s="1" t="n">
        <v>0</v>
      </c>
      <c r="R62" s="1" t="n">
        <v>0</v>
      </c>
      <c r="V62" s="1" t="n">
        <v>0</v>
      </c>
      <c r="Z62" s="16" t="n">
        <f aca="false">SUM(C62:Y62)</f>
        <v>0</v>
      </c>
      <c r="AA62" s="40" t="s">
        <v>120</v>
      </c>
      <c r="AC62" s="1" t="n">
        <f aca="false">Z62+Z26</f>
        <v>583130</v>
      </c>
      <c r="AD62" s="1" t="n">
        <f aca="false">[1]Gleason!$BT$195</f>
        <v>583130.26</v>
      </c>
      <c r="AE62" s="1" t="n">
        <f aca="false">AC62-AD62</f>
        <v>-0.260000000009313</v>
      </c>
    </row>
    <row r="63" customFormat="false" ht="12.75" hidden="false" customHeight="false" outlineLevel="0" collapsed="false">
      <c r="A63" s="40" t="s">
        <v>121</v>
      </c>
      <c r="B63" s="41"/>
      <c r="E63" s="1" t="n">
        <v>0</v>
      </c>
      <c r="F63" s="1" t="n">
        <v>3543</v>
      </c>
      <c r="H63" s="1" t="n">
        <v>2193</v>
      </c>
      <c r="I63" s="1" t="n">
        <v>0</v>
      </c>
      <c r="K63" s="1" t="n">
        <v>0</v>
      </c>
      <c r="L63" s="1" t="n">
        <f aca="false">-SUM(G63:K63)</f>
        <v>-2193</v>
      </c>
      <c r="V63" s="1" t="n">
        <v>7127</v>
      </c>
      <c r="Z63" s="16" t="n">
        <f aca="false">SUM(C63:Y63)</f>
        <v>10670</v>
      </c>
      <c r="AA63" s="40" t="s">
        <v>121</v>
      </c>
      <c r="AC63" s="1" t="n">
        <f aca="false">Z63+Z34</f>
        <v>752208</v>
      </c>
      <c r="AD63" s="1" t="n">
        <f aca="false">[1]Gleason!$BT$245</f>
        <v>752208.46</v>
      </c>
      <c r="AE63" s="1" t="n">
        <f aca="false">AC63-AD63</f>
        <v>-0.459999999962747</v>
      </c>
    </row>
    <row r="64" customFormat="false" ht="12.75" hidden="false" customHeight="false" outlineLevel="0" collapsed="false">
      <c r="A64" s="40" t="s">
        <v>122</v>
      </c>
      <c r="B64" s="41"/>
      <c r="D64" s="1" t="n">
        <v>0</v>
      </c>
      <c r="I64" s="1" t="n">
        <v>0</v>
      </c>
      <c r="K64" s="1" t="n">
        <v>0</v>
      </c>
      <c r="L64" s="1" t="n">
        <f aca="false">-SUM(G64:K64)</f>
        <v>-0</v>
      </c>
      <c r="Z64" s="16" t="n">
        <f aca="false">SUM(C64:Y64)</f>
        <v>0</v>
      </c>
      <c r="AA64" s="40" t="s">
        <v>122</v>
      </c>
      <c r="AC64" s="1" t="n">
        <f aca="false">Z64</f>
        <v>0</v>
      </c>
      <c r="AD64" s="1" t="n">
        <v>0</v>
      </c>
      <c r="AE64" s="1" t="n">
        <f aca="false">AC64-AD64</f>
        <v>0</v>
      </c>
    </row>
    <row r="65" customFormat="false" ht="12.75" hidden="false" customHeight="false" outlineLevel="0" collapsed="false">
      <c r="A65" s="40" t="s">
        <v>123</v>
      </c>
      <c r="B65" s="41"/>
      <c r="C65" s="2" t="n">
        <v>0</v>
      </c>
      <c r="D65" s="1" t="n">
        <v>0</v>
      </c>
      <c r="E65" s="1" t="n">
        <v>5000</v>
      </c>
      <c r="F65" s="1" t="n">
        <f aca="false">716+188</f>
        <v>904</v>
      </c>
      <c r="G65" s="1" t="n">
        <v>7490.5</v>
      </c>
      <c r="H65" s="1" t="n">
        <v>2410.51</v>
      </c>
      <c r="I65" s="1" t="n">
        <v>0</v>
      </c>
      <c r="L65" s="1" t="n">
        <f aca="false">-SUM(G65:K65)</f>
        <v>-9901.01</v>
      </c>
      <c r="V65" s="1" t="n">
        <v>67969</v>
      </c>
      <c r="Z65" s="16" t="n">
        <f aca="false">SUM(C65:Y65)</f>
        <v>73873</v>
      </c>
      <c r="AA65" s="40" t="s">
        <v>123</v>
      </c>
      <c r="AC65" s="1" t="n">
        <f aca="false">Z65+Z33</f>
        <v>687855</v>
      </c>
      <c r="AD65" s="1" t="n">
        <f aca="false">[1]Gleason!$BT$239</f>
        <v>687854.57</v>
      </c>
      <c r="AE65" s="1" t="n">
        <f aca="false">AC65-AD65</f>
        <v>0.429999999934807</v>
      </c>
    </row>
    <row r="66" customFormat="false" ht="12.75" hidden="false" customHeight="false" outlineLevel="0" collapsed="false">
      <c r="A66" s="40" t="s">
        <v>39</v>
      </c>
      <c r="B66" s="41"/>
      <c r="F66" s="1" t="n">
        <v>11817</v>
      </c>
      <c r="G66" s="1" t="n">
        <v>1079</v>
      </c>
      <c r="H66" s="1" t="n">
        <f aca="false">862+910.57</f>
        <v>1772.57</v>
      </c>
      <c r="I66" s="1" t="n">
        <v>0</v>
      </c>
      <c r="K66" s="1" t="n">
        <v>0</v>
      </c>
      <c r="L66" s="1" t="n">
        <f aca="false">-SUM(G66:K66)+1362.81</f>
        <v>-1488.76</v>
      </c>
      <c r="V66" s="1" t="n">
        <v>23870</v>
      </c>
      <c r="Z66" s="16" t="n">
        <f aca="false">SUM(C66:Y66)</f>
        <v>37049.81</v>
      </c>
      <c r="AA66" s="40" t="s">
        <v>39</v>
      </c>
      <c r="AC66" s="1" t="n">
        <f aca="false">Z66+Z32</f>
        <v>200000.082222222</v>
      </c>
      <c r="AD66" s="1" t="n">
        <f aca="false">[1]Gleason!$BT$230</f>
        <v>200000</v>
      </c>
      <c r="AE66" s="1" t="n">
        <f aca="false">AC66-AD66</f>
        <v>0.0822222222341225</v>
      </c>
    </row>
    <row r="67" customFormat="false" ht="12.75" hidden="false" customHeight="false" outlineLevel="0" collapsed="false">
      <c r="A67" s="2" t="s">
        <v>124</v>
      </c>
      <c r="C67" s="18" t="n">
        <f aca="false">SUM(C62:C66)</f>
        <v>0</v>
      </c>
      <c r="D67" s="18" t="n">
        <f aca="false">SUM(D62:D66)</f>
        <v>0</v>
      </c>
      <c r="E67" s="18" t="n">
        <f aca="false">SUM(E62:E66)</f>
        <v>5000</v>
      </c>
      <c r="F67" s="18" t="n">
        <f aca="false">SUM(F62:F66)</f>
        <v>16264</v>
      </c>
      <c r="G67" s="18" t="n">
        <f aca="false">SUM(G62:G66)</f>
        <v>8569.5</v>
      </c>
      <c r="H67" s="18" t="n">
        <f aca="false">SUM(H62:H66)</f>
        <v>190302.26</v>
      </c>
      <c r="I67" s="18" t="n">
        <f aca="false">SUM(I62:I66)</f>
        <v>0</v>
      </c>
      <c r="J67" s="18" t="n">
        <f aca="false">SUM(J62:J66)</f>
        <v>2645</v>
      </c>
      <c r="K67" s="18" t="n">
        <f aca="false">SUM(K62:K66)</f>
        <v>0</v>
      </c>
      <c r="L67" s="18" t="n">
        <f aca="false">SUM(L62:L66)</f>
        <v>-208356.95</v>
      </c>
      <c r="M67" s="18" t="n">
        <f aca="false">SUM(M62:M66)</f>
        <v>8203</v>
      </c>
      <c r="N67" s="18" t="n">
        <f aca="false">SUM(N62:N66)</f>
        <v>0</v>
      </c>
      <c r="O67" s="18" t="n">
        <f aca="false">SUM(O62:O66)</f>
        <v>0</v>
      </c>
      <c r="P67" s="18" t="n">
        <f aca="false">SUM(P62:P66)</f>
        <v>0</v>
      </c>
      <c r="Q67" s="18" t="n">
        <f aca="false">SUM(Q62:Q66)</f>
        <v>0</v>
      </c>
      <c r="R67" s="18" t="n">
        <f aca="false">SUM(R62:R66)</f>
        <v>0</v>
      </c>
      <c r="S67" s="18" t="n">
        <f aca="false">SUM(S62:S66)</f>
        <v>0</v>
      </c>
      <c r="T67" s="18" t="n">
        <f aca="false">SUM(T62:T66)</f>
        <v>0</v>
      </c>
      <c r="U67" s="18" t="n">
        <f aca="false">SUM(U62:U66)</f>
        <v>0</v>
      </c>
      <c r="V67" s="18" t="n">
        <f aca="false">SUM(V62:V66)</f>
        <v>98966</v>
      </c>
      <c r="W67" s="18" t="n">
        <f aca="false">SUM(W62:W66)</f>
        <v>0</v>
      </c>
      <c r="X67" s="18" t="n">
        <f aca="false">SUM(X62:X66)</f>
        <v>0</v>
      </c>
      <c r="Y67" s="18" t="n">
        <f aca="false">SUM(Y62:Y66)</f>
        <v>0</v>
      </c>
      <c r="Z67" s="19" t="n">
        <f aca="false">SUM(C67:V67)</f>
        <v>121592.81</v>
      </c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6"/>
    </row>
    <row r="69" customFormat="false" ht="12.75" hidden="false" customHeight="false" outlineLevel="0" collapsed="false">
      <c r="A69" s="1" t="s">
        <v>97</v>
      </c>
      <c r="G69" s="1" t="n">
        <v>0</v>
      </c>
      <c r="H69" s="1" t="n">
        <v>0</v>
      </c>
      <c r="I69" s="1" t="n">
        <v>0</v>
      </c>
      <c r="J69" s="1" t="n">
        <v>0</v>
      </c>
      <c r="K69" s="1" t="n">
        <v>0</v>
      </c>
      <c r="L69" s="1" t="n">
        <v>0</v>
      </c>
      <c r="O69" s="1" t="n">
        <v>0</v>
      </c>
      <c r="P69" s="1" t="n">
        <v>-2135</v>
      </c>
      <c r="Z69" s="16" t="n">
        <f aca="false">SUM(C69:V69)</f>
        <v>-2135</v>
      </c>
    </row>
    <row r="70" customFormat="false" ht="12.75" hidden="false" customHeight="false" outlineLevel="0" collapsed="false">
      <c r="A70" s="18" t="s">
        <v>98</v>
      </c>
      <c r="B70" s="34"/>
      <c r="C70" s="18" t="n">
        <f aca="false">SUM(C69)</f>
        <v>0</v>
      </c>
      <c r="D70" s="18" t="n">
        <f aca="false">SUM(D67:D69)</f>
        <v>0</v>
      </c>
      <c r="E70" s="18" t="n">
        <f aca="false">SUM(E67:E69)</f>
        <v>5000</v>
      </c>
      <c r="F70" s="18" t="n">
        <f aca="false">SUM(F67:F69)</f>
        <v>16264</v>
      </c>
      <c r="G70" s="18" t="n">
        <f aca="false">SUM(G67:G69)</f>
        <v>8569.5</v>
      </c>
      <c r="H70" s="18" t="n">
        <f aca="false">SUM(H67:H69)</f>
        <v>190302.26</v>
      </c>
      <c r="I70" s="18" t="n">
        <f aca="false">SUM(I67:I69)</f>
        <v>0</v>
      </c>
      <c r="J70" s="18" t="n">
        <f aca="false">SUM(J67:J69)</f>
        <v>2645</v>
      </c>
      <c r="K70" s="18" t="n">
        <f aca="false">SUM(K67:K69)</f>
        <v>0</v>
      </c>
      <c r="L70" s="18" t="n">
        <f aca="false">SUM(L67:L69)</f>
        <v>-208356.95</v>
      </c>
      <c r="M70" s="18" t="n">
        <f aca="false">SUM(M67:M69)</f>
        <v>8203</v>
      </c>
      <c r="N70" s="18" t="n">
        <f aca="false">SUM(N67:N69)</f>
        <v>0</v>
      </c>
      <c r="O70" s="18" t="n">
        <f aca="false">SUM(O67:O69)</f>
        <v>0</v>
      </c>
      <c r="P70" s="18" t="n">
        <f aca="false">SUM(P67:P69)</f>
        <v>-2135</v>
      </c>
      <c r="Q70" s="18" t="n">
        <f aca="false">SUM(Q67:Q69)</f>
        <v>0</v>
      </c>
      <c r="R70" s="18" t="n">
        <f aca="false">SUM(R67:R69)</f>
        <v>0</v>
      </c>
      <c r="S70" s="18" t="n">
        <f aca="false">SUM(S67:S69)</f>
        <v>0</v>
      </c>
      <c r="T70" s="18" t="n">
        <f aca="false">SUM(T67:T69)</f>
        <v>0</v>
      </c>
      <c r="U70" s="18" t="n">
        <f aca="false">SUM(U67:U69)</f>
        <v>0</v>
      </c>
      <c r="V70" s="18" t="n">
        <f aca="false">SUM(V67:V69)</f>
        <v>98966</v>
      </c>
      <c r="W70" s="18" t="n">
        <f aca="false">SUM(W67:W69)</f>
        <v>0</v>
      </c>
      <c r="X70" s="18" t="n">
        <f aca="false">SUM(X67:X69)</f>
        <v>0</v>
      </c>
      <c r="Y70" s="18" t="n">
        <f aca="false">SUM(Y67:Y69)</f>
        <v>0</v>
      </c>
      <c r="Z70" s="18" t="n">
        <f aca="false">SUM(Z67:Z69)</f>
        <v>119457.81</v>
      </c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</row>
    <row r="71" customFormat="false" ht="12.75" hidden="false" customHeight="false" outlineLevel="0" collapsed="false">
      <c r="A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6"/>
    </row>
    <row r="72" customFormat="false" ht="12.75" hidden="false" customHeight="false" outlineLevel="0" collapsed="false">
      <c r="Z72" s="16"/>
    </row>
    <row r="73" customFormat="false" ht="12.75" hidden="false" customHeight="false" outlineLevel="0" collapsed="false">
      <c r="A73" s="2" t="s">
        <v>125</v>
      </c>
      <c r="C73" s="2" t="n">
        <f aca="false">+C47+C70+C67</f>
        <v>0</v>
      </c>
      <c r="D73" s="2" t="n">
        <f aca="false">+D47+D70+D67</f>
        <v>0</v>
      </c>
      <c r="E73" s="2" t="n">
        <f aca="false">+E70+E47</f>
        <v>5000</v>
      </c>
      <c r="F73" s="2" t="n">
        <f aca="false">+F70+F47</f>
        <v>16264</v>
      </c>
      <c r="G73" s="2" t="n">
        <f aca="false">+G70+G47</f>
        <v>8569.5</v>
      </c>
      <c r="H73" s="2" t="n">
        <f aca="false">+H70+H47</f>
        <v>190302.26</v>
      </c>
      <c r="I73" s="2" t="n">
        <f aca="false">+I70+I47</f>
        <v>0</v>
      </c>
      <c r="J73" s="2" t="n">
        <f aca="false">+J70+J47</f>
        <v>2645</v>
      </c>
      <c r="K73" s="2" t="n">
        <f aca="false">+K70+K47</f>
        <v>0</v>
      </c>
      <c r="L73" s="2" t="n">
        <f aca="false">D70:L70+L47</f>
        <v>92966215.1</v>
      </c>
      <c r="M73" s="2" t="n">
        <f aca="false">+M70+M47</f>
        <v>714662.93</v>
      </c>
      <c r="N73" s="2" t="n">
        <f aca="false">+N70+N47</f>
        <v>2178270.25600972</v>
      </c>
      <c r="O73" s="2" t="n">
        <f aca="false">+O70+O47</f>
        <v>7520808.75656311</v>
      </c>
      <c r="P73" s="2" t="n">
        <f aca="false">+P70+P47</f>
        <v>2618589.57860699</v>
      </c>
      <c r="Q73" s="2" t="n">
        <f aca="false">+Q70+Q47</f>
        <v>8277786.43027445</v>
      </c>
      <c r="R73" s="2" t="n">
        <f aca="false">+R70+R47</f>
        <v>7595606.34139677</v>
      </c>
      <c r="S73" s="2" t="n">
        <f aca="false">+S70+S47</f>
        <v>12133994.3685965</v>
      </c>
      <c r="T73" s="2" t="n">
        <f aca="false">+T70+T47</f>
        <v>10433206.5115368</v>
      </c>
      <c r="U73" s="2" t="n">
        <f aca="false">+U70+U47</f>
        <v>8272837.75526547</v>
      </c>
      <c r="V73" s="2" t="n">
        <f aca="false">+V70+V47</f>
        <v>25523082.6446002</v>
      </c>
      <c r="W73" s="2" t="n">
        <f aca="false">+W70+W47</f>
        <v>-2500291</v>
      </c>
      <c r="X73" s="2" t="n">
        <f aca="false">+X70+X47</f>
        <v>0</v>
      </c>
      <c r="Y73" s="2" t="n">
        <f aca="false">+Y70+Y47</f>
        <v>0</v>
      </c>
      <c r="Z73" s="2" t="n">
        <f aca="false">SUM(C73:Y73)</f>
        <v>175957550.43285</v>
      </c>
    </row>
    <row r="74" customFormat="false" ht="12.75" hidden="false" customHeight="false" outlineLevel="0" collapsed="false">
      <c r="Z74" s="2" t="n">
        <f aca="false">Z73-[1]Gleason!$BT$261</f>
        <v>-0.177777796983719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M8" activePane="bottomRight" state="frozen"/>
      <selection pane="topLeft" activeCell="A1" activeCellId="0" sqref="A1"/>
      <selection pane="topRight" activeCell="M1" activeCellId="0" sqref="M1"/>
      <selection pane="bottomLeft" activeCell="A8" activeCellId="0" sqref="A8"/>
      <selection pane="bottomRight" activeCell="Q24" activeCellId="0" sqref="Q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2.42"/>
    <col collapsed="false" customWidth="true" hidden="false" outlineLevel="0" max="4" min="4" style="1" width="13.99"/>
    <col collapsed="false" customWidth="true" hidden="false" outlineLevel="0" max="5" min="5" style="1" width="13.28"/>
    <col collapsed="false" customWidth="true" hidden="false" outlineLevel="0" max="6" min="6" style="1" width="12.56"/>
    <col collapsed="false" customWidth="true" hidden="false" outlineLevel="0" max="7" min="7" style="1" width="12.85"/>
    <col collapsed="false" customWidth="true" hidden="false" outlineLevel="0" max="8" min="8" style="1" width="12.42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2.28"/>
    <col collapsed="false" customWidth="true" hidden="false" outlineLevel="0" max="12" min="12" style="1" width="12.14"/>
    <col collapsed="false" customWidth="true" hidden="false" outlineLevel="0" max="14" min="13" style="1" width="12.28"/>
    <col collapsed="false" customWidth="true" hidden="false" outlineLevel="0" max="15" min="15" style="1" width="13.99"/>
    <col collapsed="false" customWidth="true" hidden="false" outlineLevel="0" max="16" min="16" style="1" width="13.85"/>
    <col collapsed="false" customWidth="true" hidden="false" outlineLevel="0" max="17" min="17" style="1" width="13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3.14"/>
    <col collapsed="false" customWidth="true" hidden="true" outlineLevel="0" max="24" min="22" style="1" width="13.14"/>
    <col collapsed="false" customWidth="true" hidden="false" outlineLevel="0" max="25" min="25" style="2" width="13.85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0.85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February 25,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XML/filtered-attachments/xls/Draw_Sched___022900.xls'#$Wheatland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45926.9531911179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v>1077741</v>
      </c>
      <c r="Q10" s="1" t="n">
        <v>2155483</v>
      </c>
      <c r="T10" s="1" t="n">
        <v>231601</v>
      </c>
      <c r="U10" s="1" t="n">
        <f aca="false">85821500-81565943+66200+1033169-4972-323393-982714</f>
        <v>4043847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1190506</v>
      </c>
      <c r="R11" s="1" t="n">
        <v>793670.8</v>
      </c>
      <c r="S11" s="1" t="n">
        <v>0</v>
      </c>
      <c r="Y11" s="16" t="n">
        <f aca="false">SUM(C11:X11)</f>
        <v>4440534.1</v>
      </c>
      <c r="Z11" s="23" t="s">
        <v>23</v>
      </c>
      <c r="AA11" s="1" t="n">
        <f aca="false">[1]Wheatland!$BR$32</f>
        <v>4440534</v>
      </c>
      <c r="AB11" s="1" t="n">
        <f aca="false">Y11-AA11</f>
        <v>0.099999999627471</v>
      </c>
    </row>
    <row r="12" customFormat="false" ht="12.75" hidden="false" customHeight="false" outlineLevel="0" collapsed="false">
      <c r="A12" s="1" t="s">
        <v>101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v>2169322</v>
      </c>
      <c r="Q12" s="1" t="n">
        <v>0</v>
      </c>
      <c r="R12" s="1" t="n">
        <f aca="false">(0.6503-0.4673)*AA12</f>
        <v>2515948.233</v>
      </c>
      <c r="S12" s="1" t="n">
        <f aca="false">(0.7833-0.6503)*AA12</f>
        <v>1828530.683</v>
      </c>
      <c r="T12" s="1" t="n">
        <f aca="false">(0.8703-0.7833)*AA12</f>
        <v>1196106.537</v>
      </c>
      <c r="U12" s="1" t="n">
        <f aca="false">(0.9476-0.8703)*AA12+2727672</f>
        <v>3790419.5323</v>
      </c>
      <c r="V12" s="1" t="n">
        <f aca="false">(1-0.9476)*AA12</f>
        <v>720413.5924</v>
      </c>
      <c r="W12" s="1" t="n">
        <f aca="false">987110-86446</f>
        <v>900664</v>
      </c>
      <c r="Y12" s="16" t="n">
        <f aca="false">SUM(C12:X12)</f>
        <v>13748350.5777</v>
      </c>
      <c r="Z12" s="23" t="s">
        <v>23</v>
      </c>
      <c r="AA12" s="1" t="n">
        <f aca="false">[1]Wheatland!$BR$56</f>
        <v>13748351</v>
      </c>
      <c r="AB12" s="1" t="n">
        <f aca="false">Y12-AA12</f>
        <v>-0.4222999997437</v>
      </c>
    </row>
    <row r="13" customFormat="false" ht="12.75" hidden="false" customHeight="false" outlineLevel="0" collapsed="false">
      <c r="A13" s="1" t="s">
        <v>102</v>
      </c>
      <c r="C13" s="2" t="n">
        <v>0</v>
      </c>
      <c r="F13" s="15"/>
      <c r="N13" s="1" t="n">
        <v>115533</v>
      </c>
      <c r="P13" s="1" t="n">
        <v>359796</v>
      </c>
      <c r="Q13" s="1" t="n">
        <v>0</v>
      </c>
      <c r="R13" s="1" t="n">
        <f aca="false">(0.6503-0.4673)*AA13</f>
        <v>869190.342</v>
      </c>
      <c r="S13" s="1" t="n">
        <f aca="false">(0.7833-0.6503)*AA13</f>
        <v>631706.642</v>
      </c>
      <c r="T13" s="1" t="n">
        <f aca="false">(0.8703-0.7833)*AA13</f>
        <v>413221.638</v>
      </c>
      <c r="U13" s="1" t="n">
        <f aca="false">(0.9476-0.8703)*AA13+942336</f>
        <v>1309485.8002</v>
      </c>
      <c r="V13" s="1" t="n">
        <f aca="false">(1-0.9476)*AA13</f>
        <v>248882.9176</v>
      </c>
      <c r="W13" s="1" t="n">
        <f aca="false">442079+359779</f>
        <v>801858</v>
      </c>
      <c r="Y13" s="16" t="n">
        <f aca="false">SUM(C13:X13)</f>
        <v>4749674.3398</v>
      </c>
      <c r="Z13" s="23"/>
      <c r="AA13" s="1" t="n">
        <f aca="false">[1]Wheatland!$BR$82</f>
        <v>4749674</v>
      </c>
      <c r="AB13" s="1" t="n">
        <f aca="false">Y13-AA13</f>
        <v>0.339800000190735</v>
      </c>
    </row>
    <row r="14" customFormat="false" ht="12.75" hidden="false" customHeight="false" outlineLevel="0" collapsed="false">
      <c r="A14" s="1" t="s">
        <v>103</v>
      </c>
      <c r="M14" s="1" t="n">
        <v>0</v>
      </c>
      <c r="N14" s="1" t="n">
        <v>61343</v>
      </c>
      <c r="P14" s="1" t="n">
        <v>2112822</v>
      </c>
      <c r="Q14" s="1" t="n">
        <v>0</v>
      </c>
      <c r="R14" s="1" t="n">
        <f aca="false">(0.6503-0.4673)*AA14</f>
        <v>2919714.492</v>
      </c>
      <c r="S14" s="1" t="n">
        <f aca="false">(0.7833-0.6503)*AA14</f>
        <v>2121978.292</v>
      </c>
      <c r="T14" s="1" t="n">
        <f aca="false">(0.8703-0.7833)*AA14</f>
        <v>1388060.988</v>
      </c>
      <c r="U14" s="1" t="n">
        <f aca="false">(0.9476-0.8703)*AA14+3165418</f>
        <v>4398718.1652</v>
      </c>
      <c r="V14" s="1" t="n">
        <f aca="false">(1-0.9476)*AA14</f>
        <v>836027.5376</v>
      </c>
      <c r="W14" s="1" t="n">
        <f aca="false">1811742+304318</f>
        <v>2116060</v>
      </c>
      <c r="Y14" s="16" t="n">
        <f aca="false">SUM(C14:X14)</f>
        <v>15954724.4748</v>
      </c>
      <c r="Z14" s="23"/>
      <c r="AA14" s="1" t="n">
        <f aca="false">[1]Wheatland!$BR$116</f>
        <v>15954724</v>
      </c>
      <c r="AB14" s="1" t="n">
        <f aca="false">Y14-AA14</f>
        <v>0.474799999967217</v>
      </c>
    </row>
    <row r="15" customFormat="false" ht="12.75" hidden="false" customHeight="false" outlineLevel="0" collapsed="false">
      <c r="A15" s="1" t="s">
        <v>104</v>
      </c>
      <c r="N15" s="1" t="n">
        <v>0</v>
      </c>
      <c r="P15" s="1" t="n">
        <v>355795</v>
      </c>
      <c r="Q15" s="1" t="n">
        <v>0</v>
      </c>
      <c r="R15" s="1" t="n">
        <f aca="false">(0.6503-0.4673)*AA15</f>
        <v>1856705.007</v>
      </c>
      <c r="S15" s="1" t="n">
        <f aca="false">(0.7833-0.6503)*AA15</f>
        <v>1349408.557</v>
      </c>
      <c r="T15" s="1" t="n">
        <f aca="false">(0.8703-0.7833)*AA15</f>
        <v>882695.823</v>
      </c>
      <c r="U15" s="1" t="n">
        <f aca="false">(0.9476-0.8703)*AA15+2012953</f>
        <v>2797233.3117</v>
      </c>
      <c r="V15" s="1" t="n">
        <f aca="false">(1-0.9476)*AA15</f>
        <v>531646.6796</v>
      </c>
      <c r="W15" s="1" t="n">
        <f aca="false">1191132+1181313</f>
        <v>2372445</v>
      </c>
      <c r="Y15" s="16" t="n">
        <f aca="false">SUM(C15:X15)</f>
        <v>10145929.3783</v>
      </c>
      <c r="Z15" s="23"/>
      <c r="AA15" s="1" t="n">
        <f aca="false">[1]Wheatland!$BR$119</f>
        <v>10145929</v>
      </c>
      <c r="AB15" s="1" t="n">
        <f aca="false">Y15-AA15</f>
        <v>0.378299999982119</v>
      </c>
    </row>
    <row r="16" customFormat="false" ht="12.75" hidden="false" customHeight="false" outlineLevel="0" collapsed="false">
      <c r="A16" s="1" t="s">
        <v>105</v>
      </c>
      <c r="V16" s="1" t="n">
        <v>50000</v>
      </c>
      <c r="Y16" s="16" t="n">
        <f aca="false">SUM(C16:X16)</f>
        <v>50000</v>
      </c>
      <c r="Z16" s="23"/>
      <c r="AA16" s="1" t="n">
        <f aca="false">[1]Wheatland!$BR$157</f>
        <v>50000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107</v>
      </c>
      <c r="N17" s="1" t="n">
        <v>3651557</v>
      </c>
      <c r="P17" s="1" t="n">
        <f aca="false">1183571-943865</f>
        <v>239706</v>
      </c>
      <c r="Q17" s="1" t="n">
        <v>5993551</v>
      </c>
      <c r="U17" s="1" t="n">
        <f aca="false">-1822746-3953393</f>
        <v>-5776139</v>
      </c>
      <c r="W17" s="1" t="n">
        <v>-4108675</v>
      </c>
      <c r="X17" s="1" t="n">
        <v>-3953393</v>
      </c>
      <c r="Y17" s="16" t="n">
        <f aca="false">SUM(C17:X17)</f>
        <v>-3953393</v>
      </c>
      <c r="Z17" s="23"/>
      <c r="AA17" s="1" t="n">
        <f aca="false">[1]Wheatland!$BR$123</f>
        <v>-3953393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83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[1]Wheatland!$BR$131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84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v>198889</v>
      </c>
      <c r="Q19" s="1" t="n">
        <v>198889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2386700/12+6+3-7+5</f>
        <v>198898.666666667</v>
      </c>
      <c r="Y19" s="16" t="n">
        <f aca="false">SUM(C19:X19)</f>
        <v>2386700.00333333</v>
      </c>
      <c r="Z19" s="23"/>
      <c r="AA19" s="1" t="n">
        <f aca="false">[1]Wheatland!$BR$132</f>
        <v>2386700</v>
      </c>
      <c r="AB19" s="1" t="n">
        <f aca="false">Y19-AA19</f>
        <v>0.00333333294838667</v>
      </c>
    </row>
    <row r="20" customFormat="false" ht="12.75" hidden="false" customHeight="false" outlineLevel="0" collapsed="false">
      <c r="A20" s="1" t="s">
        <v>85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[1]Wheatland!$BR$133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108</v>
      </c>
      <c r="C21" s="2" t="n">
        <v>0</v>
      </c>
      <c r="Q21" s="1" t="n">
        <v>37000</v>
      </c>
      <c r="R21" s="1" t="n">
        <v>125000</v>
      </c>
      <c r="S21" s="1" t="n">
        <v>125000</v>
      </c>
      <c r="T21" s="1" t="n">
        <v>125000</v>
      </c>
      <c r="U21" s="1" t="n">
        <f aca="false">908786-625000+88000</f>
        <v>371786</v>
      </c>
      <c r="V21" s="1" t="n">
        <v>125000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89</v>
      </c>
      <c r="N22" s="1" t="n">
        <v>38084</v>
      </c>
      <c r="P22" s="1" t="n">
        <v>16048</v>
      </c>
      <c r="Q22" s="1" t="n">
        <v>750</v>
      </c>
      <c r="U22" s="1" t="n">
        <f aca="false">1500000-38084-16048-750</f>
        <v>1445118</v>
      </c>
      <c r="Y22" s="16" t="n">
        <f aca="false">SUM(C22:X22)</f>
        <v>1500000</v>
      </c>
      <c r="Z22" s="23"/>
      <c r="AA22" s="1" t="n">
        <f aca="false">[1]Wheatland!$BR$155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500000</v>
      </c>
      <c r="T23" s="1" t="n">
        <v>500000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[1]Wheatland!$BR$159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5000</v>
      </c>
      <c r="P24" s="1" t="n">
        <v>259325</v>
      </c>
      <c r="Q24" s="1" t="n">
        <v>516321</v>
      </c>
      <c r="Y24" s="16" t="n">
        <f aca="false">SUM(C24:X24)</f>
        <v>1892590.26</v>
      </c>
      <c r="Z24" s="23" t="s">
        <v>69</v>
      </c>
      <c r="AA24" s="1" t="n">
        <f aca="false">[1]Wheatland!$BR$166</f>
        <v>1892589.96</v>
      </c>
      <c r="AB24" s="1" t="n">
        <f aca="false">Y24-AA24</f>
        <v>0.300000000046566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11305</v>
      </c>
      <c r="P25" s="1" t="n">
        <v>28716</v>
      </c>
      <c r="Q25" s="1" t="n">
        <v>31364</v>
      </c>
      <c r="T25" s="1" t="n">
        <v>19859</v>
      </c>
      <c r="Y25" s="16" t="n">
        <f aca="false">SUM(C25:X25)</f>
        <v>303428.42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109</v>
      </c>
      <c r="C26" s="2" t="n">
        <v>0</v>
      </c>
      <c r="F26" s="15"/>
      <c r="L26" s="1" t="n">
        <v>10000</v>
      </c>
      <c r="O26" s="1" t="n">
        <v>15000</v>
      </c>
      <c r="P26" s="1" t="n">
        <v>9120</v>
      </c>
      <c r="Q26" s="1" t="n">
        <v>0</v>
      </c>
      <c r="R26" s="1" t="n">
        <v>500000</v>
      </c>
      <c r="S26" s="1" t="n">
        <f aca="false">500000-10000</f>
        <v>490000</v>
      </c>
      <c r="T26" s="1" t="n">
        <v>1500000</v>
      </c>
      <c r="U26" s="1" t="n">
        <f aca="false">1500000-15000+500000</f>
        <v>1985000</v>
      </c>
      <c r="V26" s="1" t="n">
        <v>450000</v>
      </c>
      <c r="W26" s="1" t="n">
        <v>40880</v>
      </c>
      <c r="Y26" s="16" t="n">
        <f aca="false">SUM(C26:X26)</f>
        <v>5000000</v>
      </c>
      <c r="Z26" s="23" t="s">
        <v>34</v>
      </c>
      <c r="AA26" s="1" t="n">
        <f aca="false">[1]Wheatland!$BR$175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0</v>
      </c>
      <c r="R27" s="1" t="n">
        <v>554000</v>
      </c>
      <c r="Y27" s="16" t="n">
        <f aca="false">SUM(C27:X27)</f>
        <v>1500000</v>
      </c>
      <c r="Z27" s="23" t="s">
        <v>34</v>
      </c>
      <c r="AA27" s="1" t="n">
        <f aca="false">[1]Wheatland!$BR$177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[1]Wheatland!$BR$183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[1]Wheatland!$BR$185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0</v>
      </c>
      <c r="P31" s="1" t="n">
        <v>1469</v>
      </c>
      <c r="Q31" s="1" t="n">
        <v>0</v>
      </c>
      <c r="R31" s="1" t="n">
        <v>11111.1111111111</v>
      </c>
      <c r="S31" s="1" t="n">
        <v>11111.1111111111</v>
      </c>
      <c r="T31" s="1" t="n">
        <f aca="false">11111.1111111111+11112</f>
        <v>22223.1111111111</v>
      </c>
      <c r="U31" s="1" t="n">
        <f aca="false">3500+37229</f>
        <v>40729</v>
      </c>
      <c r="V31" s="1" t="n">
        <v>9462</v>
      </c>
      <c r="W31" s="1" t="n">
        <v>180</v>
      </c>
      <c r="Y31" s="16" t="n">
        <f aca="false">SUM(C31:X31)</f>
        <v>174087.893333333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v>143263</v>
      </c>
      <c r="P32" s="1" t="n">
        <v>34982</v>
      </c>
      <c r="Q32" s="1" t="n">
        <v>31802</v>
      </c>
      <c r="R32" s="1" t="n">
        <v>56516</v>
      </c>
      <c r="S32" s="1" t="n">
        <v>22986</v>
      </c>
      <c r="T32" s="1" t="n">
        <f aca="false">80349-6410</f>
        <v>73939</v>
      </c>
      <c r="Y32" s="16" t="n">
        <f aca="false">SUM(C32:X32)</f>
        <v>607789.69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[1]Wheatland!$AR$201</f>
        <v>68346.51</v>
      </c>
      <c r="P33" s="1" t="n">
        <f aca="false">5360+49464</f>
        <v>54824</v>
      </c>
      <c r="Q33" s="1" t="n">
        <v>13665</v>
      </c>
      <c r="R33" s="1" t="n">
        <v>10000</v>
      </c>
      <c r="S33" s="1" t="n">
        <v>10000</v>
      </c>
      <c r="T33" s="1" t="n">
        <f aca="false">7559+199999</f>
        <v>207558</v>
      </c>
      <c r="U33" s="1" t="n">
        <f aca="false">2441+1962+197444</f>
        <v>201847</v>
      </c>
      <c r="V33" s="1" t="n">
        <f aca="false">6654-1</f>
        <v>6653</v>
      </c>
      <c r="W33" s="1" t="n">
        <v>4641</v>
      </c>
      <c r="Y33" s="16" t="n">
        <f aca="false">SUM(C33:X33)</f>
        <v>653128.9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3909419.3</v>
      </c>
      <c r="P34" s="18" t="n">
        <f aca="false">SUM(P8:P33)</f>
        <v>8186544.33333333</v>
      </c>
      <c r="Q34" s="18" t="n">
        <f aca="false">SUM(Q8:Q33)</f>
        <v>9056308.33333333</v>
      </c>
      <c r="R34" s="18" t="n">
        <f aca="false">SUM(R8:R33)</f>
        <v>10488230.9851111</v>
      </c>
      <c r="S34" s="18" t="n">
        <f aca="false">SUM(S8:S33)</f>
        <v>7867096.28511111</v>
      </c>
      <c r="T34" s="18" t="n">
        <f aca="false">SUM(T8:T33)</f>
        <v>7336640.09711111</v>
      </c>
      <c r="U34" s="18" t="n">
        <f aca="false">SUM(U8:U33)</f>
        <v>18123857.8094</v>
      </c>
      <c r="V34" s="18" t="n">
        <f aca="false">SUM(V8:V33)</f>
        <v>2978085.7272</v>
      </c>
      <c r="W34" s="18" t="n">
        <f aca="false">SUM(W8:W33)</f>
        <v>2128053</v>
      </c>
      <c r="X34" s="18" t="n">
        <f aca="false">SUM(X8:X33)</f>
        <v>-3929268</v>
      </c>
      <c r="Y34" s="19" t="n">
        <f aca="false">SUM(C34:U34)</f>
        <v>151473992.796733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90415314.9533333</v>
      </c>
      <c r="P35" s="18" t="n">
        <f aca="false">+O35+P34</f>
        <v>98601859.2866667</v>
      </c>
      <c r="Q35" s="18" t="n">
        <f aca="false">+P35+Q34</f>
        <v>107658167.62</v>
      </c>
      <c r="R35" s="18" t="n">
        <f aca="false">+Q35+R34</f>
        <v>118146398.605111</v>
      </c>
      <c r="S35" s="18" t="n">
        <f aca="false">+R35+S34</f>
        <v>126013494.890222</v>
      </c>
      <c r="T35" s="18" t="n">
        <f aca="false">+S35+T34</f>
        <v>133350134.987333</v>
      </c>
      <c r="U35" s="18" t="n">
        <f aca="false">+T35+U34</f>
        <v>151473992.796733</v>
      </c>
      <c r="V35" s="18" t="n">
        <f aca="false">+U35+V34</f>
        <v>154452078.523933</v>
      </c>
      <c r="W35" s="18" t="n">
        <f aca="false">+V35+W34</f>
        <v>156580131.523933</v>
      </c>
      <c r="X35" s="18" t="n">
        <f aca="false">+W35+X34</f>
        <v>152650863.523933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322.285091056879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91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v>516340</v>
      </c>
      <c r="P39" s="15" t="n">
        <v>563836.325110041</v>
      </c>
      <c r="Q39" s="15" t="n">
        <f aca="false">(Q35+P44)*$C49/12</f>
        <v>615945.442009943</v>
      </c>
      <c r="R39" s="15" t="n">
        <f aca="false">(R35+Q44)*$C49/12</f>
        <v>676093.064323515</v>
      </c>
      <c r="S39" s="15" t="n">
        <f aca="false">(S35+R44)*$C49/12</f>
        <v>722368.67329962</v>
      </c>
      <c r="T39" s="15" t="n">
        <f aca="false">(T35+S44)*$C49/12</f>
        <v>766021.637472678</v>
      </c>
      <c r="U39" s="15" t="n">
        <f aca="false">(U35+T44)*$C49/12</f>
        <v>868341.817809905</v>
      </c>
      <c r="V39" s="15" t="n">
        <v>0</v>
      </c>
      <c r="W39" s="15" t="n">
        <v>0</v>
      </c>
      <c r="X39" s="15" t="n">
        <v>0</v>
      </c>
      <c r="Y39" s="16" t="n">
        <f aca="false">SUM(C39:X39)</f>
        <v>9709685.19367435</v>
      </c>
      <c r="Z39" s="17" t="str">
        <f aca="false">Z52</f>
        <v>Rodney Malcolm</v>
      </c>
      <c r="AA39" s="1" t="n">
        <f aca="false">Y39</f>
        <v>9709685.19367435</v>
      </c>
    </row>
    <row r="40" customFormat="false" ht="12.75" hidden="false" customHeight="false" outlineLevel="0" collapsed="false">
      <c r="A40" s="1" t="s">
        <v>92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Z24</f>
        <v>Steve Dowd</v>
      </c>
      <c r="AA42" s="1" t="n">
        <f aca="false">Y42</f>
        <v>0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516340</v>
      </c>
      <c r="P43" s="18" t="n">
        <f aca="false">SUM(P38:P42)</f>
        <v>563836.325110041</v>
      </c>
      <c r="Q43" s="18" t="n">
        <f aca="false">SUM(Q38:Q42)</f>
        <v>615945.442009943</v>
      </c>
      <c r="R43" s="18" t="n">
        <f aca="false">SUM(R38:R42)</f>
        <v>676093.064323515</v>
      </c>
      <c r="S43" s="18" t="n">
        <f aca="false">SUM(S38:S42)</f>
        <v>722368.67329962</v>
      </c>
      <c r="T43" s="18" t="n">
        <f aca="false">SUM(T38:T42)</f>
        <v>766021.637472678</v>
      </c>
      <c r="U43" s="18" t="n">
        <f aca="false">SUM(U38:U42)</f>
        <v>868341.817809905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9703607.69367435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5491000.73364865</v>
      </c>
      <c r="P44" s="18" t="n">
        <f aca="false">+P43+O44</f>
        <v>6054837.0587587</v>
      </c>
      <c r="Q44" s="18" t="n">
        <f aca="false">+Q43+P44</f>
        <v>6670782.50076864</v>
      </c>
      <c r="R44" s="18" t="n">
        <f aca="false">+R43+Q44</f>
        <v>7346875.56509215</v>
      </c>
      <c r="S44" s="18" t="n">
        <f aca="false">+S43+R44</f>
        <v>8069244.23839177</v>
      </c>
      <c r="T44" s="18" t="n">
        <f aca="false">+T43+S44</f>
        <v>8835265.87586445</v>
      </c>
      <c r="U44" s="18" t="n">
        <f aca="false">+U43+T44</f>
        <v>9703607.69367435</v>
      </c>
      <c r="V44" s="18" t="n">
        <f aca="false">+V43+U44</f>
        <v>9703607.69367435</v>
      </c>
      <c r="W44" s="18" t="n">
        <f aca="false">+W43+V44</f>
        <v>9703607.69367435</v>
      </c>
      <c r="X44" s="18" t="n">
        <f aca="false">+X43+W44</f>
        <v>9703607.69367435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126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4425759.3</v>
      </c>
      <c r="P46" s="2" t="n">
        <f aca="false">+P34+P43</f>
        <v>8750380.65844338</v>
      </c>
      <c r="Q46" s="2" t="n">
        <f aca="false">+Q34+Q43</f>
        <v>9672253.77534328</v>
      </c>
      <c r="R46" s="2" t="n">
        <f aca="false">+R34+R43</f>
        <v>11164324.0494346</v>
      </c>
      <c r="S46" s="2" t="n">
        <f aca="false">+S34+S43</f>
        <v>8589464.95841073</v>
      </c>
      <c r="T46" s="2" t="n">
        <f aca="false">+T34+T43</f>
        <v>8102661.73458379</v>
      </c>
      <c r="U46" s="2" t="n">
        <f aca="false">+U34+U43</f>
        <v>18992199.6272099</v>
      </c>
      <c r="V46" s="2" t="n">
        <f aca="false">+V34+V43</f>
        <v>2978085.7272</v>
      </c>
      <c r="W46" s="2" t="n">
        <f aca="false">+W34+W43</f>
        <v>2128053</v>
      </c>
      <c r="X46" s="2" t="n">
        <f aca="false">+X34+X43</f>
        <v>-3929268</v>
      </c>
      <c r="Y46" s="16" t="n">
        <f aca="false">SUM(C46:X46)</f>
        <v>162354471.217608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95906315.686982</v>
      </c>
      <c r="P47" s="2" t="n">
        <f aca="false">O47+P46</f>
        <v>104656696.345425</v>
      </c>
      <c r="Q47" s="2" t="n">
        <f aca="false">P47+Q46</f>
        <v>114328950.120769</v>
      </c>
      <c r="R47" s="2" t="n">
        <f aca="false">Q47+R46</f>
        <v>125493274.170203</v>
      </c>
      <c r="S47" s="2" t="n">
        <f aca="false">R47+S46</f>
        <v>134082739.128614</v>
      </c>
      <c r="T47" s="2" t="n">
        <f aca="false">S47+T46</f>
        <v>142185400.863198</v>
      </c>
      <c r="U47" s="2" t="n">
        <f aca="false">T47+U46</f>
        <v>161177600.490408</v>
      </c>
      <c r="V47" s="2" t="n">
        <f aca="false">U47+V46</f>
        <v>164155686.217608</v>
      </c>
      <c r="W47" s="2" t="n">
        <f aca="false">V47+W46</f>
        <v>166283739.217608</v>
      </c>
      <c r="X47" s="2" t="n">
        <f aca="false">W47+X46</f>
        <v>162354471.217608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345.435045143846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94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95</v>
      </c>
      <c r="B50" s="2"/>
      <c r="C50" s="8" t="n">
        <v>0.0035</v>
      </c>
      <c r="D50" s="33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3909419.3</v>
      </c>
      <c r="P54" s="2" t="n">
        <f aca="false">+P46-P39</f>
        <v>8186544.33333333</v>
      </c>
      <c r="Q54" s="2" t="n">
        <f aca="false">+Q46-Q39</f>
        <v>9056308.33333333</v>
      </c>
      <c r="R54" s="2" t="n">
        <f aca="false">+R46-R39</f>
        <v>10488230.9851111</v>
      </c>
      <c r="S54" s="2" t="n">
        <f aca="false">+S46-S39</f>
        <v>7867096.28511111</v>
      </c>
      <c r="T54" s="2" t="n">
        <f aca="false">+T46-T39</f>
        <v>7336640.09711111</v>
      </c>
      <c r="U54" s="2" t="n">
        <f aca="false">+U46-U39</f>
        <v>18123857.8094</v>
      </c>
      <c r="V54" s="2" t="n">
        <f aca="false">+V46-V39</f>
        <v>2978085.7272</v>
      </c>
      <c r="W54" s="2" t="n">
        <f aca="false">+W46-W39</f>
        <v>2128053</v>
      </c>
      <c r="X54" s="2" t="n">
        <f aca="false">+X46-X39</f>
        <v>-3929268</v>
      </c>
      <c r="Y54" s="22" t="n">
        <f aca="false">SUM(C54:X54)</f>
        <v>152644786.023933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4" t="s">
        <v>80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10392</v>
      </c>
      <c r="Y59" s="16" t="n">
        <f aca="false">SUM(C59:X59)</f>
        <v>146572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[1]Wheatland!$BR$171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-3231</v>
      </c>
      <c r="Y60" s="16" t="n">
        <f aca="false">SUM(C60:X60)</f>
        <v>146484.2</v>
      </c>
      <c r="Z60" s="17" t="str">
        <f aca="false">+Z59</f>
        <v>Steve Dowd</v>
      </c>
      <c r="AA60" s="1" t="n">
        <f aca="false">Y60+Y32</f>
        <v>754273.89</v>
      </c>
      <c r="AB60" s="1" t="n">
        <f aca="false">[1]Wheatland!$BR$196</f>
        <v>754273.98</v>
      </c>
      <c r="AC60" s="1" t="n">
        <f aca="false">AB60-AA60</f>
        <v>0.090000000083819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Y61" s="16" t="n">
        <f aca="false">SUM(C61:X61)</f>
        <v>0</v>
      </c>
      <c r="Z61" s="17"/>
      <c r="AA61" s="1" t="n">
        <f aca="false">Y61+Y24</f>
        <v>1892590.26</v>
      </c>
      <c r="AB61" s="1" t="n">
        <f aca="false">[1]Wheatland!$BR$166</f>
        <v>1892589.96</v>
      </c>
      <c r="AC61" s="1" t="n">
        <f aca="false">AB61-AA61</f>
        <v>-0.300000000046566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11111</v>
      </c>
      <c r="Y62" s="16" t="n">
        <f aca="false">SUM(C62:X62)</f>
        <v>25912.38</v>
      </c>
      <c r="Z62" s="17" t="str">
        <f aca="false">+Z60</f>
        <v>Steve Dowd</v>
      </c>
      <c r="AA62" s="1" t="n">
        <f aca="false">Y62+Y31</f>
        <v>200000.273333333</v>
      </c>
      <c r="AB62" s="1" t="n">
        <f aca="false">[1]Wheatland!$BR$185</f>
        <v>200000</v>
      </c>
      <c r="AC62" s="1" t="n">
        <f aca="false">AB62-AA62</f>
        <v>-0.273333333316259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48543</v>
      </c>
      <c r="Y63" s="16" t="n">
        <f aca="false">SUM(C63:X63)</f>
        <v>48543</v>
      </c>
      <c r="Z63" s="17" t="str">
        <f aca="false">+Z62</f>
        <v>Steve Dowd</v>
      </c>
      <c r="AA63" s="1" t="n">
        <f aca="false">Y63+Y33</f>
        <v>701671.9</v>
      </c>
      <c r="AB63" s="1" t="n">
        <f aca="false">[1]Wheatland!$BR$203</f>
        <v>701672.13</v>
      </c>
      <c r="AC63" s="1" t="n">
        <f aca="false">AB63-AA63</f>
        <v>0.229999999981374</v>
      </c>
    </row>
    <row r="64" customFormat="false" ht="12.75" hidden="false" customHeight="false" outlineLevel="0" collapsed="false">
      <c r="A64" s="2" t="s">
        <v>127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66815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367511.58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[1]Wheatland!$AN$217</f>
        <v>0</v>
      </c>
      <c r="N66" s="2" t="n">
        <f aca="false">[1]Wheatland!$AP$217</f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0</v>
      </c>
      <c r="N67" s="18" t="n">
        <f aca="false">SUM(N64:N66)</f>
        <v>0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66815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262267.58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128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129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 t="n">
        <f aca="false">SUM(V70:V74)</f>
        <v>0</v>
      </c>
      <c r="W75" s="18" t="n">
        <f aca="false">SUM(W70:W74)</f>
        <v>0</v>
      </c>
      <c r="X75" s="18" t="n">
        <f aca="false">SUM(X70:X74)</f>
        <v>0</v>
      </c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117</v>
      </c>
      <c r="C78" s="37" t="n">
        <f aca="false">+C46+C67+C75</f>
        <v>17087218</v>
      </c>
      <c r="D78" s="37" t="n">
        <f aca="false">+D46+D67+D75</f>
        <v>43642669</v>
      </c>
      <c r="E78" s="37" t="n">
        <f aca="false">+E46+E67+E75</f>
        <v>4711472</v>
      </c>
      <c r="F78" s="37" t="n">
        <f aca="false">+F46+F67+F75</f>
        <v>419273.6</v>
      </c>
      <c r="G78" s="37" t="n">
        <f aca="false">+G46+G67+G75</f>
        <v>4762088.97</v>
      </c>
      <c r="H78" s="37" t="n">
        <f aca="false">+H46+H67+H75</f>
        <v>9103942.23</v>
      </c>
      <c r="I78" s="37" t="n">
        <f aca="false">+I46+I67+I75</f>
        <v>546828.138620833</v>
      </c>
      <c r="J78" s="37" t="n">
        <f aca="false">+J46+J67+J75</f>
        <v>1092836.67213836</v>
      </c>
      <c r="K78" s="37" t="n">
        <f aca="false">+K46+K67+K75</f>
        <v>1496281.67641661</v>
      </c>
      <c r="L78" s="37" t="n">
        <f aca="false">+L46+L67+L75</f>
        <v>1780115.93</v>
      </c>
      <c r="M78" s="37" t="n">
        <f aca="false">+M46+M67+M75</f>
        <v>1566383.40884026</v>
      </c>
      <c r="N78" s="37" t="n">
        <f aca="false">+N46+N67+N75</f>
        <v>5481999.34096592</v>
      </c>
      <c r="O78" s="37" t="n">
        <f aca="false">+O46+O67+O75</f>
        <v>4425759.3</v>
      </c>
      <c r="P78" s="37" t="n">
        <f aca="false">+P46+P67+P75</f>
        <v>8750380.65844338</v>
      </c>
      <c r="Q78" s="37" t="n">
        <f aca="false">+Q46+Q67+Q75</f>
        <v>9672253.77534328</v>
      </c>
      <c r="R78" s="37" t="n">
        <f aca="false">+R46+R67+R75</f>
        <v>11164324.0494346</v>
      </c>
      <c r="S78" s="37" t="n">
        <f aca="false">+S46+S67+S75</f>
        <v>8589464.95841073</v>
      </c>
      <c r="T78" s="37" t="n">
        <f aca="false">+T46+T67+T75</f>
        <v>8102661.73458379</v>
      </c>
      <c r="U78" s="37" t="n">
        <f aca="false">+U46+U67+U75</f>
        <v>19059014.6272099</v>
      </c>
      <c r="V78" s="37" t="n">
        <f aca="false">+V46+V67+V75</f>
        <v>2978085.7272</v>
      </c>
      <c r="W78" s="37" t="n">
        <f aca="false">+W46+W67+W75</f>
        <v>2128053</v>
      </c>
      <c r="X78" s="37" t="n">
        <f aca="false">+X46+X67+X75</f>
        <v>-3929268</v>
      </c>
      <c r="Y78" s="37" t="n">
        <f aca="false">+Y46+Y67+Y75</f>
        <v>162631838.797608</v>
      </c>
    </row>
    <row r="79" customFormat="false" ht="12.75" hidden="false" customHeight="false" outlineLevel="0" collapsed="false">
      <c r="U79" s="0"/>
      <c r="V79" s="0"/>
      <c r="W79" s="0"/>
      <c r="X79" s="0"/>
      <c r="Y79" s="42" t="n">
        <f aca="false">Y78-[1]Wheatland!$BR$236</f>
        <v>2.43393337726593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2000-02-15T12:32:00Z</cp:lastPrinted>
  <cp:revision>0</cp:revision>
  <dc:subject/>
  <dc:title/>
</cp:coreProperties>
</file>