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Gleason!$A$1:$AA$73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54</xdr:colOff>
                <xdr:row>4</xdr:row>
                <xdr:rowOff>1</xdr:rowOff>
              </xdr:from>
              <xdr:to>
                <xdr:col>30</xdr:col>
                <xdr:colOff>19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<sst xmlns="http://schemas.openxmlformats.org/spreadsheetml/2006/main" count="598" uniqueCount="129">
  <si>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</si>
  <si>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</si>
  <si>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</si>
  <si>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</si>
  <si>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</si>
  <si>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</si>
  <si>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</si>
  <si>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</si>
  <si>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</si>
  <si>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</si>
  <si>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</si>
  <si>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</si>
  <si>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</si>
  <si>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</si>
  <si>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</si>
  <si>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</si>
  <si>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</si>
  <si>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</si>
  <si>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</si>
  <si>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</si>
  <si>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</si>
  <si>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</si>
  <si>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</si>
  <si>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</si>
  <si>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</si>
  <si>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</si>
  <si>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</si>
  <si>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</si>
  <si>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</si>
  <si>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</si>
  <si>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</si>
  <si>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</si>
  <si>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</si>
  <si>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</si>
  <si>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</si>
  <si>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</si>
  <si>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</si>
  <si>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</si>
  <si>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</si>
  <si>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</si>
  <si>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</si>
  <si>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</si>
  <si>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</si>
  <si>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</si>
  <si>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</si>
  <si>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</si>
  <si>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</si>
  <si>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</si>
  <si>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</si>
  <si>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</si>
  <si>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</si>
  <si>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</si>
  <si>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</si>
  <si>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</si>
  <si>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</si>
  <si>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</si>
  <si>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</si>
  <si>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</si>
  <si>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</si>
  <si>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</si>
  <si>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</si>
  <si>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</si>
  <si>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</si>
  <si>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</si>
  <si>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</si>
  <si>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</si>
  <si>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</si>
  <si>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</si>
  <si>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</si>
  <si>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</si>
  <si>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</si>
  <si>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</si>
  <si>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</si>
  <si>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</si>
  <si>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</si>
  <si>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</si>
  <si>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</si>
  <si>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</si>
  <si>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</si>
  <si>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</si>
  <si>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</si>
  <si>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</si>
  <si>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</si>
  <si>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</si>
  <si>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</si>
  <si>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</si>
  <si>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</si>
  <si>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</si>
  <si>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</si>
  <si>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</si>
  <si>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</si>
  <si>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</si>
  <si>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</si>
  <si>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</si>
  <si>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</si>
  <si>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</si>
  <si>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</si>
  <si>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</si>
  <si>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</si>
  <si>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December 24,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</si>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</sst>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NT/Personal/2000%20Weekly%20Report%20-%20013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14346909</v>
          </cell>
        </row>
        <row r="81">
          <cell r="BR81">
            <v>7349178</v>
          </cell>
        </row>
        <row r="115">
          <cell r="BR115">
            <v>34323186</v>
          </cell>
        </row>
        <row r="120">
          <cell r="BR120">
            <v>5336759</v>
          </cell>
        </row>
        <row r="127">
          <cell r="BR127">
            <v>940200</v>
          </cell>
        </row>
        <row r="128">
          <cell r="BR128">
            <v>2824800</v>
          </cell>
        </row>
        <row r="129">
          <cell r="BR129">
            <v>3066700</v>
          </cell>
        </row>
        <row r="143">
          <cell r="BR143">
            <v>9479519</v>
          </cell>
        </row>
        <row r="152">
          <cell r="BR152">
            <v>908786</v>
          </cell>
        </row>
        <row r="156">
          <cell r="BR156">
            <v>218555.81</v>
          </cell>
        </row>
        <row r="158">
          <cell r="BR158">
            <v>500000</v>
          </cell>
        </row>
        <row r="160">
          <cell r="BR160">
            <v>1253881</v>
          </cell>
        </row>
        <row r="167">
          <cell r="BR167">
            <v>2485818.14</v>
          </cell>
        </row>
        <row r="174">
          <cell r="BR174">
            <v>400000</v>
          </cell>
        </row>
        <row r="176">
          <cell r="BR176">
            <v>1200000</v>
          </cell>
        </row>
        <row r="178">
          <cell r="BR178">
            <v>6500000</v>
          </cell>
        </row>
        <row r="184">
          <cell r="BR184">
            <v>1500000</v>
          </cell>
        </row>
        <row r="186">
          <cell r="BR186">
            <v>266248.5</v>
          </cell>
        </row>
        <row r="188">
          <cell r="BR188">
            <v>200000</v>
          </cell>
        </row>
        <row r="197">
          <cell r="BR197">
            <v>896735.58</v>
          </cell>
        </row>
        <row r="204">
          <cell r="BR204">
            <v>508959.46</v>
          </cell>
        </row>
        <row r="220">
          <cell r="AN220">
            <v>52217</v>
          </cell>
        </row>
        <row r="236">
          <cell r="BR236">
            <v>254881225.192767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6024611</v>
          </cell>
        </row>
        <row r="61">
          <cell r="BT61">
            <v>17147711</v>
          </cell>
        </row>
        <row r="89">
          <cell r="BT89">
            <v>4260931</v>
          </cell>
        </row>
        <row r="122">
          <cell r="BT122">
            <v>15443748</v>
          </cell>
        </row>
        <row r="127">
          <cell r="BT127">
            <v>12136785</v>
          </cell>
        </row>
        <row r="136">
          <cell r="BT136">
            <v>929800</v>
          </cell>
        </row>
        <row r="137">
          <cell r="BT137">
            <v>2840700</v>
          </cell>
        </row>
        <row r="138">
          <cell r="BT138">
            <v>3066700</v>
          </cell>
        </row>
        <row r="170">
          <cell r="BT170">
            <v>908786</v>
          </cell>
        </row>
        <row r="176">
          <cell r="BT176">
            <v>675000</v>
          </cell>
        </row>
        <row r="178">
          <cell r="BT178">
            <v>1247007</v>
          </cell>
        </row>
        <row r="185">
          <cell r="BT185">
            <v>383541</v>
          </cell>
        </row>
        <row r="195">
          <cell r="BT195">
            <v>563038.4</v>
          </cell>
        </row>
        <row r="218">
          <cell r="BT218">
            <v>3890117</v>
          </cell>
        </row>
        <row r="220">
          <cell r="BT220">
            <v>1100000</v>
          </cell>
        </row>
        <row r="223">
          <cell r="AT223">
            <v>0</v>
          </cell>
        </row>
        <row r="226">
          <cell r="BT226">
            <v>500000</v>
          </cell>
        </row>
        <row r="228">
          <cell r="BT228">
            <v>200935.25</v>
          </cell>
        </row>
        <row r="230">
          <cell r="BT230">
            <v>200000</v>
          </cell>
        </row>
        <row r="239">
          <cell r="BT239">
            <v>623216.18</v>
          </cell>
        </row>
        <row r="245">
          <cell r="BT245">
            <v>752208.46</v>
          </cell>
        </row>
        <row r="261">
          <cell r="BT261">
            <v>175917862.592321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13748351</v>
          </cell>
        </row>
        <row r="82">
          <cell r="BR82">
            <v>4749674</v>
          </cell>
        </row>
        <row r="116">
          <cell r="BR116">
            <v>15954724</v>
          </cell>
        </row>
        <row r="119">
          <cell r="BR119">
            <v>10145929</v>
          </cell>
        </row>
        <row r="131">
          <cell r="BR131">
            <v>929800</v>
          </cell>
        </row>
        <row r="132">
          <cell r="BR132">
            <v>2386700</v>
          </cell>
        </row>
        <row r="133">
          <cell r="BR133">
            <v>3066700</v>
          </cell>
        </row>
        <row r="155">
          <cell r="BR155">
            <v>1500000</v>
          </cell>
        </row>
        <row r="157">
          <cell r="BR157">
            <v>50000</v>
          </cell>
        </row>
        <row r="159">
          <cell r="BR159">
            <v>1172731</v>
          </cell>
        </row>
        <row r="166">
          <cell r="BR166">
            <v>1376268.86</v>
          </cell>
        </row>
        <row r="171">
          <cell r="BR171">
            <v>450000</v>
          </cell>
        </row>
        <row r="175">
          <cell r="BR175">
            <v>5000000</v>
          </cell>
        </row>
        <row r="177">
          <cell r="BR177">
            <v>1500000</v>
          </cell>
        </row>
        <row r="183">
          <cell r="BR183">
            <v>1000000</v>
          </cell>
        </row>
        <row r="185">
          <cell r="BR185">
            <v>200000</v>
          </cell>
        </row>
        <row r="196">
          <cell r="BR196">
            <v>754273.98</v>
          </cell>
        </row>
        <row r="201">
          <cell r="AR201">
            <v>68346.51</v>
          </cell>
        </row>
        <row r="203">
          <cell r="BR203">
            <v>452208.46</v>
          </cell>
        </row>
        <row r="236">
          <cell r="BR236">
            <v>161905559.060322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XML/filtered-attachments/xls/Draw_Sched___013100.xls'#$6.5%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45926.9532076411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1" min="4" style="0" width="12.28"/>
    <col collapsed="false" customWidth="true" hidden="false" outlineLevel="0" max="22" min="22" style="0" width="14.7"/>
    <col collapsed="false" customWidth="true" hidden="false" outlineLevel="0" max="25" min="23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2894167.01923784</v>
      </c>
      <c r="Q11" s="1" t="n">
        <f aca="false">Wilton!Q47</f>
        <v>28744296.6842476</v>
      </c>
      <c r="R11" s="1" t="n">
        <f aca="false">Wilton!R47</f>
        <v>18404590.7609498</v>
      </c>
      <c r="S11" s="1" t="n">
        <f aca="false">Wilton!S47</f>
        <v>16252970.1014535</v>
      </c>
      <c r="T11" s="1" t="n">
        <f aca="false">Wilton!T47</f>
        <v>9189640.28567807</v>
      </c>
      <c r="U11" s="1" t="n">
        <f aca="false">Wilton!U47</f>
        <v>16366766.4354963</v>
      </c>
      <c r="V11" s="1" t="n">
        <f aca="false">Wilton!Y47</f>
        <v>254304798.9361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Gleason!C47</f>
        <v>0</v>
      </c>
      <c r="D13" s="1" t="n">
        <f aca="false">Gleason!D47</f>
        <v>0</v>
      </c>
      <c r="E13" s="1" t="n">
        <f aca="false">Gleason!E47</f>
        <v>0</v>
      </c>
      <c r="F13" s="1" t="n">
        <f aca="false">Gleason!F47</f>
        <v>0</v>
      </c>
      <c r="G13" s="1" t="n">
        <f aca="false">Gleason!G47</f>
        <v>0</v>
      </c>
      <c r="H13" s="1" t="n">
        <f aca="false">Gleason!H47</f>
        <v>0</v>
      </c>
      <c r="I13" s="1" t="n">
        <f aca="false">Gleason!I47</f>
        <v>0</v>
      </c>
      <c r="J13" s="1" t="n">
        <f aca="false">Gleason!J47</f>
        <v>0</v>
      </c>
      <c r="K13" s="1" t="n">
        <f aca="false">Gleason!L47</f>
        <v>93174572.05</v>
      </c>
      <c r="L13" s="1" t="n">
        <f aca="false">Gleason!M47</f>
        <v>706459.93</v>
      </c>
      <c r="M13" s="1" t="n">
        <f aca="false">Gleason!N47</f>
        <v>2178270.25600972</v>
      </c>
      <c r="N13" s="1" t="n">
        <f aca="false">Gleason!O47</f>
        <v>7520808.75656311</v>
      </c>
      <c r="O13" s="1" t="n">
        <f aca="false">Gleason!P47</f>
        <v>2620724.57860699</v>
      </c>
      <c r="P13" s="1" t="n">
        <f aca="false">Gleason!Q47</f>
        <v>8237707.50569111</v>
      </c>
      <c r="Q13" s="1" t="n">
        <f aca="false">Gleason!R47</f>
        <v>12213468.9459412</v>
      </c>
      <c r="R13" s="1" t="n">
        <f aca="false">Gleason!S47</f>
        <v>10343018.2510296</v>
      </c>
      <c r="S13" s="1" t="n">
        <f aca="false">Gleason!T47</f>
        <v>10448301.7191664</v>
      </c>
      <c r="T13" s="1" t="n">
        <f aca="false">Gleason!U47</f>
        <v>8288014.7286031</v>
      </c>
      <c r="U13" s="1" t="n">
        <f aca="false">Gleason!V47</f>
        <v>22666313.9990435</v>
      </c>
      <c r="V13" s="1" t="n">
        <f aca="false">Gleason!Z47</f>
        <v>175897369.720655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4425759.3</v>
      </c>
      <c r="P15" s="1" t="n">
        <f aca="false">Wheatland!P46</f>
        <v>8700648.72844338</v>
      </c>
      <c r="Q15" s="1" t="n">
        <f aca="false">Wheatland!Q46</f>
        <v>11335449.20643</v>
      </c>
      <c r="R15" s="1" t="n">
        <f aca="false">Wheatland!R46</f>
        <v>11748935.1421488</v>
      </c>
      <c r="S15" s="1" t="n">
        <f aca="false">Wheatland!S46</f>
        <v>8601371.19579382</v>
      </c>
      <c r="T15" s="1" t="n">
        <f aca="false">Wheatland!T46</f>
        <v>7913550.13616937</v>
      </c>
      <c r="U15" s="1" t="n">
        <f aca="false">Wheatland!U46</f>
        <v>16311867.7826374</v>
      </c>
      <c r="V15" s="1" t="n">
        <f aca="false">Wheatland!Y46</f>
        <v>161695008.605805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46356667.2872356</v>
      </c>
      <c r="P17" s="1" t="n">
        <f aca="false">SUM(P10:P15)</f>
        <v>19832523.2533723</v>
      </c>
      <c r="Q17" s="1" t="n">
        <f aca="false">SUM(Q10:Q15)</f>
        <v>52293214.8366188</v>
      </c>
      <c r="R17" s="1" t="n">
        <f aca="false">SUM(R10:R15)</f>
        <v>40496544.1541282</v>
      </c>
      <c r="S17" s="1" t="n">
        <f aca="false">SUM(S10:S15)</f>
        <v>35302643.0164138</v>
      </c>
      <c r="T17" s="1" t="n">
        <f aca="false">SUM(T10:T15)</f>
        <v>25391205.1504505</v>
      </c>
      <c r="U17" s="1" t="n">
        <f aca="false">SUM(U10:U15)</f>
        <v>55344948.2171772</v>
      </c>
      <c r="V17" s="1" t="n">
        <f aca="false">SUM(V10:V15)</f>
        <v>591897177.26256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364559518.907199</v>
      </c>
      <c r="P18" s="2" t="n">
        <f aca="false">O18+P17</f>
        <v>384392042.160571</v>
      </c>
      <c r="Q18" s="2" t="n">
        <f aca="false">P18+Q17</f>
        <v>436685256.99719</v>
      </c>
      <c r="R18" s="2" t="n">
        <f aca="false">Q18+R17</f>
        <v>477181801.151318</v>
      </c>
      <c r="S18" s="2" t="n">
        <f aca="false">R18+S17</f>
        <v>512484444.167732</v>
      </c>
      <c r="T18" s="2" t="n">
        <f aca="false">S18+T17</f>
        <v>537875649.318183</v>
      </c>
      <c r="U18" s="2" t="n">
        <f aca="false">T18+U17</f>
        <v>593220597.53536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XML/filtered-attachments/xls/Draw_Sched___013100.xls'#$Calvert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45926.9532077102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T56" activePane="bottomRight" state="frozen"/>
      <selection pane="topLeft" activeCell="A1" activeCellId="0" sqref="A1"/>
      <selection pane="topRight" activeCell="T1" activeCellId="0" sqref="T1"/>
      <selection pane="bottomLeft" activeCell="A56" activeCellId="0" sqref="A56"/>
      <selection pane="bottomRight" activeCell="AB77" activeCellId="0" sqref="AB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XML/filtered-attachments/xls/Draw_Sched___013100.xls'#$Wilton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45926.953207737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Q11" s="1" t="n">
        <v>591604.8</v>
      </c>
      <c r="Y11" s="16" t="n">
        <f aca="false">SUM(C11:X11)</f>
        <v>5916047.6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-0.400000000372529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1775722.31</v>
      </c>
      <c r="S12" s="1" t="n">
        <v>1302196.36</v>
      </c>
      <c r="U12" s="1" t="n">
        <f aca="false">473525.95+8560+440</f>
        <v>482525.95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[1]Wilton!$BR$143</f>
        <v>9479519</v>
      </c>
      <c r="AB12" s="1" t="n">
        <f aca="false">Y12-AA12</f>
        <v>0.299999998882413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[1]Wilton!$BR$127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</f>
        <v>235403</v>
      </c>
      <c r="Y14" s="16" t="n">
        <f aca="false">SUM(C14:X14)</f>
        <v>2824799</v>
      </c>
      <c r="Z14" s="17" t="str">
        <f aca="false">Z13</f>
        <v>Mike Miller</v>
      </c>
      <c r="AA14" s="1" t="n">
        <f aca="false">[1]Wilton!$BR$128</f>
        <v>2824800</v>
      </c>
      <c r="AB14" s="1" t="n">
        <f aca="false">Y14-AA14</f>
        <v>-1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[1]Wilton!$BR$129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v>1727562</v>
      </c>
      <c r="Q16" s="1" t="n">
        <v>2134700</v>
      </c>
      <c r="R16" s="1" t="n">
        <v>2351106</v>
      </c>
      <c r="S16" s="1" t="n">
        <v>2233236</v>
      </c>
      <c r="T16" s="1" t="n">
        <v>1746094</v>
      </c>
      <c r="U16" s="1" t="n">
        <f aca="false">1164348+622654+868432</f>
        <v>2655434</v>
      </c>
      <c r="Y16" s="16" t="n">
        <f aca="false">SUM(C16:X16)</f>
        <v>14346909</v>
      </c>
      <c r="Z16" s="17" t="str">
        <f aca="false">Z15</f>
        <v>Mike Miller</v>
      </c>
      <c r="AA16" s="1" t="n">
        <f aca="false">[1]Wilton!$BR$55</f>
        <v>14346909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v>1451621</v>
      </c>
      <c r="Q17" s="1" t="n">
        <v>1032590</v>
      </c>
      <c r="R17" s="1" t="n">
        <v>1862702</v>
      </c>
      <c r="S17" s="1" t="n">
        <v>1954057</v>
      </c>
      <c r="T17" s="1" t="n">
        <v>231962</v>
      </c>
      <c r="U17" s="1" t="n">
        <f aca="false">108857+357741-271</f>
        <v>466327</v>
      </c>
      <c r="Y17" s="16" t="n">
        <f aca="false">SUM(C17:X17)</f>
        <v>7349178</v>
      </c>
      <c r="Z17" s="17" t="str">
        <f aca="false">Z16</f>
        <v>Mike Miller</v>
      </c>
      <c r="AA17" s="1" t="n">
        <f aca="false">[1]Wilton!$BR$81</f>
        <v>7349178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v>4657660</v>
      </c>
      <c r="Q18" s="1" t="n">
        <f aca="false">9531733-Q16-Q17-Q19</f>
        <v>4537347</v>
      </c>
      <c r="R18" s="1" t="n">
        <f aca="false">12922196-R16-R17-R19</f>
        <v>7381251</v>
      </c>
      <c r="S18" s="1" t="n">
        <f aca="false">11527832-S16-S17-S19</f>
        <v>6849670</v>
      </c>
      <c r="T18" s="1" t="n">
        <v>3000000</v>
      </c>
      <c r="U18" s="1" t="n">
        <f aca="false">4849213-U16-U17-U19+4363162</f>
        <v>5327329</v>
      </c>
      <c r="W18" s="1" t="n">
        <v>0</v>
      </c>
      <c r="Y18" s="16" t="n">
        <f aca="false">SUM(C18:X18)</f>
        <v>34323186</v>
      </c>
      <c r="Z18" s="17" t="str">
        <f aca="false">Z17</f>
        <v>Mike Miller</v>
      </c>
      <c r="AA18" s="1" t="n">
        <f aca="false">[1]Wilton!$BR$115</f>
        <v>34323186</v>
      </c>
      <c r="AB18" s="1" t="n">
        <f aca="false">Y18-AA18</f>
        <v>0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Q19" s="1" t="n">
        <v>1827096</v>
      </c>
      <c r="R19" s="1" t="n">
        <v>1327137</v>
      </c>
      <c r="S19" s="1" t="n">
        <v>490869</v>
      </c>
      <c r="T19" s="1" t="n">
        <f aca="false">199984-63285</f>
        <v>136699</v>
      </c>
      <c r="U19" s="1" t="n">
        <v>763285</v>
      </c>
      <c r="Y19" s="16" t="n">
        <f aca="false">SUM(C19:X19)</f>
        <v>5336759</v>
      </c>
      <c r="Z19" s="17" t="str">
        <f aca="false">Z18</f>
        <v>Mike Miller</v>
      </c>
      <c r="AA19" s="1" t="n">
        <f aca="false">[1]Wilton!$BR$120</f>
        <v>5336759</v>
      </c>
      <c r="AB19" s="1" t="n">
        <f aca="false">Y19-AA19</f>
        <v>0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[1]Wilton!$BR$158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S21" s="1" t="n">
        <f aca="false">-744251-41531</f>
        <v>-785782</v>
      </c>
      <c r="U21" s="1" t="n">
        <v>744251</v>
      </c>
      <c r="W21" s="1" t="n">
        <v>0</v>
      </c>
      <c r="Y21" s="16" t="n">
        <f aca="false">SUM(C21:X21)</f>
        <v>0</v>
      </c>
      <c r="Z21" s="17"/>
      <c r="AA21" s="1" t="n">
        <v>-744251</v>
      </c>
      <c r="AB21" s="1" t="n">
        <f aca="false">Y21-AA21</f>
        <v>744251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P22" s="1" t="n">
        <v>-7855877</v>
      </c>
      <c r="U22" s="1" t="n">
        <v>-7811115</v>
      </c>
      <c r="Y22" s="16" t="n">
        <f aca="false">SUM(C22:X22)</f>
        <v>0</v>
      </c>
      <c r="Z22" s="17" t="str">
        <f aca="false">Z20</f>
        <v>Mike Miller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27</v>
      </c>
      <c r="C23" s="2" t="n">
        <v>0</v>
      </c>
      <c r="F23" s="15"/>
      <c r="P23" s="1" t="n">
        <v>0</v>
      </c>
      <c r="Q23" s="1" t="n">
        <f aca="false">125000+125000</f>
        <v>250000</v>
      </c>
      <c r="R23" s="1" t="n">
        <v>125000</v>
      </c>
      <c r="S23" s="1" t="n">
        <v>125000</v>
      </c>
      <c r="T23" s="1" t="n">
        <v>125000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[1]Wilton!$BR$152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[1]Wilton!$BR$160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P25" s="1" t="n">
        <v>180000</v>
      </c>
      <c r="Y25" s="16" t="n">
        <f aca="false">SUM(C25:X25)</f>
        <v>2485818</v>
      </c>
      <c r="Z25" s="17" t="s">
        <v>31</v>
      </c>
      <c r="AA25" s="1" t="n">
        <f aca="false">[1]Wilton!$BR$167</f>
        <v>2485818.14</v>
      </c>
      <c r="AB25" s="1" t="n">
        <f aca="false">Y25-AA25</f>
        <v>-0.140000000130385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5434</v>
      </c>
      <c r="Q26" s="1" t="n">
        <v>51338</v>
      </c>
      <c r="R26" s="1" t="n">
        <v>73458</v>
      </c>
      <c r="U26" s="1" t="n">
        <v>0</v>
      </c>
      <c r="Y26" s="16" t="n">
        <f aca="false">SUM(C26:X26)</f>
        <v>349954.46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P27" s="1" t="n">
        <v>2174</v>
      </c>
      <c r="Y27" s="16" t="n">
        <f aca="false">SUM(C27:X27)</f>
        <v>218556</v>
      </c>
      <c r="Z27" s="17"/>
      <c r="AA27" s="1" t="n">
        <f aca="false">[1]Wilton!$BR$156</f>
        <v>218555.81</v>
      </c>
      <c r="AB27" s="1" t="n">
        <f aca="false">Y27-AA27</f>
        <v>0.189999999973224</v>
      </c>
    </row>
    <row r="28" customFormat="false" ht="12.75" hidden="false" customHeight="false" outlineLevel="0" collapsed="false">
      <c r="A28" s="1" t="s">
        <v>108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v>115500</v>
      </c>
      <c r="Q28" s="1" t="n">
        <v>665606</v>
      </c>
      <c r="R28" s="1" t="n">
        <v>200000</v>
      </c>
      <c r="Y28" s="16" t="n">
        <f aca="false">SUM(C28:X28)</f>
        <v>1200000</v>
      </c>
      <c r="Z28" s="17" t="s">
        <v>34</v>
      </c>
      <c r="AA28" s="1" t="n">
        <f aca="false">[1]Wilton!$BR$176</f>
        <v>1200000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0</v>
      </c>
      <c r="Q29" s="1" t="n">
        <f aca="false">1250000+500000</f>
        <v>1750000</v>
      </c>
      <c r="R29" s="1" t="n">
        <f aca="false">1250000+500000</f>
        <v>1750000</v>
      </c>
      <c r="S29" s="1" t="n">
        <v>1500000</v>
      </c>
      <c r="T29" s="1" t="n">
        <f aca="false">500000+750000</f>
        <v>1250000</v>
      </c>
      <c r="U29" s="1" t="n">
        <v>250000</v>
      </c>
      <c r="Y29" s="16" t="n">
        <f aca="false">SUM(C29:X29)</f>
        <v>6500000</v>
      </c>
      <c r="Z29" s="17" t="s">
        <v>34</v>
      </c>
      <c r="AA29" s="1" t="n">
        <f aca="false">[1]Wilton!$BR$178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[1]Wilton!$BR$184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[1]Wilton!$BR$186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f aca="false">200000/15</f>
        <v>13333.3333333333</v>
      </c>
      <c r="R32" s="1" t="n">
        <f aca="false">200000/15</f>
        <v>13333.3333333333</v>
      </c>
      <c r="S32" s="1" t="n">
        <f aca="false">6712-438+13334</f>
        <v>19608</v>
      </c>
      <c r="T32" s="1" t="n">
        <v>5588</v>
      </c>
      <c r="U32" s="1" t="n">
        <f aca="false">6742+33723+13333</f>
        <v>53798</v>
      </c>
      <c r="Y32" s="16" t="n">
        <f aca="false">SUM(C32:X32)</f>
        <v>177395.926666667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v>51069</v>
      </c>
      <c r="Q33" s="1" t="n">
        <v>2610</v>
      </c>
      <c r="R33" s="1" t="n">
        <v>31732</v>
      </c>
      <c r="U33" s="1" t="n">
        <f aca="false">36960-8586</f>
        <v>28374</v>
      </c>
      <c r="Y33" s="16" t="n">
        <f aca="false">SUM(C33:X33)</f>
        <v>552743.48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0</v>
      </c>
      <c r="Q34" s="1" t="n">
        <v>19571</v>
      </c>
      <c r="R34" s="1" t="n">
        <f aca="false">5000+50000</f>
        <v>55000</v>
      </c>
      <c r="S34" s="1" t="n">
        <f aca="false">153+18251</f>
        <v>18404</v>
      </c>
      <c r="T34" s="1" t="n">
        <f aca="false">54925-5848.5+50000</f>
        <v>99076.5</v>
      </c>
      <c r="U34" s="1" t="n">
        <v>15544</v>
      </c>
      <c r="Y34" s="16" t="n">
        <f aca="false">SUM(C34:X34)</f>
        <v>498959.5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2003365.13333333</v>
      </c>
      <c r="Q35" s="18" t="n">
        <f aca="false">SUM(Q10:Q34)</f>
        <v>27698635.3466667</v>
      </c>
      <c r="R35" s="18" t="n">
        <f aca="false">SUM(R10:R34)</f>
        <v>17259774.9766667</v>
      </c>
      <c r="S35" s="18" t="n">
        <f aca="false">SUM(S10:S34)</f>
        <v>15020591.6933333</v>
      </c>
      <c r="T35" s="18" t="n">
        <f aca="false">SUM(T10:T34)</f>
        <v>7907752.83333333</v>
      </c>
      <c r="U35" s="18" t="n">
        <f aca="false">SUM(U10:U34)</f>
        <v>14996703.2833333</v>
      </c>
      <c r="V35" s="18" t="n">
        <f aca="false">SUM(V10:V34)</f>
        <v>0</v>
      </c>
      <c r="W35" s="18" t="n">
        <f aca="false">SUM(W10:W34)</f>
        <v>0</v>
      </c>
      <c r="X35" s="18" t="n">
        <f aca="false">SUM(X10:X34)</f>
        <v>0</v>
      </c>
      <c r="Y35" s="19" t="n">
        <f aca="false">SUM(C35:X35)</f>
        <v>242060580.513333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159177122.38</v>
      </c>
      <c r="Q36" s="18" t="n">
        <f aca="false">+P36+Q35</f>
        <v>186875757.726667</v>
      </c>
      <c r="R36" s="18" t="n">
        <f aca="false">+Q36+R35</f>
        <v>204135532.703333</v>
      </c>
      <c r="S36" s="18" t="n">
        <f aca="false">+R36+S35</f>
        <v>219156124.396667</v>
      </c>
      <c r="T36" s="18" t="n">
        <f aca="false">+S36+T35</f>
        <v>227063877.23</v>
      </c>
      <c r="U36" s="18" t="n">
        <f aca="false">+T36+U35</f>
        <v>242060580.513333</v>
      </c>
      <c r="V36" s="18" t="n">
        <f aca="false">+U36+V35</f>
        <v>242060580.513333</v>
      </c>
      <c r="W36" s="18" t="n">
        <f aca="false">+V36+W35</f>
        <v>242060580.513333</v>
      </c>
      <c r="X36" s="18" t="n">
        <f aca="false">+W36+X35</f>
        <v>242060580.513333</v>
      </c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398.125954791667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f aca="false">(P36+O45)*$C50/12</f>
        <v>890801.885904508</v>
      </c>
      <c r="Q40" s="15" t="n">
        <f aca="false">(Q36+P45)*$C50/12</f>
        <v>1045661.33758093</v>
      </c>
      <c r="R40" s="15" t="n">
        <f aca="false">(R36+Q45)*$C50/12</f>
        <v>1144815.78428311</v>
      </c>
      <c r="S40" s="15" t="n">
        <f aca="false">(S36+R45)*$C50/12</f>
        <v>1232378.4081202</v>
      </c>
      <c r="T40" s="15" t="n">
        <f aca="false">(T36+S45)*$C50/12</f>
        <v>1281887.45234474</v>
      </c>
      <c r="U40" s="15" t="n">
        <f aca="false">(U36+T45)*$C50/12</f>
        <v>1370063.15216299</v>
      </c>
      <c r="V40" s="15"/>
      <c r="W40" s="15"/>
      <c r="X40" s="15"/>
      <c r="Y40" s="16" t="n">
        <f aca="false">SUM(C40:X40)</f>
        <v>12249106.9227672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109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890801.885904508</v>
      </c>
      <c r="Q44" s="18" t="n">
        <f aca="false">SUM(Q39:Q43)</f>
        <v>1045661.33758093</v>
      </c>
      <c r="R44" s="18" t="n">
        <f aca="false">SUM(R39:R43)</f>
        <v>1144815.78428311</v>
      </c>
      <c r="S44" s="18" t="n">
        <f aca="false">SUM(S39:S43)</f>
        <v>1232378.4081202</v>
      </c>
      <c r="T44" s="18" t="n">
        <f aca="false">SUM(T39:T43)</f>
        <v>1281887.45234474</v>
      </c>
      <c r="U44" s="18" t="n">
        <f aca="false">SUM(U39:U43)</f>
        <v>1370063.15216299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12244218.4227672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6169412.28827518</v>
      </c>
      <c r="Q45" s="18" t="n">
        <f aca="false">+Q44+P45</f>
        <v>7215073.62585612</v>
      </c>
      <c r="R45" s="18" t="n">
        <f aca="false">+R44+Q45</f>
        <v>8359889.41013923</v>
      </c>
      <c r="S45" s="18" t="n">
        <f aca="false">+S44+R45</f>
        <v>9592267.81825943</v>
      </c>
      <c r="T45" s="18" t="n">
        <f aca="false">+T44+S45</f>
        <v>10874155.2706042</v>
      </c>
      <c r="U45" s="18" t="n">
        <f aca="false">+U44+T45</f>
        <v>12244218.4227672</v>
      </c>
      <c r="V45" s="18" t="n">
        <f aca="false">+V44+U45</f>
        <v>12244218.4227672</v>
      </c>
      <c r="W45" s="18" t="n">
        <f aca="false">+W44+V45</f>
        <v>12244218.4227672</v>
      </c>
      <c r="X45" s="18" t="n">
        <f aca="false">+X44+W45</f>
        <v>12244218.4227672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110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2894167.01923784</v>
      </c>
      <c r="Q47" s="2" t="n">
        <f aca="false">+Q35+Q44</f>
        <v>28744296.6842476</v>
      </c>
      <c r="R47" s="2" t="n">
        <f aca="false">+R35+R44</f>
        <v>18404590.7609498</v>
      </c>
      <c r="S47" s="2" t="n">
        <f aca="false">+S35+S44</f>
        <v>16252970.1014535</v>
      </c>
      <c r="T47" s="2" t="n">
        <f aca="false">+T35+T44</f>
        <v>9189640.28567807</v>
      </c>
      <c r="U47" s="2" t="n">
        <f aca="false">+U35+U44</f>
        <v>16366766.4354963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254304798.9361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165346534.668275</v>
      </c>
      <c r="Q48" s="2" t="n">
        <f aca="false">P48+Q47</f>
        <v>194090831.352523</v>
      </c>
      <c r="R48" s="2" t="n">
        <f aca="false">Q48+R47</f>
        <v>212495422.113473</v>
      </c>
      <c r="S48" s="2" t="n">
        <f aca="false">R48+S47</f>
        <v>228748392.214926</v>
      </c>
      <c r="T48" s="2" t="n">
        <f aca="false">S48+T47</f>
        <v>237938032.500604</v>
      </c>
      <c r="U48" s="2" t="n">
        <f aca="false">T48+U47</f>
        <v>254304798.936101</v>
      </c>
      <c r="V48" s="2" t="n">
        <f aca="false">U48+V47</f>
        <v>254304798.936101</v>
      </c>
      <c r="W48" s="2" t="n">
        <f aca="false">V48+W47</f>
        <v>254304798.936101</v>
      </c>
      <c r="X48" s="2" t="n">
        <f aca="false">W48+X47</f>
        <v>254304798.936101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418.264471934376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2003365.13333333</v>
      </c>
      <c r="Q55" s="2" t="n">
        <f aca="false">+Q47-Q40</f>
        <v>27698635.3466667</v>
      </c>
      <c r="R55" s="2" t="n">
        <f aca="false">+R47-R40</f>
        <v>17259774.9766667</v>
      </c>
      <c r="S55" s="2" t="n">
        <f aca="false">+S47-S40</f>
        <v>15020591.6933333</v>
      </c>
      <c r="T55" s="2" t="n">
        <f aca="false">+T47-T40</f>
        <v>7907752.83333333</v>
      </c>
      <c r="U55" s="2" t="n">
        <f aca="false">+U47-U40</f>
        <v>14996703.2833333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242055692.013333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111</v>
      </c>
    </row>
    <row r="59" customFormat="false" ht="12.75" hidden="false" customHeight="false" outlineLevel="0" collapsed="false">
      <c r="A59" s="9" t="s">
        <v>20</v>
      </c>
      <c r="Y59" s="16"/>
      <c r="AB59" s="1" t="s">
        <v>112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50045.37</v>
      </c>
      <c r="Z60" s="17" t="s">
        <v>31</v>
      </c>
      <c r="AA60" s="1" t="n">
        <f aca="false">Y60+Y26</f>
        <v>399999.83</v>
      </c>
      <c r="AB60" s="1" t="n">
        <f aca="false">[1]Wilton!$BR$174</f>
        <v>400000</v>
      </c>
      <c r="AC60" s="1" t="n">
        <f aca="false">AB60-AA60</f>
        <v>0.169999999983702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Y61" s="16" t="n">
        <f aca="false">SUM(C61:U61)</f>
        <v>343992.42</v>
      </c>
      <c r="Z61" s="17" t="str">
        <f aca="false">Z60</f>
        <v>Scott Healy</v>
      </c>
      <c r="AA61" s="1" t="n">
        <f aca="false">Y61+Y33</f>
        <v>896735.9</v>
      </c>
      <c r="AB61" s="1" t="n">
        <f aca="false">[1]Wilton!$BR$197</f>
        <v>896735.58</v>
      </c>
      <c r="AC61" s="1" t="n">
        <f aca="false">AB61-AA61</f>
        <v>-0.319999999832362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SUM(C62:U62)</f>
        <v>22604</v>
      </c>
      <c r="Z62" s="17" t="str">
        <f aca="false">Z61</f>
        <v>Scott Healy</v>
      </c>
      <c r="AA62" s="1" t="n">
        <f aca="false">Y62+Y32</f>
        <v>199999.926666667</v>
      </c>
      <c r="AB62" s="1" t="n">
        <f aca="false">[1]Wilton!$BR$188</f>
        <v>200000</v>
      </c>
      <c r="AC62" s="1" t="n">
        <f aca="false">AB62-AA62</f>
        <v>0.0733333333337214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SUM(C63:U63)</f>
        <v>10000</v>
      </c>
      <c r="Z63" s="17" t="str">
        <f aca="false">Z62</f>
        <v>Scott Healy</v>
      </c>
      <c r="AA63" s="1" t="n">
        <f aca="false">Y63+Y34</f>
        <v>508959.5</v>
      </c>
      <c r="AB63" s="1" t="n">
        <f aca="false">[1]Wilton!$BR$204</f>
        <v>508959.46</v>
      </c>
      <c r="AC63" s="1" t="n">
        <f aca="false">AB63-AA63</f>
        <v>-0.0400000000372529</v>
      </c>
    </row>
    <row r="64" customFormat="false" ht="12.75" hidden="false" customHeight="false" outlineLevel="0" collapsed="false">
      <c r="A64" s="2" t="s">
        <v>113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426641.79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[1]Wilton!$AN$220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276900.79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114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115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116</v>
      </c>
      <c r="C77" s="37" t="n">
        <f aca="false">+C47+C67+C74</f>
        <v>7279633</v>
      </c>
      <c r="D77" s="37" t="n">
        <f aca="false">+D47+D67+D74</f>
        <v>1298989</v>
      </c>
      <c r="E77" s="37" t="n">
        <f aca="false">+E47+E67+E74</f>
        <v>33151936.95</v>
      </c>
      <c r="F77" s="37" t="n">
        <f aca="false">+F47+F67+F74</f>
        <v>290031.29</v>
      </c>
      <c r="G77" s="37" t="n">
        <f aca="false">+G47+G67+G74</f>
        <v>1733894.9</v>
      </c>
      <c r="H77" s="37" t="n">
        <f aca="false">+H47+H67+H74</f>
        <v>18881456.73</v>
      </c>
      <c r="I77" s="37" t="n">
        <f aca="false">+I47+I67+I74</f>
        <v>8167701.63252083</v>
      </c>
      <c r="J77" s="37" t="n">
        <f aca="false">+J47+J67+J74</f>
        <v>8854945.52206088</v>
      </c>
      <c r="K77" s="37" t="n">
        <f aca="false">+K47+K67+K74</f>
        <v>6988529.92872204</v>
      </c>
      <c r="L77" s="37" t="n">
        <f aca="false">+L47+L67+L74</f>
        <v>7789830.9390361</v>
      </c>
      <c r="M77" s="37" t="n">
        <f aca="false">+M47+M67+M74</f>
        <v>11652992.8308585</v>
      </c>
      <c r="N77" s="37" t="n">
        <f aca="false">+N47+N67+N74</f>
        <v>17627424.6272104</v>
      </c>
      <c r="O77" s="37" t="n">
        <f aca="false">+O47+O67+O74</f>
        <v>39311425.7086286</v>
      </c>
      <c r="P77" s="37" t="n">
        <f aca="false">+P47+P67+P74</f>
        <v>2894167.01923784</v>
      </c>
      <c r="Q77" s="37" t="n">
        <f aca="false">+Q47+Q67+Q74</f>
        <v>28744296.6842476</v>
      </c>
      <c r="R77" s="37" t="n">
        <f aca="false">+R47+R67+R74</f>
        <v>18404590.7609498</v>
      </c>
      <c r="S77" s="37" t="n">
        <f aca="false">+S47+S67+S74</f>
        <v>16252970.1014535</v>
      </c>
      <c r="T77" s="37" t="n">
        <f aca="false">+T47+T67+T74</f>
        <v>9189640.28567807</v>
      </c>
      <c r="U77" s="37" t="n">
        <f aca="false">+U47+U67+U74</f>
        <v>16366766.4354963</v>
      </c>
      <c r="V77" s="37" t="n">
        <f aca="false">+V47+V67+V74</f>
        <v>0</v>
      </c>
      <c r="W77" s="37" t="n">
        <f aca="false">+W47+W67+W74</f>
        <v>0</v>
      </c>
      <c r="X77" s="37" t="n">
        <f aca="false">+X47+X67+X74</f>
        <v>0</v>
      </c>
      <c r="Y77" s="38" t="n">
        <f aca="false">SUM(C77:U77)</f>
        <v>254881224.3461</v>
      </c>
    </row>
    <row r="78" customFormat="false" ht="12.75" hidden="false" customHeight="false" outlineLevel="0" collapsed="false">
      <c r="U78" s="0"/>
      <c r="V78" s="0"/>
      <c r="W78" s="0"/>
      <c r="X78" s="0"/>
      <c r="Y78" s="39" t="n">
        <f aca="false">Y77-[1]Wilton!$BR$236</f>
        <v>-0.846666693687439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V54" activePane="bottomRight" state="frozen"/>
      <selection pane="topLeft" activeCell="A1" activeCellId="0" sqref="A1"/>
      <selection pane="topRight" activeCell="V1" activeCellId="0" sqref="V1"/>
      <selection pane="bottomLeft" activeCell="A54" activeCellId="0" sqref="A54"/>
      <selection pane="bottomRight" activeCell="Z64" activeCellId="0" sqref="Z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3" min="22" style="1" width="12.14"/>
    <col collapsed="false" customWidth="true" hidden="true" outlineLevel="0" max="25" min="24" style="1" width="12.14"/>
    <col collapsed="false" customWidth="true" hidden="false" outlineLevel="0" max="26" min="26" style="2" width="13.56"/>
    <col collapsed="false" customWidth="true" hidden="false" outlineLevel="0" max="27" min="27" style="1" width="19.99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XML/filtered-attachments/xls/Draw_Sched___013100.xls'#$Gleason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45926.9532077746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1160414</v>
      </c>
      <c r="U10" s="1" t="n">
        <v>11</v>
      </c>
      <c r="V10" s="1" t="n">
        <f aca="false">3081531-1282310</f>
        <v>1799221</v>
      </c>
      <c r="Z10" s="16" t="n">
        <f aca="false">SUM(C10:Y10)</f>
        <v>60842740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</f>
        <v>3304048</v>
      </c>
      <c r="Z11" s="16" t="n">
        <f aca="false">SUM(C11:Y11)</f>
        <v>34718304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645575.4</v>
      </c>
      <c r="S12" s="1" t="n">
        <f aca="false">531586.8-58500</f>
        <v>473086.8</v>
      </c>
      <c r="T12" s="1" t="n">
        <v>0</v>
      </c>
      <c r="V12" s="1" t="n">
        <v>0</v>
      </c>
      <c r="Z12" s="16" t="n">
        <f aca="false">SUM(C12:Y12)</f>
        <v>6024610.8</v>
      </c>
      <c r="AA12" s="23" t="s">
        <v>23</v>
      </c>
      <c r="AB12" s="1" t="n">
        <f aca="false">[1]Gleason!$BT$35</f>
        <v>6024611</v>
      </c>
      <c r="AC12" s="1" t="n">
        <f aca="false">Z12-AB12</f>
        <v>-0.200000000186265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[1]Gleason!$BT$136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2840700/12+12</f>
        <v>236737</v>
      </c>
      <c r="Z14" s="16" t="n">
        <f aca="false">SUM(C14:Y14)</f>
        <v>2840700</v>
      </c>
      <c r="AA14" s="23" t="s">
        <v>23</v>
      </c>
      <c r="AB14" s="1" t="n">
        <f aca="false">[1]Gleason!$BT$137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[1]Gleason!$BT$138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v>1769159</v>
      </c>
      <c r="R16" s="1" t="n">
        <f aca="false">(0.4765-0.2939)*AB16</f>
        <v>3131172.0286</v>
      </c>
      <c r="S16" s="1" t="n">
        <f aca="false">(0.6457-0.4765)*AB16</f>
        <v>2901392.7012</v>
      </c>
      <c r="T16" s="1" t="n">
        <f aca="false">(0.7795-0.6457)*AB16</f>
        <v>2294363.7318</v>
      </c>
      <c r="U16" s="1" t="n">
        <f aca="false">(0.8617-0.7795)*AB16</f>
        <v>1409541.8442</v>
      </c>
      <c r="V16" s="1" t="n">
        <f aca="false">((0.9293-0.8617)*AB16)+1212343+784135</f>
        <v>3155663.2636</v>
      </c>
      <c r="W16" s="1" t="n">
        <f aca="false">17147711-15082111</f>
        <v>2065600</v>
      </c>
      <c r="Z16" s="16" t="n">
        <f aca="false">SUM(C16:Y16)</f>
        <v>17147710.5694</v>
      </c>
      <c r="AA16" s="23"/>
      <c r="AB16" s="1" t="n">
        <f aca="false">[1]Gleason!$BT$61</f>
        <v>17147711</v>
      </c>
      <c r="AC16" s="1" t="n">
        <f aca="false">Z16-AB16</f>
        <v>-0.430599998682737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v>225269</v>
      </c>
      <c r="R17" s="1" t="n">
        <f aca="false">(0.4765-0.2939)*AB17</f>
        <v>778046.0006</v>
      </c>
      <c r="S17" s="1" t="n">
        <f aca="false">(0.6457-0.4765)*AB17</f>
        <v>720949.5252</v>
      </c>
      <c r="T17" s="1" t="n">
        <f aca="false">(0.7795-0.6457)*AB17</f>
        <v>570112.5678</v>
      </c>
      <c r="U17" s="1" t="n">
        <f aca="false">(0.8617-0.7795)*AB17</f>
        <v>350248.5282</v>
      </c>
      <c r="V17" s="1" t="n">
        <f aca="false">(0.9293-0.8617)*AB17+301248+409183</f>
        <v>998469.9356</v>
      </c>
      <c r="W17" s="1" t="n">
        <f aca="false">4260931-3727117</f>
        <v>533814</v>
      </c>
      <c r="Z17" s="16" t="n">
        <f aca="false">SUM(C17:Y17)</f>
        <v>4260930.5574</v>
      </c>
      <c r="AA17" s="23"/>
      <c r="AB17" s="1" t="n">
        <f aca="false">[1]Gleason!$BT$89</f>
        <v>4260931</v>
      </c>
      <c r="AC17" s="1" t="n">
        <f aca="false">Z17-AB17</f>
        <v>-0.442600000649691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v>2792896</v>
      </c>
      <c r="R18" s="1" t="n">
        <f aca="false">(0.4765-0.2939)*AB18</f>
        <v>2820028.3848</v>
      </c>
      <c r="S18" s="1" t="n">
        <f aca="false">(0.6457-0.4765)*AB18</f>
        <v>2613082.1616</v>
      </c>
      <c r="T18" s="1" t="n">
        <f aca="false">(0.7795-0.6457)*AB18</f>
        <v>2066373.4824</v>
      </c>
      <c r="U18" s="1" t="n">
        <f aca="false">(0.8617-0.7795)*AB18</f>
        <v>1269476.0856</v>
      </c>
      <c r="V18" s="1" t="n">
        <f aca="false">(0.9293-0.8617)*AB18+1091873-193321-300000</f>
        <v>1642549.3648</v>
      </c>
      <c r="W18" s="1" t="n">
        <f aca="false">15443748-13408993</f>
        <v>2034755</v>
      </c>
      <c r="Z18" s="16" t="n">
        <f aca="false">SUM(C18:Y18)</f>
        <v>15443748.4792</v>
      </c>
      <c r="AA18" s="23"/>
      <c r="AB18" s="1" t="n">
        <f aca="false">[1]Gleason!$BT$122</f>
        <v>15443748</v>
      </c>
      <c r="AC18" s="1" t="n">
        <f aca="false">Z18-AB18</f>
        <v>0.479199999943376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v>848349</v>
      </c>
      <c r="R19" s="1" t="n">
        <f aca="false">(0.4765-0.2939)*AB19</f>
        <v>2216176.941</v>
      </c>
      <c r="S19" s="1" t="n">
        <f aca="false">(0.6457-0.4765)*AB19</f>
        <v>2053544.022</v>
      </c>
      <c r="T19" s="1" t="n">
        <f aca="false">(0.7795-0.6457)*AB19</f>
        <v>1623901.833</v>
      </c>
      <c r="U19" s="1" t="n">
        <f aca="false">(0.8617-0.7795)*AB19</f>
        <v>997643.727000001</v>
      </c>
      <c r="V19" s="1" t="n">
        <f aca="false">(0.9293-0.8617)*AB19+858071+958818</f>
        <v>2637335.666</v>
      </c>
      <c r="W19" s="1" t="n">
        <f aca="false">12136785-10376951</f>
        <v>1759834</v>
      </c>
      <c r="Z19" s="16" t="n">
        <f aca="false">SUM(C19:Y19)</f>
        <v>12136785.189</v>
      </c>
      <c r="AA19" s="23" t="s">
        <v>23</v>
      </c>
      <c r="AB19" s="1" t="n">
        <f aca="false">[1]Gleason!$BT$127</f>
        <v>12136785</v>
      </c>
      <c r="AC19" s="1" t="n">
        <f aca="false">Z19-AB19</f>
        <v>0.188999999314547</v>
      </c>
    </row>
    <row r="20" customFormat="false" ht="12.75" hidden="false" customHeight="false" outlineLevel="0" collapsed="false">
      <c r="A20" s="1" t="s">
        <v>105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[1]Gleason!$BT$176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f aca="false">-291068-49399</f>
        <v>-340467</v>
      </c>
      <c r="V21" s="1" t="n">
        <f aca="false">640621-49399</f>
        <v>591222</v>
      </c>
      <c r="W21" s="1" t="n">
        <f aca="false">-3387761-5595360</f>
        <v>-8983121</v>
      </c>
      <c r="Z21" s="16" t="n">
        <f aca="false">SUM(C21:Y21)</f>
        <v>-3387761</v>
      </c>
      <c r="AA21" s="23" t="s">
        <v>23</v>
      </c>
      <c r="AB21" s="1" t="n">
        <v>0</v>
      </c>
      <c r="AC21" s="1" t="n">
        <f aca="false">Z21-AB21</f>
        <v>-3387761</v>
      </c>
    </row>
    <row r="22" customFormat="false" ht="12.75" hidden="false" customHeight="false" outlineLevel="0" collapsed="false">
      <c r="A22" s="1" t="s">
        <v>27</v>
      </c>
      <c r="R22" s="1" t="n">
        <f aca="false">150000+75000</f>
        <v>225000</v>
      </c>
      <c r="S22" s="1" t="n">
        <f aca="false">150000+75000</f>
        <v>225000</v>
      </c>
      <c r="T22" s="1" t="n">
        <v>150000</v>
      </c>
      <c r="U22" s="1" t="n">
        <v>150000</v>
      </c>
      <c r="V22" s="1" t="n">
        <f aca="false">908786-750000</f>
        <v>158786</v>
      </c>
      <c r="Z22" s="16" t="n">
        <f aca="false">SUM(C22:Y22)</f>
        <v>908786</v>
      </c>
      <c r="AA22" s="23" t="s">
        <v>28</v>
      </c>
      <c r="AB22" s="1" t="n">
        <f aca="false">[1]Gleason!$BT$170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[1]Gleason!$BT$178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117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Z25" s="16" t="n">
        <f aca="false">SUM(C25:Y25)</f>
        <v>383541</v>
      </c>
      <c r="AA25" s="23" t="s">
        <v>61</v>
      </c>
      <c r="AB25" s="1" t="n">
        <f aca="false">[1]Gleason!$BT$185</f>
        <v>383541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31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0</v>
      </c>
      <c r="S26" s="1" t="n">
        <v>0</v>
      </c>
      <c r="T26" s="1" t="n">
        <v>0</v>
      </c>
      <c r="Z26" s="16" t="n">
        <f aca="false">SUM(C26:Y26)</f>
        <v>563038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32"/>
      <c r="Q27" s="1" t="n">
        <v>20486</v>
      </c>
      <c r="R27" s="1" t="n">
        <v>125000</v>
      </c>
      <c r="S27" s="1" t="n">
        <v>125000</v>
      </c>
      <c r="T27" s="1" t="n">
        <v>350000</v>
      </c>
      <c r="U27" s="1" t="n">
        <v>375000</v>
      </c>
      <c r="V27" s="1" t="n">
        <v>104514</v>
      </c>
      <c r="Z27" s="16" t="n">
        <f aca="false">SUM(C27:Y27)</f>
        <v>1100000</v>
      </c>
      <c r="AA27" s="23" t="s">
        <v>34</v>
      </c>
      <c r="AB27" s="1" t="n">
        <f aca="false">[1]Gleason!$BT$220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90</v>
      </c>
      <c r="F28" s="32"/>
      <c r="N28" s="1" t="n">
        <v>18018</v>
      </c>
      <c r="P28" s="1" t="n">
        <v>7500</v>
      </c>
      <c r="R28" s="1" t="n">
        <v>25518</v>
      </c>
      <c r="T28" s="1" t="n">
        <v>1500000</v>
      </c>
      <c r="V28" s="1" t="n">
        <f aca="false">2148964+190117</f>
        <v>2339081</v>
      </c>
      <c r="Z28" s="16" t="n">
        <f aca="false">SUM(C28:Y28)</f>
        <v>3890117</v>
      </c>
      <c r="AA28" s="23"/>
      <c r="AB28" s="1" t="n">
        <f aca="false">[1]Gleason!$BT$218</f>
        <v>3890117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36</v>
      </c>
      <c r="F29" s="32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[1]Gleason!$BT$226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32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32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[1]Gleason!$BT$228</f>
        <v>200935.25</v>
      </c>
      <c r="AC31" s="1" t="n">
        <f aca="false">Z31-AB31</f>
        <v>-0.25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f aca="false">11111.1111111111+12759</f>
        <v>23870.1111111111</v>
      </c>
      <c r="S32" s="1" t="n">
        <v>11111.1111111111</v>
      </c>
      <c r="T32" s="1" t="n">
        <v>11111.1111111111</v>
      </c>
      <c r="U32" s="1" t="n">
        <v>31111</v>
      </c>
      <c r="V32" s="1" t="n">
        <v>32312</v>
      </c>
      <c r="W32" s="1" t="n">
        <f aca="false">20595-66</f>
        <v>20529</v>
      </c>
      <c r="Z32" s="16" t="n">
        <f aca="false">SUM(C32:Y32)</f>
        <v>186820.383333333</v>
      </c>
      <c r="AA32" s="23"/>
    </row>
    <row r="33" customFormat="false" ht="12.75" hidden="false" customHeight="false" outlineLevel="0" collapsed="false">
      <c r="A33" s="1" t="s">
        <v>40</v>
      </c>
      <c r="F33" s="32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40284</v>
      </c>
      <c r="R33" s="1" t="n">
        <f aca="false">10010+153336-104349</f>
        <v>58997</v>
      </c>
      <c r="S33" s="1" t="n">
        <v>35000</v>
      </c>
      <c r="T33" s="1" t="n">
        <v>35000</v>
      </c>
      <c r="U33" s="1" t="n">
        <v>35000</v>
      </c>
      <c r="V33" s="1" t="n">
        <v>140764</v>
      </c>
      <c r="Z33" s="16" t="n">
        <f aca="false">SUM(C33:Y33)</f>
        <v>617312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f aca="false">18820-11693</f>
        <v>7127</v>
      </c>
      <c r="S34" s="1" t="n">
        <v>132585</v>
      </c>
      <c r="T34" s="1" t="n">
        <v>96092</v>
      </c>
      <c r="U34" s="1" t="n">
        <v>121058</v>
      </c>
      <c r="V34" s="1" t="n">
        <f aca="false">253000+994</f>
        <v>253994</v>
      </c>
      <c r="W34" s="1" t="n">
        <v>68298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7621171.63333333</v>
      </c>
      <c r="R35" s="18" t="n">
        <f aca="false">SUM(R10:R34)</f>
        <v>11531133.1994444</v>
      </c>
      <c r="S35" s="18" t="n">
        <f aca="false">SUM(S10:S34)</f>
        <v>9604959.65444445</v>
      </c>
      <c r="T35" s="18" t="n">
        <f aca="false">SUM(T10:T34)</f>
        <v>9653953.05944444</v>
      </c>
      <c r="U35" s="18" t="n">
        <f aca="false">SUM(U10:U34)</f>
        <v>7449014.51833334</v>
      </c>
      <c r="V35" s="18" t="n">
        <f aca="false">SUM(V10:V34)</f>
        <v>21710887.5633333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164795489.978333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107345832.983333</v>
      </c>
      <c r="R36" s="18" t="n">
        <f aca="false">+Q36+R35</f>
        <v>118876966.182778</v>
      </c>
      <c r="S36" s="18" t="n">
        <f aca="false">+R36+S35</f>
        <v>128481925.837222</v>
      </c>
      <c r="T36" s="18" t="n">
        <f aca="false">+S36+T35</f>
        <v>138135878.896667</v>
      </c>
      <c r="U36" s="18" t="n">
        <f aca="false">+T36+U35</f>
        <v>145584893.415</v>
      </c>
      <c r="V36" s="18" t="n">
        <f aca="false">+U36+V35</f>
        <v>167295780.978333</v>
      </c>
      <c r="W36" s="18" t="n">
        <f aca="false">+V36+W35</f>
        <v>164795489.978333</v>
      </c>
      <c r="X36" s="18" t="n">
        <f aca="false">+W36+X35</f>
        <v>164795489.978333</v>
      </c>
      <c r="Y36" s="18" t="n">
        <f aca="false">+X36+Y35</f>
        <v>164795489.978333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323.128411722222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91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f aca="false">(Q36+P45)*$C52/12</f>
        <v>616535.87235778</v>
      </c>
      <c r="R40" s="15" t="n">
        <f aca="false">(R36+Q45)*$C52/12</f>
        <v>682335.746496708</v>
      </c>
      <c r="S40" s="15" t="n">
        <f aca="false">(S36+R45)*$C52/12</f>
        <v>738058.59658514</v>
      </c>
      <c r="T40" s="15" t="n">
        <f aca="false">(T36+S45)*$C52/12</f>
        <v>794348.659721966</v>
      </c>
      <c r="U40" s="15" t="n">
        <f aca="false">(U36+T45)*$C52/12</f>
        <v>839000.210269766</v>
      </c>
      <c r="V40" s="15" t="n">
        <f aca="false">(V36+U45)*$C52/12-5719</f>
        <v>955426.435710116</v>
      </c>
      <c r="W40" s="15"/>
      <c r="X40" s="15"/>
      <c r="Y40" s="15"/>
      <c r="Z40" s="16" t="n">
        <f aca="false">SUM(C40:Y40)</f>
        <v>11107956.7423213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93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616535.87235778</v>
      </c>
      <c r="R44" s="18" t="n">
        <f aca="false">SUM(R39:R43)</f>
        <v>682335.746496708</v>
      </c>
      <c r="S44" s="18" t="n">
        <f aca="false">SUM(S39:S43)</f>
        <v>738058.59658514</v>
      </c>
      <c r="T44" s="18" t="n">
        <f aca="false">SUM(T39:T43)</f>
        <v>794348.659721966</v>
      </c>
      <c r="U44" s="18" t="n">
        <f aca="false">SUM(U39:U43)</f>
        <v>839000.210269766</v>
      </c>
      <c r="V44" s="18" t="n">
        <f aca="false">SUM(V39:V43)</f>
        <v>955426.435710116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11101879.7423213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7092710.0935376</v>
      </c>
      <c r="R45" s="18" t="n">
        <f aca="false">Q45+R44</f>
        <v>7775045.84003431</v>
      </c>
      <c r="S45" s="18" t="n">
        <f aca="false">R45+S44</f>
        <v>8513104.43661945</v>
      </c>
      <c r="T45" s="18" t="n">
        <f aca="false">S45+T44</f>
        <v>9307453.09634141</v>
      </c>
      <c r="U45" s="18" t="n">
        <f aca="false">T45+U44</f>
        <v>10146453.3066112</v>
      </c>
      <c r="V45" s="18" t="n">
        <f aca="false">U45+V44</f>
        <v>11101879.7423213</v>
      </c>
      <c r="W45" s="18" t="n">
        <f aca="false">V45+W44</f>
        <v>11101879.7423213</v>
      </c>
      <c r="X45" s="18" t="n">
        <f aca="false">W45+X44</f>
        <v>11101879.7423213</v>
      </c>
      <c r="Y45" s="18" t="n">
        <f aca="false">X45+Y44</f>
        <v>11101879.7423213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8237707.50569111</v>
      </c>
      <c r="R47" s="2" t="n">
        <f aca="false">+R35+R44</f>
        <v>12213468.9459412</v>
      </c>
      <c r="S47" s="2" t="n">
        <f aca="false">+S35+S44</f>
        <v>10343018.2510296</v>
      </c>
      <c r="T47" s="2" t="n">
        <f aca="false">+T35+T44</f>
        <v>10448301.7191664</v>
      </c>
      <c r="U47" s="2" t="n">
        <f aca="false">+U35+U44</f>
        <v>8288014.7286031</v>
      </c>
      <c r="V47" s="2" t="n">
        <f aca="false">+V35+V44</f>
        <v>22666313.9990435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175897369.720655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114438543.076871</v>
      </c>
      <c r="R48" s="2" t="n">
        <f aca="false">R47+Q48</f>
        <v>126652012.022812</v>
      </c>
      <c r="S48" s="2" t="n">
        <f aca="false">S47+R48</f>
        <v>136995030.273842</v>
      </c>
      <c r="T48" s="2" t="n">
        <f aca="false">T47+S48</f>
        <v>147443331.993008</v>
      </c>
      <c r="U48" s="2" t="n">
        <f aca="false">U47+T48</f>
        <v>155731346.721611</v>
      </c>
      <c r="V48" s="2" t="n">
        <f aca="false">V47+U48</f>
        <v>178397660.720655</v>
      </c>
      <c r="W48" s="2" t="n">
        <f aca="false">W47+V48</f>
        <v>175897369.720655</v>
      </c>
      <c r="X48" s="2" t="n">
        <f aca="false">X47+W48</f>
        <v>175897369.720655</v>
      </c>
      <c r="Y48" s="2" t="n">
        <f aca="false">Y47+X48</f>
        <v>175897369.720655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344.896803373833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94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95</v>
      </c>
      <c r="B53" s="2"/>
      <c r="C53" s="8" t="n">
        <v>0.0035</v>
      </c>
      <c r="D53" s="33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7621171.63333333</v>
      </c>
      <c r="R57" s="2" t="n">
        <f aca="false">+R47-R40</f>
        <v>11531133.1994444</v>
      </c>
      <c r="S57" s="2" t="n">
        <f aca="false">+S47-S40</f>
        <v>9604959.65444445</v>
      </c>
      <c r="T57" s="2" t="n">
        <f aca="false">+T47-T40</f>
        <v>9653953.05944444</v>
      </c>
      <c r="U57" s="2" t="n">
        <f aca="false">+U47-U40</f>
        <v>7449014.51833334</v>
      </c>
      <c r="V57" s="2" t="n">
        <f aca="false">+V47-V40</f>
        <v>21710887.5633333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75941703.9283333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4" t="s">
        <v>80</v>
      </c>
      <c r="Z60" s="16"/>
    </row>
    <row r="61" customFormat="false" ht="12.75" hidden="false" customHeight="false" outlineLevel="0" collapsed="false">
      <c r="A61" s="2" t="s">
        <v>118</v>
      </c>
      <c r="Z61" s="16"/>
    </row>
    <row r="62" customFormat="false" ht="12.75" hidden="false" customHeight="false" outlineLevel="0" collapsed="false">
      <c r="A62" s="40" t="s">
        <v>119</v>
      </c>
      <c r="B62" s="41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Z62" s="16" t="n">
        <f aca="false">SUM(C62:Y62)</f>
        <v>0</v>
      </c>
      <c r="AA62" s="40" t="s">
        <v>119</v>
      </c>
      <c r="AC62" s="1" t="n">
        <f aca="false">Z62+Z26</f>
        <v>563038</v>
      </c>
      <c r="AD62" s="1" t="n">
        <f aca="false">[1]Gleason!$BT$195</f>
        <v>563038.4</v>
      </c>
      <c r="AE62" s="1" t="n">
        <f aca="false">AC62-AD62</f>
        <v>-0.399999999906868</v>
      </c>
    </row>
    <row r="63" customFormat="false" ht="12.75" hidden="false" customHeight="false" outlineLevel="0" collapsed="false">
      <c r="A63" s="40" t="s">
        <v>120</v>
      </c>
      <c r="B63" s="41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Z63" s="16" t="n">
        <f aca="false">SUM(C63:Y63)</f>
        <v>3543</v>
      </c>
      <c r="AA63" s="40" t="s">
        <v>120</v>
      </c>
      <c r="AC63" s="1" t="n">
        <f aca="false">Z63+Z34</f>
        <v>752208</v>
      </c>
      <c r="AD63" s="1" t="n">
        <f aca="false">[1]Gleason!$BT$245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40" t="s">
        <v>121</v>
      </c>
      <c r="B64" s="41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40" t="s">
        <v>121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40" t="s">
        <v>122</v>
      </c>
      <c r="B65" s="41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Z65" s="16" t="n">
        <f aca="false">SUM(C65:Y65)</f>
        <v>5904</v>
      </c>
      <c r="AA65" s="40" t="s">
        <v>122</v>
      </c>
      <c r="AC65" s="1" t="n">
        <f aca="false">Z65+Z33</f>
        <v>623216</v>
      </c>
      <c r="AD65" s="1" t="n">
        <f aca="false">[1]Gleason!$BT$239</f>
        <v>623216.18</v>
      </c>
      <c r="AE65" s="1" t="n">
        <f aca="false">AC65-AD65</f>
        <v>-0.180000000051223</v>
      </c>
    </row>
    <row r="66" customFormat="false" ht="12.75" hidden="false" customHeight="false" outlineLevel="0" collapsed="false">
      <c r="A66" s="40" t="s">
        <v>39</v>
      </c>
      <c r="B66" s="41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Z66" s="16" t="n">
        <f aca="false">SUM(C66:Y66)</f>
        <v>13179.81</v>
      </c>
      <c r="AA66" s="40" t="s">
        <v>39</v>
      </c>
      <c r="AC66" s="1" t="n">
        <f aca="false">Z66+Z32</f>
        <v>200000.193333333</v>
      </c>
      <c r="AD66" s="1" t="n">
        <f aca="false">[1]Gleason!$BT$230</f>
        <v>200000</v>
      </c>
      <c r="AE66" s="1" t="n">
        <f aca="false">AC66-AD66</f>
        <v>0.193333333329065</v>
      </c>
    </row>
    <row r="67" customFormat="false" ht="12.75" hidden="false" customHeight="false" outlineLevel="0" collapsed="false">
      <c r="A67" s="2" t="s">
        <v>123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97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98</v>
      </c>
      <c r="B70" s="34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124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8237707.50569111</v>
      </c>
      <c r="R73" s="2" t="n">
        <f aca="false">+R70+R47</f>
        <v>12213468.9459412</v>
      </c>
      <c r="S73" s="2" t="n">
        <f aca="false">+S70+S47</f>
        <v>10343018.2510296</v>
      </c>
      <c r="T73" s="2" t="n">
        <f aca="false">+T70+T47</f>
        <v>10448301.7191664</v>
      </c>
      <c r="U73" s="2" t="n">
        <f aca="false">+U70+U47</f>
        <v>8288014.7286031</v>
      </c>
      <c r="V73" s="2" t="n">
        <f aca="false">+V70+V47</f>
        <v>22666313.9990435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175917861.530655</v>
      </c>
    </row>
    <row r="74" customFormat="false" ht="12.75" hidden="false" customHeight="false" outlineLevel="0" collapsed="false">
      <c r="Z74" s="2" t="n">
        <f aca="false">Z73-[1]Gleason!$BT$261</f>
        <v>-1.0616666674614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X75" activePane="bottomRight" state="frozen"/>
      <selection pane="topLeft" activeCell="A1" activeCellId="0" sqref="A1"/>
      <selection pane="topRight" activeCell="X1" activeCellId="0" sqref="X1"/>
      <selection pane="bottomLeft" activeCell="A75" activeCellId="0" sqref="A75"/>
      <selection pane="bottomRight" activeCell="AE96" activeCellId="0" sqref="AE9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4" min="21" style="1" width="13.14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XML/filtered-attachments/xls/Draw_Sched___013100.xls'#$Wheatland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45926.9532078047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100000</v>
      </c>
      <c r="R10" s="1" t="n">
        <v>1072769</v>
      </c>
      <c r="T10" s="1" t="n">
        <v>231601</v>
      </c>
      <c r="U10" s="1" t="n">
        <f aca="false">85821500-81565943+66200+1033169-4972-323393</f>
        <v>5026561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793670.8</v>
      </c>
      <c r="S11" s="1" t="n">
        <v>0</v>
      </c>
      <c r="Y11" s="16" t="n">
        <f aca="false">SUM(C11:X11)</f>
        <v>4440534.1</v>
      </c>
      <c r="Z11" s="23" t="s">
        <v>23</v>
      </c>
      <c r="AA11" s="1" t="n">
        <f aca="false">[1]Wheatland!$BR$32</f>
        <v>4440534</v>
      </c>
      <c r="AB11" s="1" t="n">
        <f aca="false">Y11-AA11</f>
        <v>0.099999999627471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f aca="false">(0.4673-0.2689)*AA12</f>
        <v>2727672.8384</v>
      </c>
      <c r="R12" s="1" t="n">
        <f aca="false">(0.6503-0.4673)*AA12</f>
        <v>2515948.233</v>
      </c>
      <c r="S12" s="1" t="n">
        <f aca="false">(0.7833-0.6503)*AA12</f>
        <v>1828530.683</v>
      </c>
      <c r="T12" s="1" t="n">
        <f aca="false">(0.8703-0.7833)*AA12</f>
        <v>1196106.537</v>
      </c>
      <c r="U12" s="1" t="n">
        <f aca="false">(0.9476-0.8703)*AA12</f>
        <v>1062747.5323</v>
      </c>
      <c r="V12" s="1" t="n">
        <f aca="false">(1-0.9476)*AA12</f>
        <v>720413.5924</v>
      </c>
      <c r="W12" s="1" t="n">
        <f aca="false">987110-86446</f>
        <v>900664</v>
      </c>
      <c r="Y12" s="16" t="n">
        <f aca="false">SUM(C12:X12)</f>
        <v>13748351.4161</v>
      </c>
      <c r="Z12" s="23" t="s">
        <v>23</v>
      </c>
      <c r="AA12" s="1" t="n">
        <f aca="false">[1]Wheatland!$BR$56</f>
        <v>13748351</v>
      </c>
      <c r="AB12" s="1" t="n">
        <f aca="false">Y12-AA12</f>
        <v>0.416100000962615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v>359796</v>
      </c>
      <c r="Q13" s="1" t="n">
        <f aca="false">(0.4673-0.2689)*AA13</f>
        <v>942335.3216</v>
      </c>
      <c r="R13" s="1" t="n">
        <f aca="false">(0.6503-0.4673)*AA13</f>
        <v>869190.342</v>
      </c>
      <c r="S13" s="1" t="n">
        <f aca="false">(0.7833-0.6503)*AA13</f>
        <v>631706.642</v>
      </c>
      <c r="T13" s="1" t="n">
        <f aca="false">(0.8703-0.7833)*AA13</f>
        <v>413221.638</v>
      </c>
      <c r="U13" s="1" t="n">
        <f aca="false">(0.9476-0.8703)*AA13</f>
        <v>367149.8002</v>
      </c>
      <c r="V13" s="1" t="n">
        <f aca="false">(1-0.9476)*AA13</f>
        <v>248882.9176</v>
      </c>
      <c r="W13" s="1" t="n">
        <f aca="false">442079+359779</f>
        <v>801858</v>
      </c>
      <c r="Y13" s="16" t="n">
        <f aca="false">SUM(C13:X13)</f>
        <v>4749673.6614</v>
      </c>
      <c r="Z13" s="23"/>
      <c r="AA13" s="1" t="n">
        <f aca="false">[1]Wheatland!$BR$82</f>
        <v>4749674</v>
      </c>
      <c r="AB13" s="1" t="n">
        <f aca="false">Y13-AA13</f>
        <v>-0.338600000366569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v>2112822</v>
      </c>
      <c r="Q14" s="1" t="n">
        <f aca="false">(0.4673-0.2689)*AA14</f>
        <v>3165417.2416</v>
      </c>
      <c r="R14" s="1" t="n">
        <f aca="false">(0.6503-0.4673)*AA14</f>
        <v>2919714.492</v>
      </c>
      <c r="S14" s="1" t="n">
        <f aca="false">(0.7833-0.6503)*AA14</f>
        <v>2121978.292</v>
      </c>
      <c r="T14" s="1" t="n">
        <f aca="false">(0.8703-0.7833)*AA14</f>
        <v>1388060.988</v>
      </c>
      <c r="U14" s="1" t="n">
        <f aca="false">(0.9476-0.8703)*AA14</f>
        <v>1233300.1652</v>
      </c>
      <c r="V14" s="1" t="n">
        <f aca="false">(1-0.9476)*AA14</f>
        <v>836027.5376</v>
      </c>
      <c r="W14" s="1" t="n">
        <f aca="false">1811742+304318</f>
        <v>2116060</v>
      </c>
      <c r="Y14" s="16" t="n">
        <f aca="false">SUM(C14:X14)</f>
        <v>15954723.7164</v>
      </c>
      <c r="Z14" s="23"/>
      <c r="AA14" s="1" t="n">
        <f aca="false">[1]Wheatland!$BR$116</f>
        <v>15954724</v>
      </c>
      <c r="AB14" s="1" t="n">
        <f aca="false">Y14-AA14</f>
        <v>-0.283599998801947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v>355795</v>
      </c>
      <c r="Q15" s="1" t="n">
        <f aca="false">(0.4673-0.2689)*AA15</f>
        <v>2012952.3136</v>
      </c>
      <c r="R15" s="1" t="n">
        <f aca="false">(0.6503-0.4673)*AA15</f>
        <v>1856705.007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</f>
        <v>784280.3117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10145928.6919</v>
      </c>
      <c r="Z15" s="23"/>
      <c r="AA15" s="1" t="n">
        <f aca="false">[1]Wheatland!$BR$119</f>
        <v>10145929</v>
      </c>
      <c r="AB15" s="1" t="n">
        <f aca="false">Y15-AA15</f>
        <v>-0.308100000023842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[1]Wheatland!$BR$157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f aca="false">1183571-943865</f>
        <v>239706</v>
      </c>
      <c r="Q17" s="1" t="n">
        <v>217412</v>
      </c>
      <c r="W17" s="1" t="n">
        <v>-4108675</v>
      </c>
      <c r="X17" s="1" t="n">
        <v>-3953393</v>
      </c>
      <c r="Y17" s="16" t="n">
        <f aca="false">SUM(C17:X17)</f>
        <v>-3953393</v>
      </c>
      <c r="Z17" s="23"/>
      <c r="AB17" s="1" t="n">
        <f aca="false">Y17-AA17</f>
        <v>-3953393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[1]Wheatland!$BR$131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f aca="false">2386700/12</f>
        <v>198891.666666667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2386700/12+6+3-7+2</f>
        <v>198895.666666667</v>
      </c>
      <c r="Y19" s="16" t="n">
        <f aca="false">SUM(C19:X19)</f>
        <v>2386699.67</v>
      </c>
      <c r="Z19" s="23"/>
      <c r="AA19" s="1" t="n">
        <f aca="false">[1]Wheatland!$BR$132</f>
        <v>2386700</v>
      </c>
      <c r="AB19" s="1" t="n">
        <f aca="false">Y19-AA19</f>
        <v>-0.330000000074506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[1]Wheatland!$BR$133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27</v>
      </c>
      <c r="C21" s="2" t="n">
        <v>0</v>
      </c>
      <c r="Q21" s="1" t="n">
        <v>125000</v>
      </c>
      <c r="R21" s="1" t="n">
        <v>125000</v>
      </c>
      <c r="S21" s="1" t="n">
        <v>125000</v>
      </c>
      <c r="T21" s="1" t="n">
        <v>125000</v>
      </c>
      <c r="U21" s="1" t="n">
        <f aca="false">908786-625000</f>
        <v>283786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P22" s="1" t="n">
        <v>16048</v>
      </c>
      <c r="U22" s="1" t="n">
        <f aca="false">1500000-38084-16048</f>
        <v>1445868</v>
      </c>
      <c r="Y22" s="16" t="n">
        <f aca="false">SUM(C22:X22)</f>
        <v>1500000</v>
      </c>
      <c r="Z22" s="23"/>
      <c r="AA22" s="1" t="n">
        <f aca="false">[1]Wheatland!$BR$155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[1]Wheatland!$BR$159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Y24" s="16" t="n">
        <f aca="false">SUM(C24:X24)</f>
        <v>1376269.26</v>
      </c>
      <c r="Z24" s="23" t="s">
        <v>69</v>
      </c>
      <c r="AA24" s="1" t="n">
        <f aca="false">[1]Wheatland!$BR$166</f>
        <v>1376268.86</v>
      </c>
      <c r="AB24" s="1" t="n">
        <f aca="false">Y24-AA24</f>
        <v>0.399999999906868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41756</v>
      </c>
      <c r="T25" s="1" t="n">
        <v>19859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108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500000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f aca="false">1500000-15000</f>
        <v>1485000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[1]Wheatland!$BR$175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500000</v>
      </c>
      <c r="R27" s="1" t="n">
        <v>54000</v>
      </c>
      <c r="Y27" s="16" t="n">
        <f aca="false">SUM(C27:X27)</f>
        <v>1500000</v>
      </c>
      <c r="Z27" s="23" t="s">
        <v>34</v>
      </c>
      <c r="AA27" s="1" t="n">
        <f aca="false">[1]Wheatland!$BR$177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[1]Wheatland!$BR$183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[1]Wheatland!$BR$185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11111.1111111111</v>
      </c>
      <c r="R31" s="1" t="n">
        <v>11111.1111111111</v>
      </c>
      <c r="S31" s="1" t="n">
        <v>11111.1111111111</v>
      </c>
      <c r="T31" s="1" t="n">
        <f aca="false">11111.1111111111+11112</f>
        <v>22223.1111111111</v>
      </c>
      <c r="U31" s="1" t="n">
        <f aca="false">3500+37229</f>
        <v>40729</v>
      </c>
      <c r="V31" s="1" t="n">
        <v>9462</v>
      </c>
      <c r="W31" s="1" t="n">
        <v>180</v>
      </c>
      <c r="Y31" s="16" t="n">
        <f aca="false">SUM(C31:X31)</f>
        <v>185199.004444444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28571.4285714286</v>
      </c>
      <c r="R32" s="1" t="n">
        <v>56516</v>
      </c>
      <c r="S32" s="1" t="n">
        <v>22986</v>
      </c>
      <c r="T32" s="1" t="n">
        <f aca="false">80349-6410</f>
        <v>73939</v>
      </c>
      <c r="Y32" s="16" t="n">
        <f aca="false">SUM(C32:X32)</f>
        <v>604559.118571429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68346.51</v>
      </c>
      <c r="P33" s="1" t="n">
        <v>5360</v>
      </c>
      <c r="Q33" s="1" t="n">
        <f aca="false">10000+52208</f>
        <v>62208</v>
      </c>
      <c r="R33" s="1" t="n">
        <v>10000</v>
      </c>
      <c r="S33" s="1" t="n">
        <v>10000</v>
      </c>
      <c r="T33" s="1" t="n">
        <v>7559</v>
      </c>
      <c r="U33" s="1" t="n">
        <f aca="false">2441+1962+197444</f>
        <v>201847</v>
      </c>
      <c r="V33" s="1" t="n">
        <f aca="false">6654-1</f>
        <v>6653</v>
      </c>
      <c r="W33" s="1" t="n">
        <v>4641</v>
      </c>
      <c r="Y33" s="16" t="n">
        <f aca="false">SUM(C33:X33)</f>
        <v>452208.9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3909419.3</v>
      </c>
      <c r="P34" s="18" t="n">
        <f aca="false">SUM(P8:P33)</f>
        <v>8137080.33333333</v>
      </c>
      <c r="Q34" s="18" t="n">
        <f aca="false">SUM(Q8:Q33)</f>
        <v>10710811.2548825</v>
      </c>
      <c r="R34" s="18" t="n">
        <f aca="false">SUM(R8:R33)</f>
        <v>11060999.9851111</v>
      </c>
      <c r="S34" s="18" t="n">
        <f aca="false">SUM(S8:S33)</f>
        <v>7867096.28511111</v>
      </c>
      <c r="T34" s="18" t="n">
        <f aca="false">SUM(T8:T33)</f>
        <v>7136641.09711111</v>
      </c>
      <c r="U34" s="18" t="n">
        <f aca="false">SUM(U8:U33)</f>
        <v>15447078.8094</v>
      </c>
      <c r="V34" s="18" t="n">
        <f aca="false">SUM(V8:V33)</f>
        <v>2978085.7272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150775022.718283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90415314.9533333</v>
      </c>
      <c r="P35" s="18" t="n">
        <f aca="false">+O35+P34</f>
        <v>98552395.2866667</v>
      </c>
      <c r="Q35" s="18" t="n">
        <f aca="false">+P35+Q34</f>
        <v>109263206.541549</v>
      </c>
      <c r="R35" s="18" t="n">
        <f aca="false">+Q35+R34</f>
        <v>120324206.52666</v>
      </c>
      <c r="S35" s="18" t="n">
        <f aca="false">+R35+S34</f>
        <v>128191302.811771</v>
      </c>
      <c r="T35" s="18" t="n">
        <f aca="false">+S35+T34</f>
        <v>135327943.908883</v>
      </c>
      <c r="U35" s="18" t="n">
        <f aca="false">+T35+U34</f>
        <v>150775022.718283</v>
      </c>
      <c r="V35" s="18" t="n">
        <f aca="false">+U35+V34</f>
        <v>153753108.445483</v>
      </c>
      <c r="W35" s="18" t="n">
        <f aca="false">+V35+W34</f>
        <v>155881161.445483</v>
      </c>
      <c r="X35" s="18" t="n">
        <f aca="false">+W35+X34</f>
        <v>151951893.445483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320.797920677197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f aca="false">(P35+O44)*$C49/12</f>
        <v>563568.395110041</v>
      </c>
      <c r="Q39" s="15" t="n">
        <f aca="false">(Q35+P44)*$C49/12</f>
        <v>624637.951547501</v>
      </c>
      <c r="R39" s="15" t="n">
        <f aca="false">(R35+Q44)*$C49/12</f>
        <v>687935.157037735</v>
      </c>
      <c r="S39" s="15" t="n">
        <f aca="false">(S35+R44)*$C49/12</f>
        <v>734274.910682708</v>
      </c>
      <c r="T39" s="15" t="n">
        <f aca="false">(T35+S44)*$C49/12</f>
        <v>776909.039058258</v>
      </c>
      <c r="U39" s="15" t="n">
        <f aca="false">(U35+T44)*$C49/12</f>
        <v>864788.973237407</v>
      </c>
      <c r="V39" s="15" t="n">
        <v>0</v>
      </c>
      <c r="W39" s="15" t="n">
        <v>0</v>
      </c>
      <c r="X39" s="15" t="n">
        <v>0</v>
      </c>
      <c r="Y39" s="16" t="n">
        <f aca="false">SUM(C39:X39)</f>
        <v>9749192.66032231</v>
      </c>
      <c r="Z39" s="17" t="str">
        <f aca="false">Z52</f>
        <v>Rodney Malcolm</v>
      </c>
      <c r="AA39" s="1" t="n">
        <f aca="false">Y39</f>
        <v>9749192.66032231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563568.395110041</v>
      </c>
      <c r="Q43" s="18" t="n">
        <f aca="false">SUM(Q38:Q42)</f>
        <v>624637.951547501</v>
      </c>
      <c r="R43" s="18" t="n">
        <f aca="false">SUM(R38:R42)</f>
        <v>687935.157037735</v>
      </c>
      <c r="S43" s="18" t="n">
        <f aca="false">SUM(S38:S42)</f>
        <v>734274.910682708</v>
      </c>
      <c r="T43" s="18" t="n">
        <f aca="false">SUM(T38:T42)</f>
        <v>776909.039058258</v>
      </c>
      <c r="U43" s="18" t="n">
        <f aca="false">SUM(U38:U42)</f>
        <v>864788.973237407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9743115.16032231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6054569.1287587</v>
      </c>
      <c r="Q44" s="18" t="n">
        <f aca="false">+Q43+P44</f>
        <v>6679207.0803062</v>
      </c>
      <c r="R44" s="18" t="n">
        <f aca="false">+R43+Q44</f>
        <v>7367142.23734393</v>
      </c>
      <c r="S44" s="18" t="n">
        <f aca="false">+S43+R44</f>
        <v>8101417.14802664</v>
      </c>
      <c r="T44" s="18" t="n">
        <f aca="false">+T43+S44</f>
        <v>8878326.1870849</v>
      </c>
      <c r="U44" s="18" t="n">
        <f aca="false">+U43+T44</f>
        <v>9743115.16032231</v>
      </c>
      <c r="V44" s="18" t="n">
        <f aca="false">+V43+U44</f>
        <v>9743115.16032231</v>
      </c>
      <c r="W44" s="18" t="n">
        <f aca="false">+W43+V44</f>
        <v>9743115.16032231</v>
      </c>
      <c r="X44" s="18" t="n">
        <f aca="false">+X43+W44</f>
        <v>9743115.16032231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125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4425759.3</v>
      </c>
      <c r="P46" s="2" t="n">
        <f aca="false">+P34+P43</f>
        <v>8700648.72844338</v>
      </c>
      <c r="Q46" s="2" t="n">
        <f aca="false">+Q34+Q43</f>
        <v>11335449.20643</v>
      </c>
      <c r="R46" s="2" t="n">
        <f aca="false">+R34+R43</f>
        <v>11748935.1421488</v>
      </c>
      <c r="S46" s="2" t="n">
        <f aca="false">+S34+S43</f>
        <v>8601371.19579382</v>
      </c>
      <c r="T46" s="2" t="n">
        <f aca="false">+T34+T43</f>
        <v>7913550.13616937</v>
      </c>
      <c r="U46" s="2" t="n">
        <f aca="false">+U34+U43</f>
        <v>16311867.7826374</v>
      </c>
      <c r="V46" s="2" t="n">
        <f aca="false">+V34+V43</f>
        <v>2978085.7272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161695008.605805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95906315.686982</v>
      </c>
      <c r="P47" s="2" t="n">
        <f aca="false">O47+P46</f>
        <v>104606964.415425</v>
      </c>
      <c r="Q47" s="2" t="n">
        <f aca="false">P47+Q46</f>
        <v>115942413.621855</v>
      </c>
      <c r="R47" s="2" t="n">
        <f aca="false">Q47+R46</f>
        <v>127691348.764004</v>
      </c>
      <c r="S47" s="2" t="n">
        <f aca="false">R47+S46</f>
        <v>136292719.959798</v>
      </c>
      <c r="T47" s="2" t="n">
        <f aca="false">S47+T46</f>
        <v>144206270.095967</v>
      </c>
      <c r="U47" s="2" t="n">
        <f aca="false">T47+U46</f>
        <v>160518137.878605</v>
      </c>
      <c r="V47" s="2" t="n">
        <f aca="false">U47+V46</f>
        <v>163496223.605805</v>
      </c>
      <c r="W47" s="2" t="n">
        <f aca="false">V47+W46</f>
        <v>165624276.605805</v>
      </c>
      <c r="X47" s="2" t="n">
        <f aca="false">W47+X46</f>
        <v>161695008.605805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344.03193320384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3909419.3</v>
      </c>
      <c r="P54" s="2" t="n">
        <f aca="false">+P46-P39</f>
        <v>8137080.33333333</v>
      </c>
      <c r="Q54" s="2" t="n">
        <f aca="false">+Q46-Q39</f>
        <v>10710811.2548825</v>
      </c>
      <c r="R54" s="2" t="n">
        <f aca="false">+R46-R39</f>
        <v>11060999.9851111</v>
      </c>
      <c r="S54" s="2" t="n">
        <f aca="false">+S46-S39</f>
        <v>7867096.28511111</v>
      </c>
      <c r="T54" s="2" t="n">
        <f aca="false">+T46-T39</f>
        <v>7136641.09711111</v>
      </c>
      <c r="U54" s="2" t="n">
        <f aca="false">+U46-U39</f>
        <v>15447078.8094</v>
      </c>
      <c r="V54" s="2" t="n">
        <f aca="false">+V46-V39</f>
        <v>2978085.7272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151945815.945483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[1]Wheatland!$BR$171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754274.318571429</v>
      </c>
      <c r="AB60" s="1" t="n">
        <f aca="false">[1]Wheatland!$BR$196</f>
        <v>754273.98</v>
      </c>
      <c r="AC60" s="1" t="n">
        <f aca="false">AB60-AA60</f>
        <v>-0.338571428554133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Y61" s="16" t="n">
        <f aca="false">SUM(C61:X61)</f>
        <v>0</v>
      </c>
      <c r="Z61" s="17"/>
      <c r="AA61" s="1" t="n">
        <f aca="false">Y61+Y24</f>
        <v>1376269.26</v>
      </c>
      <c r="AB61" s="1" t="n">
        <f aca="false">[1]Wheatland!$BR$166</f>
        <v>1376268.86</v>
      </c>
      <c r="AC61" s="1" t="n">
        <f aca="false">AB61-AA61</f>
        <v>-0.399999999906868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200000.384444444</v>
      </c>
      <c r="AB62" s="1" t="n">
        <f aca="false">[1]Wheatland!$BR$185</f>
        <v>200000</v>
      </c>
      <c r="AC62" s="1" t="n">
        <f aca="false">AB62-AA62</f>
        <v>-0.384444444440305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452208.9</v>
      </c>
      <c r="AB63" s="1" t="n">
        <f aca="false">[1]Wheatland!$BR$203</f>
        <v>452208.46</v>
      </c>
      <c r="AC63" s="1" t="n">
        <f aca="false">AB63-AA63</f>
        <v>-0.440000000002328</v>
      </c>
    </row>
    <row r="64" customFormat="false" ht="12.75" hidden="false" customHeight="false" outlineLevel="0" collapsed="false">
      <c r="A64" s="2" t="s">
        <v>126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127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128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116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1566383.40884026</v>
      </c>
      <c r="N78" s="37" t="n">
        <f aca="false">+N46+N67+N75</f>
        <v>5481999.34096592</v>
      </c>
      <c r="O78" s="37" t="n">
        <f aca="false">+O46+O67+O75</f>
        <v>4425759.3</v>
      </c>
      <c r="P78" s="37" t="n">
        <f aca="false">+P46+P67+P75</f>
        <v>8700648.72844338</v>
      </c>
      <c r="Q78" s="37" t="n">
        <f aca="false">+Q46+Q67+Q75</f>
        <v>11335449.20643</v>
      </c>
      <c r="R78" s="37" t="n">
        <f aca="false">+R46+R67+R75</f>
        <v>11748935.1421488</v>
      </c>
      <c r="S78" s="37" t="n">
        <f aca="false">+S46+S67+S75</f>
        <v>8601371.19579382</v>
      </c>
      <c r="T78" s="37" t="n">
        <f aca="false">+T46+T67+T75</f>
        <v>7913550.13616937</v>
      </c>
      <c r="U78" s="37" t="n">
        <f aca="false">+U46+U67+U75</f>
        <v>16311867.7826374</v>
      </c>
      <c r="V78" s="37" t="n">
        <f aca="false">+V46+V67+V75</f>
        <v>2978085.7272</v>
      </c>
      <c r="W78" s="37" t="n">
        <f aca="false">+W46+W67+W75</f>
        <v>2128053</v>
      </c>
      <c r="X78" s="37" t="n">
        <f aca="false">+X46+X67+X75</f>
        <v>-3929268</v>
      </c>
      <c r="Y78" s="37" t="n">
        <f aca="false">+Y46+Y67+Y75</f>
        <v>161905561.185805</v>
      </c>
    </row>
    <row r="79" customFormat="false" ht="12.75" hidden="false" customHeight="false" outlineLevel="0" collapsed="false">
      <c r="U79" s="0"/>
      <c r="V79" s="0"/>
      <c r="W79" s="0"/>
      <c r="X79" s="0"/>
      <c r="Y79" s="42" t="n">
        <f aca="false">Y78-[1]Wheatland!$BR$236</f>
        <v>2.12548252940178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2000-01-31T16:37:40Z</cp:lastPrinted>
  <cp:revision>0</cp:revision>
  <dc:subject/>
  <dc:title/>
</cp:coreProperties>
</file>