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Gleason!$A$1:$AA$72</definedName>
    <definedName function="false" hidden="false" localSheetId="5" name="_xlnm.Print_Area" vbProcedure="false">Wheatland!$A$1:$Z$79</definedName>
    <definedName function="false" hidden="false" localSheetId="3" name="_xlnm.Print_Area" vbProcedure="false">Wilton!$A$1:$Z$78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35</xdr:colOff>
                <xdr:row>4</xdr:row>
                <xdr:rowOff>1</xdr:rowOff>
              </xdr:from>
              <xdr:to>
                <xdr:col>27</xdr:col>
                <xdr:colOff>46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49</xdr:row>
                <xdr:rowOff>7</xdr:rowOff>
              </xdr:from>
              <xdr:to>
                <xdr:col>5</xdr:col>
                <xdr:colOff>68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23</xdr:colOff>
                <xdr:row>8</xdr:row>
                <xdr:rowOff>14</xdr:rowOff>
              </xdr:from>
              <xdr:to>
                <xdr:col>13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<sst xmlns="http://schemas.openxmlformats.org/spreadsheetml/2006/main" count="598" uniqueCount="129">
  <si>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</si>
  <si>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</si>
  <si>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</si>
  <si>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</si>
  <si>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</si>
  <si>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</si>
  <si>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</si>
  <si>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</si>
  <si>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</si>
  <si>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</si>
  <si>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</si>
  <si>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</si>
  <si>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</si>
  <si>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</si>
  <si>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</si>
  <si>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</si>
  <si>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</si>
  <si>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</si>
  <si>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</si>
  <si>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</si>
  <si>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</si>
  <si>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</si>
  <si>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</si>
  <si>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</si>
  <si>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</si>
  <si>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</si>
  <si>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</si>
  <si>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</si>
  <si>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</si>
  <si>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</si>
  <si>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</si>
  <si>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</si>
  <si>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</si>
  <si>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</si>
  <si>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</si>
  <si>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</si>
  <si>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</si>
  <si>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</si>
  <si>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</si>
  <si>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</si>
  <si>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</si>
  <si>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</si>
  <si>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</si>
  <si>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</si>
  <si>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</si>
  <si>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</si>
  <si>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</si>
  <si>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</si>
  <si>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</si>
  <si>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</si>
  <si>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</si>
  <si>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</si>
  <si>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</si>
  <si>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</si>
  <si>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</si>
  <si>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</si>
  <si>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</si>
  <si>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</si>
  <si>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</si>
  <si>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</si>
  <si>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</si>
  <si>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</si>
  <si>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</si>
  <si>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</si>
  <si>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</si>
  <si>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</si>
  <si>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</si>
  <si>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</si>
  <si>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</si>
  <si>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</si>
  <si>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</si>
  <si>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</si>
  <si>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</si>
  <si>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</si>
  <si>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</si>
  <si>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</si>
  <si>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</si>
  <si>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</si>
  <si>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</si>
  <si>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</si>
  <si>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</si>
  <si>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</si>
  <si>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</si>
  <si>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</si>
  <si>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</si>
  <si>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</si>
  <si>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</si>
  <si>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</si>
  <si>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</si>
  <si>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</si>
  <si>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</si>
  <si>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</si>
  <si>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</si>
  <si>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</si>
  <si>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</si>
  <si>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</si>
  <si>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</si>
  <si>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</si>
  <si>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</si>
  <si>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December 24, 1999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</si>
  <si>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</si>
  <si>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</si>
  <si>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</si>
  <si>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</si>
  <si>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</si>
  <si>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</si>
  <si>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- MISC</t>
  </si>
  <si>
    <t xml:space="preserve">NEPCO % Complete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</si>
  <si>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</si>
  <si>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</si>
  <si>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</si>
  <si>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</si>
  <si>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</si>
  <si>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</si>
  <si>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</si>
  <si>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</si>
  <si>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</si>
  <si>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</si>
  <si>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</si>
  <si>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</si>
  <si>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</si>
  <si>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</si>
  <si>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</si>
  <si>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</si>
  <si>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Capital dollars spent for 1/2 of redesign of the Gleason Project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</si>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</sst>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111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14778294</v>
          </cell>
        </row>
        <row r="81">
          <cell r="BR81">
            <v>8085446</v>
          </cell>
        </row>
        <row r="114">
          <cell r="BR114">
            <v>34097183</v>
          </cell>
        </row>
        <row r="119">
          <cell r="BR119">
            <v>5336759</v>
          </cell>
        </row>
        <row r="131">
          <cell r="BR131">
            <v>940200</v>
          </cell>
        </row>
        <row r="132">
          <cell r="BR132">
            <v>2824800</v>
          </cell>
        </row>
        <row r="133">
          <cell r="BR133">
            <v>3066700</v>
          </cell>
        </row>
        <row r="147">
          <cell r="BR147">
            <v>9479079</v>
          </cell>
        </row>
        <row r="156">
          <cell r="BR156">
            <v>908786</v>
          </cell>
        </row>
        <row r="160">
          <cell r="BR160">
            <v>216381.67</v>
          </cell>
        </row>
        <row r="162">
          <cell r="BR162">
            <v>500000</v>
          </cell>
        </row>
        <row r="164">
          <cell r="BR164">
            <v>1253881</v>
          </cell>
        </row>
        <row r="171">
          <cell r="BR171">
            <v>2305818.14</v>
          </cell>
        </row>
        <row r="178">
          <cell r="BR178">
            <v>400000</v>
          </cell>
        </row>
        <row r="180">
          <cell r="BR180">
            <v>1000000</v>
          </cell>
        </row>
        <row r="182">
          <cell r="BR182">
            <v>6500000</v>
          </cell>
        </row>
        <row r="188">
          <cell r="BR188">
            <v>1500000</v>
          </cell>
        </row>
        <row r="190">
          <cell r="BR190">
            <v>266248.5</v>
          </cell>
        </row>
        <row r="192">
          <cell r="BR192">
            <v>200000</v>
          </cell>
        </row>
        <row r="201">
          <cell r="BR201">
            <v>852295.78</v>
          </cell>
        </row>
        <row r="208">
          <cell r="BR208">
            <v>508959.46</v>
          </cell>
        </row>
        <row r="224">
          <cell r="AN224">
            <v>52217</v>
          </cell>
        </row>
        <row r="240">
          <cell r="BR240">
            <v>255807308.359141</v>
          </cell>
        </row>
      </sheetData>
      <sheetData sheetId="6">
        <row r="216">
          <cell r="BT216">
            <v>1004015.06333333</v>
          </cell>
        </row>
      </sheetData>
      <sheetData sheetId="7">
        <row r="16">
          <cell r="BT16">
            <v>95323101</v>
          </cell>
        </row>
        <row r="35">
          <cell r="BT35">
            <v>5893811</v>
          </cell>
        </row>
        <row r="59">
          <cell r="BT59">
            <v>14950614</v>
          </cell>
        </row>
        <row r="87">
          <cell r="BT87">
            <v>5163899</v>
          </cell>
        </row>
        <row r="119">
          <cell r="BT119">
            <v>12396887</v>
          </cell>
        </row>
        <row r="124">
          <cell r="BT124">
            <v>12059700</v>
          </cell>
        </row>
        <row r="131">
          <cell r="BT131">
            <v>929800</v>
          </cell>
        </row>
        <row r="132">
          <cell r="BT132">
            <v>2840700</v>
          </cell>
        </row>
        <row r="133">
          <cell r="BT133">
            <v>3066700</v>
          </cell>
        </row>
        <row r="165">
          <cell r="BT165">
            <v>908786</v>
          </cell>
        </row>
        <row r="171">
          <cell r="BT171">
            <v>675000</v>
          </cell>
        </row>
        <row r="173">
          <cell r="BT173">
            <v>1247007</v>
          </cell>
        </row>
        <row r="180">
          <cell r="BT180">
            <v>369041</v>
          </cell>
        </row>
        <row r="190">
          <cell r="BT190">
            <v>540000</v>
          </cell>
        </row>
        <row r="197">
          <cell r="BT197">
            <v>3700000</v>
          </cell>
        </row>
        <row r="199">
          <cell r="BT199">
            <v>1100000</v>
          </cell>
        </row>
        <row r="205">
          <cell r="BT205">
            <v>500000</v>
          </cell>
        </row>
        <row r="207">
          <cell r="BT207">
            <v>200935.25</v>
          </cell>
        </row>
        <row r="209">
          <cell r="BT209">
            <v>200000</v>
          </cell>
        </row>
        <row r="218">
          <cell r="AT218">
            <v>153337.04</v>
          </cell>
        </row>
        <row r="218">
          <cell r="BT218">
            <v>623216.18</v>
          </cell>
        </row>
        <row r="224">
          <cell r="AT224">
            <v>259842.83</v>
          </cell>
        </row>
        <row r="224">
          <cell r="BT224">
            <v>752208.46</v>
          </cell>
        </row>
        <row r="230">
          <cell r="BT230">
            <v>0</v>
          </cell>
        </row>
        <row r="237">
          <cell r="AR237">
            <v>65</v>
          </cell>
        </row>
        <row r="240">
          <cell r="BT240">
            <v>174289057.046172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12576560</v>
          </cell>
        </row>
        <row r="82">
          <cell r="BR82">
            <v>5240384</v>
          </cell>
        </row>
        <row r="114">
          <cell r="BR114">
            <v>12176761</v>
          </cell>
        </row>
        <row r="119">
          <cell r="BR119">
            <v>9880464</v>
          </cell>
        </row>
        <row r="127">
          <cell r="BR127">
            <v>929800</v>
          </cell>
        </row>
        <row r="128">
          <cell r="BR128">
            <v>2386700</v>
          </cell>
        </row>
        <row r="129">
          <cell r="BR129">
            <v>3066700</v>
          </cell>
        </row>
        <row r="151">
          <cell r="BR151">
            <v>1500000</v>
          </cell>
        </row>
        <row r="153">
          <cell r="BR153">
            <v>50000</v>
          </cell>
        </row>
        <row r="155">
          <cell r="BR155">
            <v>1172731</v>
          </cell>
        </row>
        <row r="162">
          <cell r="BR162">
            <v>1117943.86</v>
          </cell>
        </row>
        <row r="169">
          <cell r="BR169">
            <v>450000</v>
          </cell>
        </row>
        <row r="171">
          <cell r="BR171">
            <v>5000000</v>
          </cell>
        </row>
        <row r="173">
          <cell r="BR173">
            <v>1500000</v>
          </cell>
        </row>
        <row r="179">
          <cell r="BR179">
            <v>1000000</v>
          </cell>
        </row>
        <row r="181">
          <cell r="BR181">
            <v>200000</v>
          </cell>
        </row>
        <row r="183">
          <cell r="BR183">
            <v>200000</v>
          </cell>
        </row>
        <row r="192">
          <cell r="BR192">
            <v>754273.98</v>
          </cell>
        </row>
        <row r="199">
          <cell r="AR199">
            <v>320554.97</v>
          </cell>
        </row>
        <row r="199">
          <cell r="BR199">
            <v>652208.46</v>
          </cell>
        </row>
        <row r="205">
          <cell r="BP205">
            <v>0.100000000093132</v>
          </cell>
        </row>
        <row r="215">
          <cell r="AN215">
            <v>36835</v>
          </cell>
        </row>
        <row r="215">
          <cell r="AP215">
            <v>-36835</v>
          </cell>
        </row>
        <row r="232">
          <cell r="BR232">
            <v>161049581.525451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XML/filtered-attachments/xls/Draw_Sched___011100.xls'#$6.5%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45926.9531967831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5" min="4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Wilton!C47</f>
        <v>7140000</v>
      </c>
      <c r="D11" s="1" t="n">
        <f aca="false">Wilton!D47</f>
        <v>1296410</v>
      </c>
      <c r="E11" s="1" t="n">
        <f aca="false">Wilton!E47</f>
        <v>33024184</v>
      </c>
      <c r="F11" s="1" t="n">
        <f aca="false">Wilton!F47</f>
        <v>225882.6</v>
      </c>
      <c r="G11" s="1" t="n">
        <f aca="false">Wilton!G47</f>
        <v>1752232.9</v>
      </c>
      <c r="H11" s="1" t="n">
        <f aca="false">Wilton!H47</f>
        <v>18800373.5</v>
      </c>
      <c r="I11" s="1" t="n">
        <f aca="false">Wilton!I47</f>
        <v>8037788.40252083</v>
      </c>
      <c r="J11" s="1" t="n">
        <f aca="false">Wilton!J47</f>
        <v>8808343.96206088</v>
      </c>
      <c r="K11" s="1" t="n">
        <f aca="false">Wilton!K47</f>
        <v>6987028.92872204</v>
      </c>
      <c r="L11" s="1" t="n">
        <f aca="false">Wilton!L47</f>
        <v>7789242.4890361</v>
      </c>
      <c r="M11" s="1" t="n">
        <f aca="false">Wilton!M47</f>
        <v>11600775.8308585</v>
      </c>
      <c r="N11" s="1" t="n">
        <f aca="false">Wilton!N47</f>
        <v>17679921.6272104</v>
      </c>
      <c r="O11" s="1" t="n">
        <f aca="false">Wilton!O47</f>
        <v>39310183.4086286</v>
      </c>
      <c r="P11" s="1" t="n">
        <f aca="false">Wilton!P47</f>
        <v>33876927.1913006</v>
      </c>
      <c r="Q11" s="1" t="n">
        <f aca="false">Wilton!Q47</f>
        <v>16546569.3239864</v>
      </c>
      <c r="R11" s="1" t="n">
        <f aca="false">Wilton!R47</f>
        <v>10054162.6667033</v>
      </c>
      <c r="S11" s="1" t="n">
        <f aca="false">Wilton!S47</f>
        <v>11073004.9908747</v>
      </c>
      <c r="T11" s="1" t="n">
        <f aca="false">Wilton!T47</f>
        <v>6221424.17895278</v>
      </c>
      <c r="U11" s="1" t="n">
        <f aca="false">Wilton!U47</f>
        <v>15006427.1019524</v>
      </c>
      <c r="V11" s="1" t="n">
        <f aca="false">Wilton!Y47</f>
        <v>255230883.102807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Gleason!C46</f>
        <v>0</v>
      </c>
      <c r="D13" s="1" t="n">
        <f aca="false">Gleason!D46</f>
        <v>0</v>
      </c>
      <c r="E13" s="1" t="n">
        <f aca="false">Gleason!E46</f>
        <v>0</v>
      </c>
      <c r="F13" s="1" t="n">
        <f aca="false">Gleason!F46</f>
        <v>0</v>
      </c>
      <c r="G13" s="1" t="n">
        <f aca="false">Gleason!G46</f>
        <v>0</v>
      </c>
      <c r="H13" s="1" t="n">
        <f aca="false">Gleason!H46</f>
        <v>0</v>
      </c>
      <c r="I13" s="1" t="n">
        <f aca="false">Gleason!I46</f>
        <v>0</v>
      </c>
      <c r="J13" s="1" t="n">
        <f aca="false">Gleason!J46</f>
        <v>0</v>
      </c>
      <c r="K13" s="1" t="n">
        <f aca="false">Gleason!L46</f>
        <v>93174572.05</v>
      </c>
      <c r="L13" s="1" t="n">
        <f aca="false">Gleason!M46</f>
        <v>706459.93</v>
      </c>
      <c r="M13" s="1" t="n">
        <f aca="false">Gleason!N46</f>
        <v>2178270.25600972</v>
      </c>
      <c r="N13" s="1" t="n">
        <f aca="false">Gleason!O46</f>
        <v>7520808.75656311</v>
      </c>
      <c r="O13" s="1" t="n">
        <f aca="false">Gleason!P46</f>
        <v>3283904.44860699</v>
      </c>
      <c r="P13" s="1" t="n">
        <f aca="false">Gleason!Q46</f>
        <v>11433319.5884791</v>
      </c>
      <c r="Q13" s="1" t="n">
        <f aca="false">Gleason!R46</f>
        <v>10147138.3084208</v>
      </c>
      <c r="R13" s="1" t="n">
        <f aca="false">Gleason!S46</f>
        <v>9506464.58865395</v>
      </c>
      <c r="S13" s="1" t="n">
        <f aca="false">Gleason!T46</f>
        <v>9835545.00451332</v>
      </c>
      <c r="T13" s="1" t="n">
        <f aca="false">Gleason!U46</f>
        <v>7899301.49745815</v>
      </c>
      <c r="U13" s="1" t="n">
        <f aca="false">Gleason!V46</f>
        <v>15010252.751911</v>
      </c>
      <c r="V13" s="1" t="n">
        <f aca="false">Gleason!Z46</f>
        <v>170696037.180616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4677967.76</v>
      </c>
      <c r="P15" s="1" t="n">
        <f aca="false">Wheatland!P46</f>
        <v>9183547.0144626</v>
      </c>
      <c r="Q15" s="1" t="n">
        <f aca="false">Wheatland!Q46</f>
        <v>10725413.539324</v>
      </c>
      <c r="R15" s="1" t="n">
        <f aca="false">Wheatland!R46</f>
        <v>10880344.2939467</v>
      </c>
      <c r="S15" s="1" t="n">
        <f aca="false">Wheatland!S46</f>
        <v>7965580.48501809</v>
      </c>
      <c r="T15" s="1" t="n">
        <f aca="false">Wheatland!T46</f>
        <v>7479298.31445277</v>
      </c>
      <c r="U15" s="1" t="n">
        <f aca="false">Wheatland!U46</f>
        <v>16276139.3110969</v>
      </c>
      <c r="V15" s="1" t="n">
        <f aca="false">Wheatland!Y46</f>
        <v>160839031.560883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101657882.655139</v>
      </c>
      <c r="L17" s="1" t="n">
        <f aca="false">SUM(L10:L15)</f>
        <v>10275818.3490361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47272055.6172356</v>
      </c>
      <c r="P17" s="1" t="n">
        <f aca="false">SUM(P10:P15)</f>
        <v>54493793.7942423</v>
      </c>
      <c r="Q17" s="1" t="n">
        <f aca="false">SUM(Q10:Q15)</f>
        <v>37419121.1717312</v>
      </c>
      <c r="R17" s="1" t="n">
        <f aca="false">SUM(R10:R15)</f>
        <v>30440971.549304</v>
      </c>
      <c r="S17" s="1" t="n">
        <f aca="false">SUM(S10:S15)</f>
        <v>28874130.4804061</v>
      </c>
      <c r="T17" s="1" t="n">
        <f aca="false">SUM(T10:T15)</f>
        <v>21600023.9908637</v>
      </c>
      <c r="U17" s="1" t="n">
        <f aca="false">SUM(U10:U15)</f>
        <v>46292819.1649603</v>
      </c>
      <c r="V17" s="1" t="n">
        <f aca="false">SUM(V10:V15)</f>
        <v>586765951.844307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261898874.05048</v>
      </c>
      <c r="L18" s="2" t="n">
        <f aca="false">K18+L17</f>
        <v>272174692.399516</v>
      </c>
      <c r="M18" s="2" t="n">
        <f aca="false">L18+M17</f>
        <v>287520121.895224</v>
      </c>
      <c r="N18" s="2" t="n">
        <f aca="false">M18+N17</f>
        <v>318202851.619964</v>
      </c>
      <c r="O18" s="2" t="n">
        <f aca="false">N18+O17</f>
        <v>365474907.237199</v>
      </c>
      <c r="P18" s="2" t="n">
        <f aca="false">O18+P17</f>
        <v>419968701.031441</v>
      </c>
      <c r="Q18" s="2" t="n">
        <f aca="false">P18+Q17</f>
        <v>457387822.203173</v>
      </c>
      <c r="R18" s="2" t="n">
        <f aca="false">Q18+R17</f>
        <v>487828793.752477</v>
      </c>
      <c r="S18" s="2" t="n">
        <f aca="false">R18+S17</f>
        <v>516702924.232883</v>
      </c>
      <c r="T18" s="2" t="n">
        <f aca="false">S18+T17</f>
        <v>538302948.223746</v>
      </c>
      <c r="U18" s="2" t="n">
        <f aca="false">T18+U17</f>
        <v>584595767.388707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XML/filtered-attachments/xls/Draw_Sched___011100.xls'#$Calvert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45926.9531968465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-332485.193333333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1.28"/>
    <col collapsed="false" customWidth="true" hidden="false" outlineLevel="0" max="6" min="6" style="1" width="12.28"/>
    <col collapsed="false" customWidth="true" hidden="false" outlineLevel="0" max="7" min="7" style="1" width="11.28"/>
    <col collapsed="false" customWidth="true" hidden="false" outlineLevel="0" max="8" min="8" style="1" width="11.99"/>
    <col collapsed="false" customWidth="true" hidden="false" outlineLevel="0" max="10" min="9" style="1" width="11.28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2.28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20" min="18" style="1" width="12.28"/>
    <col collapsed="false" customWidth="true" hidden="false" outlineLevel="0" max="24" min="21" style="1" width="13.85"/>
    <col collapsed="false" customWidth="true" hidden="false" outlineLevel="0" max="25" min="25" style="2" width="14.41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XML/filtered-attachments/xls/Draw_Sched___011100.xls'#$Wilton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45926.9531968745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35"/>
      <c r="W9" s="35"/>
      <c r="X9" s="35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P10" s="1" t="n">
        <v>13325691</v>
      </c>
      <c r="Q10" s="1" t="n">
        <v>0</v>
      </c>
      <c r="R10" s="1" t="n">
        <v>0</v>
      </c>
      <c r="U10" s="1" t="n">
        <v>7103247</v>
      </c>
      <c r="Y10" s="16" t="n">
        <f aca="false">SUM(C10:X10)</f>
        <v>142064939.75</v>
      </c>
      <c r="Z10" s="17" t="s">
        <v>23</v>
      </c>
      <c r="AA10" s="1" t="n">
        <f aca="false">[1]Wilton!$BR$12</f>
        <v>142064940</v>
      </c>
      <c r="AB10" s="1" t="n">
        <f aca="false">Y10-AA10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Q11" s="1" t="n">
        <v>591604.8</v>
      </c>
      <c r="Y11" s="16" t="n">
        <f aca="false">SUM(C11:X11)</f>
        <v>5916047.6</v>
      </c>
      <c r="Z11" s="17" t="str">
        <f aca="false">Z10</f>
        <v>Mike Miller</v>
      </c>
      <c r="AA11" s="1" t="n">
        <f aca="false">[1]Wilton!$BR$31</f>
        <v>5916048</v>
      </c>
      <c r="AB11" s="1" t="n">
        <f aca="false">Y11-AA11</f>
        <v>-0.400000000372529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P12" s="1" t="n">
        <v>1183814.88</v>
      </c>
      <c r="Q12" s="1" t="n">
        <v>1775722.31</v>
      </c>
      <c r="R12" s="1" t="n">
        <v>1302196.36</v>
      </c>
      <c r="U12" s="1" t="n">
        <f aca="false">473525.95+8560</f>
        <v>482085.95</v>
      </c>
      <c r="Y12" s="16" t="n">
        <f aca="false">SUM(C12:X12)</f>
        <v>9479079.3</v>
      </c>
      <c r="Z12" s="17" t="str">
        <f aca="false">Z11</f>
        <v>Mike Miller</v>
      </c>
      <c r="AA12" s="1" t="n">
        <f aca="false">[1]Wilton!$BR$147</f>
        <v>9479079</v>
      </c>
      <c r="AB12" s="1" t="n">
        <f aca="false">Y12-AA12</f>
        <v>0.299999998882413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[1]Wilton!$BR$131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f aca="false">2824800/12</f>
        <v>235400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</f>
        <v>235403</v>
      </c>
      <c r="Y14" s="16" t="n">
        <f aca="false">SUM(C14:X14)</f>
        <v>2824800</v>
      </c>
      <c r="Z14" s="17" t="str">
        <f aca="false">Z13</f>
        <v>Mike Miller</v>
      </c>
      <c r="AA14" s="1" t="n">
        <f aca="false">[1]Wilton!$BR$132</f>
        <v>2824800</v>
      </c>
      <c r="AB14" s="1" t="n">
        <f aca="false">Y14-AA14</f>
        <v>0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[1]Wilton!$BR$133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v>636689</v>
      </c>
      <c r="P16" s="1" t="n">
        <f aca="false">(0.6104-0.3765)*AA16</f>
        <v>3456642.9666</v>
      </c>
      <c r="Q16" s="1" t="n">
        <f aca="false">(0.7911-0.6104)*AA16</f>
        <v>2670437.7258</v>
      </c>
      <c r="R16" s="1" t="n">
        <f aca="false">(0.8836-0.7911)*AA16</f>
        <v>1366992.195</v>
      </c>
      <c r="S16" s="1" t="n">
        <f aca="false">(0.9397-0.8836)*AA16</f>
        <v>829062.293399999</v>
      </c>
      <c r="T16" s="1" t="n">
        <f aca="false">(0.9868-0.9397)*AA16</f>
        <v>696057.647400001</v>
      </c>
      <c r="U16" s="1" t="n">
        <f aca="false">(1-0.9868)*AA16</f>
        <v>195073.4808</v>
      </c>
      <c r="Y16" s="16" t="n">
        <f aca="false">SUM(C16:X16)</f>
        <v>10713043.309</v>
      </c>
      <c r="Z16" s="17" t="str">
        <f aca="false">Z15</f>
        <v>Mike Miller</v>
      </c>
      <c r="AA16" s="1" t="n">
        <f aca="false">[1]Wilton!$BR$55</f>
        <v>14778294</v>
      </c>
      <c r="AB16" s="1" t="n">
        <f aca="false">Y16-AA16</f>
        <v>-4065250.691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v>346618</v>
      </c>
      <c r="P17" s="1" t="n">
        <f aca="false">(0.6104-0.3765)*AA17</f>
        <v>1891185.8194</v>
      </c>
      <c r="Q17" s="1" t="n">
        <f aca="false">(0.7911-0.6104)*AA17</f>
        <v>1461040.0922</v>
      </c>
      <c r="R17" s="1" t="n">
        <f aca="false">(0.8836-0.7911)*AA17</f>
        <v>747903.755</v>
      </c>
      <c r="S17" s="1" t="n">
        <f aca="false">(0.9397-0.8836)*AA17</f>
        <v>453593.520599999</v>
      </c>
      <c r="T17" s="1" t="n">
        <f aca="false">(0.9868-0.9397)*AA17</f>
        <v>380824.5066</v>
      </c>
      <c r="U17" s="1" t="n">
        <f aca="false">(1-0.9868)*AA17</f>
        <v>106727.8872</v>
      </c>
      <c r="Y17" s="16" t="n">
        <f aca="false">SUM(C17:X17)</f>
        <v>5391194.581</v>
      </c>
      <c r="Z17" s="17" t="str">
        <f aca="false">Z16</f>
        <v>Mike Miller</v>
      </c>
      <c r="AA17" s="1" t="n">
        <f aca="false">[1]Wilton!$BR$81</f>
        <v>8085446</v>
      </c>
      <c r="AB17" s="1" t="n">
        <f aca="false">Y17-AA17</f>
        <v>-2694251.419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v>2569929</v>
      </c>
      <c r="P18" s="1" t="n">
        <f aca="false">(0.6104-0.3765)*AA18</f>
        <v>7975331.1037</v>
      </c>
      <c r="Q18" s="1" t="n">
        <f aca="false">(0.7911-0.6104)*AA18</f>
        <v>6161360.9681</v>
      </c>
      <c r="R18" s="1" t="n">
        <f aca="false">(0.8836-0.7911)*AA18</f>
        <v>3153989.4275</v>
      </c>
      <c r="S18" s="1" t="n">
        <f aca="false">(0.9397-0.8836)*AA18+3341072</f>
        <v>5253923.9663</v>
      </c>
      <c r="T18" s="1" t="n">
        <f aca="false">(0.9868-0.9397)*AA18</f>
        <v>1605977.3193</v>
      </c>
      <c r="U18" s="1" t="n">
        <f aca="false">(1-0.9868)*AA18</f>
        <v>450082.8156</v>
      </c>
      <c r="Y18" s="16" t="n">
        <f aca="false">SUM(C18:X18)</f>
        <v>27170594.6005</v>
      </c>
      <c r="Z18" s="17" t="str">
        <f aca="false">Z17</f>
        <v>Mike Miller</v>
      </c>
      <c r="AA18" s="1" t="n">
        <f aca="false">[1]Wilton!$BR$114</f>
        <v>34097183</v>
      </c>
      <c r="AB18" s="1" t="n">
        <f aca="false">Y18-AA18</f>
        <v>-6926588.3995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v>28388</v>
      </c>
      <c r="P19" s="1" t="n">
        <f aca="false">(0.6104-0.3765)*AA19</f>
        <v>1248267.9301</v>
      </c>
      <c r="Q19" s="1" t="n">
        <f aca="false">(0.7911-0.6104)*AA19</f>
        <v>964352.3513</v>
      </c>
      <c r="R19" s="1" t="n">
        <f aca="false">(0.8836-0.7911)*AA19</f>
        <v>493650.2075</v>
      </c>
      <c r="S19" s="1" t="n">
        <f aca="false">(0.9397-0.8836)*AA19</f>
        <v>299392.1799</v>
      </c>
      <c r="T19" s="1" t="n">
        <f aca="false">(0.9868-0.9397)*AA19</f>
        <v>251361.3489</v>
      </c>
      <c r="U19" s="1" t="n">
        <f aca="false">(1-0.9868)*AA19</f>
        <v>70445.2187999999</v>
      </c>
      <c r="Y19" s="16" t="n">
        <f aca="false">SUM(C19:X19)</f>
        <v>3355857.2365</v>
      </c>
      <c r="Z19" s="17" t="str">
        <f aca="false">Z18</f>
        <v>Mike Miller</v>
      </c>
      <c r="AA19" s="1" t="n">
        <f aca="false">[1]Wilton!$BR$119</f>
        <v>5336759</v>
      </c>
      <c r="AB19" s="1" t="n">
        <f aca="false">Y19-AA19</f>
        <v>-1980901.7635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Y20" s="16" t="n">
        <f aca="false">SUM(C20:X20)</f>
        <v>500000</v>
      </c>
      <c r="Z20" s="17" t="str">
        <f aca="false">Z19</f>
        <v>Mike Miller</v>
      </c>
      <c r="AA20" s="1" t="n">
        <f aca="false">[1]Wilton!$BR$162</f>
        <v>500000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106</v>
      </c>
      <c r="F21" s="15"/>
      <c r="O21" s="1" t="n">
        <f aca="false">41000+531</f>
        <v>41531</v>
      </c>
      <c r="Y21" s="16" t="n">
        <f aca="false">SUM(C21:X21)</f>
        <v>41531</v>
      </c>
      <c r="Z21" s="17"/>
      <c r="AA21" s="1" t="n">
        <v>41531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107</v>
      </c>
      <c r="F22" s="15"/>
      <c r="N22" s="1" t="n">
        <v>8573073</v>
      </c>
      <c r="O22" s="1" t="n">
        <v>7093919</v>
      </c>
      <c r="Y22" s="16" t="n">
        <f aca="false">SUM(C22:X22)</f>
        <v>15666992</v>
      </c>
      <c r="Z22" s="17" t="str">
        <f aca="false">Z20</f>
        <v>Mike Miller</v>
      </c>
      <c r="AB22" s="1" t="n">
        <f aca="false">Y22-AA22</f>
        <v>15666992</v>
      </c>
    </row>
    <row r="23" customFormat="false" ht="12.75" hidden="false" customHeight="false" outlineLevel="0" collapsed="false">
      <c r="A23" s="1" t="s">
        <v>27</v>
      </c>
      <c r="C23" s="2" t="n">
        <v>0</v>
      </c>
      <c r="F23" s="15"/>
      <c r="P23" s="1" t="n">
        <v>125000</v>
      </c>
      <c r="Q23" s="1" t="n">
        <v>125000</v>
      </c>
      <c r="R23" s="1" t="n">
        <v>125000</v>
      </c>
      <c r="S23" s="1" t="n">
        <v>125000</v>
      </c>
      <c r="T23" s="1" t="n">
        <v>125000</v>
      </c>
      <c r="U23" s="1" t="n">
        <f aca="false">908786-625000</f>
        <v>283786</v>
      </c>
      <c r="Y23" s="16" t="n">
        <f aca="false">SUM(C23:X23)</f>
        <v>908786</v>
      </c>
      <c r="Z23" s="17" t="s">
        <v>28</v>
      </c>
      <c r="AA23" s="1" t="n">
        <f aca="false">[1]Wilton!$BR$156</f>
        <v>908786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29</v>
      </c>
      <c r="C24" s="2" t="n">
        <v>0</v>
      </c>
      <c r="F24" s="15"/>
      <c r="S24" s="1" t="n">
        <v>500000</v>
      </c>
      <c r="T24" s="1" t="n">
        <v>500000</v>
      </c>
      <c r="U24" s="1" t="n">
        <f aca="false">1253881-1000000</f>
        <v>253881</v>
      </c>
      <c r="Y24" s="16" t="n">
        <f aca="false">SUM(C24:X24)</f>
        <v>1253881</v>
      </c>
      <c r="Z24" s="17" t="str">
        <f aca="false">Z16</f>
        <v>Mike Miller</v>
      </c>
      <c r="AA24" s="1" t="n">
        <f aca="false">[1]Wilton!$BR$164</f>
        <v>1253881</v>
      </c>
      <c r="AB24" s="1" t="n">
        <f aca="false">Y24-AA24</f>
        <v>0</v>
      </c>
    </row>
    <row r="25" customFormat="false" ht="12.75" hidden="false" customHeight="false" outlineLevel="0" collapsed="false">
      <c r="A25" s="1" t="s">
        <v>30</v>
      </c>
      <c r="C25" s="2" t="n">
        <v>0</v>
      </c>
      <c r="F25" s="15" t="n">
        <v>20000</v>
      </c>
      <c r="G25" s="1" t="n">
        <f aca="false">1381361+65000</f>
        <v>1446361</v>
      </c>
      <c r="H25" s="1" t="n">
        <v>8500</v>
      </c>
      <c r="J25" s="1" t="n">
        <v>821965</v>
      </c>
      <c r="K25" s="1" t="n">
        <v>0</v>
      </c>
      <c r="M25" s="1" t="n">
        <v>1000</v>
      </c>
      <c r="N25" s="1" t="n">
        <v>7992</v>
      </c>
      <c r="Y25" s="16" t="n">
        <f aca="false">SUM(C25:X25)</f>
        <v>2305818</v>
      </c>
      <c r="Z25" s="17" t="s">
        <v>31</v>
      </c>
      <c r="AA25" s="1" t="n">
        <f aca="false">[1]Wilton!$BR$171</f>
        <v>2305818.14</v>
      </c>
      <c r="AB25" s="1" t="n">
        <f aca="false">Y25-AA25</f>
        <v>-0.140000000130385</v>
      </c>
    </row>
    <row r="26" customFormat="false" ht="12.75" hidden="false" customHeight="false" outlineLevel="0" collapsed="false">
      <c r="A26" s="1" t="s">
        <v>32</v>
      </c>
      <c r="C26" s="2" t="n">
        <v>0</v>
      </c>
      <c r="E26" s="1" t="n">
        <v>0</v>
      </c>
      <c r="F26" s="15" t="n">
        <v>0</v>
      </c>
      <c r="H26" s="1" t="n">
        <v>71081</v>
      </c>
      <c r="I26" s="1" t="n">
        <v>13262</v>
      </c>
      <c r="J26" s="1" t="n">
        <v>24704.06</v>
      </c>
      <c r="K26" s="1" t="n">
        <v>9361.22</v>
      </c>
      <c r="L26" s="1" t="n">
        <v>11746.18</v>
      </c>
      <c r="M26" s="1" t="n">
        <v>19878</v>
      </c>
      <c r="N26" s="1" t="n">
        <v>29832</v>
      </c>
      <c r="O26" s="1" t="n">
        <v>39860</v>
      </c>
      <c r="P26" s="1" t="n">
        <v>78892</v>
      </c>
      <c r="Q26" s="1" t="n">
        <v>51338</v>
      </c>
      <c r="U26" s="1" t="n">
        <v>0</v>
      </c>
      <c r="Y26" s="16" t="n">
        <f aca="false">SUM(C26:X26)</f>
        <v>349954.46</v>
      </c>
      <c r="Z26" s="17" t="str">
        <f aca="false">Z25</f>
        <v>Scott Healy</v>
      </c>
    </row>
    <row r="27" customFormat="false" ht="12.75" hidden="false" customHeight="false" outlineLevel="0" collapsed="false">
      <c r="A27" s="1" t="s">
        <v>89</v>
      </c>
      <c r="F27" s="15"/>
      <c r="O27" s="1" t="n">
        <v>216382</v>
      </c>
      <c r="Y27" s="16" t="n">
        <f aca="false">SUM(C27:X27)</f>
        <v>216382</v>
      </c>
      <c r="Z27" s="17"/>
      <c r="AA27" s="1" t="n">
        <f aca="false">[1]Wilton!$BR$160</f>
        <v>216381.67</v>
      </c>
      <c r="AB27" s="1" t="n">
        <f aca="false">Y27-AA27</f>
        <v>0.329999999987194</v>
      </c>
    </row>
    <row r="28" customFormat="false" ht="12.75" hidden="false" customHeight="false" outlineLevel="0" collapsed="false">
      <c r="A28" s="1" t="s">
        <v>108</v>
      </c>
      <c r="C28" s="2" t="n">
        <v>0</v>
      </c>
      <c r="F28" s="15"/>
      <c r="M28" s="1" t="n">
        <v>50050</v>
      </c>
      <c r="N28" s="1" t="n">
        <v>160616</v>
      </c>
      <c r="O28" s="1" t="n">
        <v>8228</v>
      </c>
      <c r="P28" s="1" t="n">
        <f aca="false">1000000-50050-160616-8228</f>
        <v>781106</v>
      </c>
      <c r="Y28" s="16" t="n">
        <f aca="false">SUM(C28:X28)</f>
        <v>1000000</v>
      </c>
      <c r="Z28" s="17" t="s">
        <v>34</v>
      </c>
      <c r="AA28" s="1" t="n">
        <f aca="false">[1]Wilton!$BR$180</f>
        <v>1000000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33</v>
      </c>
      <c r="C29" s="2" t="n">
        <v>0</v>
      </c>
      <c r="F29" s="15"/>
      <c r="O29" s="1" t="n">
        <v>0</v>
      </c>
      <c r="P29" s="1" t="n">
        <v>1750000</v>
      </c>
      <c r="Q29" s="1" t="n">
        <v>1250000</v>
      </c>
      <c r="R29" s="1" t="n">
        <v>1250000</v>
      </c>
      <c r="S29" s="1" t="n">
        <v>1500000</v>
      </c>
      <c r="T29" s="1" t="n">
        <v>500000</v>
      </c>
      <c r="U29" s="1" t="n">
        <v>250000</v>
      </c>
      <c r="Y29" s="16" t="n">
        <f aca="false">SUM(C29:X29)</f>
        <v>6500000</v>
      </c>
      <c r="Z29" s="17" t="s">
        <v>34</v>
      </c>
      <c r="AA29" s="1" t="n">
        <f aca="false">[1]Wilton!$BR$182</f>
        <v>6500000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36</v>
      </c>
      <c r="C30" s="2" t="n">
        <v>0</v>
      </c>
      <c r="F30" s="15"/>
      <c r="S30" s="1" t="n">
        <v>500000</v>
      </c>
      <c r="T30" s="1" t="n">
        <v>500000</v>
      </c>
      <c r="U30" s="1" t="n">
        <v>500000</v>
      </c>
      <c r="Y30" s="16" t="n">
        <f aca="false">SUM(C30:X30)</f>
        <v>1500000</v>
      </c>
      <c r="Z30" s="17" t="str">
        <f aca="false">Z23</f>
        <v>Kevin Presto</v>
      </c>
      <c r="AA30" s="1" t="n">
        <f aca="false">[1]Wilton!$BR$188</f>
        <v>1500000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38</v>
      </c>
      <c r="C31" s="2" t="n">
        <v>0</v>
      </c>
      <c r="F31" s="15"/>
      <c r="M31" s="1" t="n">
        <v>0</v>
      </c>
      <c r="N31" s="1" t="n">
        <v>0</v>
      </c>
      <c r="O31" s="1" t="n">
        <v>266248.5</v>
      </c>
      <c r="Y31" s="16" t="n">
        <f aca="false">SUM(C31:X31)</f>
        <v>266248.5</v>
      </c>
      <c r="Z31" s="17" t="s">
        <v>31</v>
      </c>
      <c r="AA31" s="1" t="n">
        <f aca="false">[1]Wilton!$BR$190</f>
        <v>266248.5</v>
      </c>
      <c r="AB31" s="1" t="n">
        <f aca="false">Y31-AA31</f>
        <v>0</v>
      </c>
    </row>
    <row r="32" customFormat="false" ht="12.75" hidden="false" customHeight="false" outlineLevel="0" collapsed="false">
      <c r="A32" s="1" t="s">
        <v>39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7949</v>
      </c>
      <c r="H32" s="1" t="n">
        <v>29402</v>
      </c>
      <c r="I32" s="1" t="n">
        <v>13770.85</v>
      </c>
      <c r="J32" s="1" t="n">
        <v>7746</v>
      </c>
      <c r="K32" s="1" t="n">
        <v>6276</v>
      </c>
      <c r="L32" s="1" t="n">
        <v>6591.41</v>
      </c>
      <c r="M32" s="1" t="n">
        <v>0</v>
      </c>
      <c r="N32" s="1" t="n">
        <v>0</v>
      </c>
      <c r="O32" s="1" t="n">
        <v>0</v>
      </c>
      <c r="P32" s="1" t="n">
        <f aca="false">200000/15</f>
        <v>13333.3333333333</v>
      </c>
      <c r="Q32" s="1" t="n">
        <f aca="false">200000/15</f>
        <v>13333.3333333333</v>
      </c>
      <c r="R32" s="1" t="n">
        <f aca="false">200000/15</f>
        <v>13333.3333333333</v>
      </c>
      <c r="S32" s="1" t="n">
        <f aca="false">6712-438+13334</f>
        <v>19608</v>
      </c>
      <c r="T32" s="1" t="n">
        <v>5588</v>
      </c>
      <c r="U32" s="1" t="n">
        <f aca="false">6742+33723</f>
        <v>40465</v>
      </c>
      <c r="Y32" s="16" t="n">
        <f aca="false">SUM(C32:X32)</f>
        <v>177396.26</v>
      </c>
      <c r="Z32" s="17" t="s">
        <v>31</v>
      </c>
    </row>
    <row r="33" customFormat="false" ht="12.75" hidden="false" customHeight="false" outlineLevel="0" collapsed="false">
      <c r="A33" s="1" t="s">
        <v>40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11792</v>
      </c>
      <c r="I33" s="1" t="n">
        <f aca="false">11675+5185</f>
        <v>16860</v>
      </c>
      <c r="J33" s="1" t="n">
        <f aca="false">3599+10838+1916.6</f>
        <v>16353.6</v>
      </c>
      <c r="K33" s="1" t="n">
        <v>33741</v>
      </c>
      <c r="L33" s="1" t="n">
        <f aca="false">20657.14+6342.74</f>
        <v>26999.88</v>
      </c>
      <c r="M33" s="1" t="n">
        <v>47825</v>
      </c>
      <c r="N33" s="1" t="n">
        <v>131162</v>
      </c>
      <c r="O33" s="1" t="n">
        <v>154225</v>
      </c>
      <c r="P33" s="1" t="n">
        <f aca="false">37613-2610</f>
        <v>35003</v>
      </c>
      <c r="Q33" s="1" t="n">
        <v>2610</v>
      </c>
      <c r="R33" s="1" t="n">
        <v>31732</v>
      </c>
      <c r="Y33" s="16" t="n">
        <f aca="false">SUM(C33:X33)</f>
        <v>508303.48</v>
      </c>
      <c r="Z33" s="17" t="s">
        <v>31</v>
      </c>
    </row>
    <row r="34" customFormat="false" ht="12.75" hidden="false" customHeight="false" outlineLevel="0" collapsed="false">
      <c r="A34" s="1" t="s">
        <v>41</v>
      </c>
      <c r="C34" s="2" t="n">
        <v>0</v>
      </c>
      <c r="D34" s="1" t="n">
        <v>0</v>
      </c>
      <c r="E34" s="1" t="n">
        <v>0</v>
      </c>
      <c r="F34" s="15" t="n">
        <v>0</v>
      </c>
      <c r="G34" s="1" t="n">
        <v>0</v>
      </c>
      <c r="H34" s="1" t="n">
        <v>604.5</v>
      </c>
      <c r="I34" s="1" t="n">
        <v>0</v>
      </c>
      <c r="J34" s="1" t="n">
        <v>21423</v>
      </c>
      <c r="K34" s="1" t="n">
        <v>0</v>
      </c>
      <c r="L34" s="1" t="n">
        <v>75</v>
      </c>
      <c r="M34" s="1" t="n">
        <v>6749</v>
      </c>
      <c r="N34" s="1" t="n">
        <v>4455</v>
      </c>
      <c r="O34" s="1" t="n">
        <f aca="false">252209+5848.5</f>
        <v>258057.5</v>
      </c>
      <c r="P34" s="1" t="n">
        <v>50000</v>
      </c>
      <c r="Q34" s="1" t="n">
        <v>19571</v>
      </c>
      <c r="R34" s="1" t="n">
        <f aca="false">5000+50000</f>
        <v>55000</v>
      </c>
      <c r="S34" s="1" t="n">
        <f aca="false">153+18251</f>
        <v>18404</v>
      </c>
      <c r="T34" s="1" t="n">
        <f aca="false">54925-5848.5</f>
        <v>49076.5</v>
      </c>
      <c r="U34" s="1" t="n">
        <v>15544</v>
      </c>
      <c r="Y34" s="16" t="n">
        <f aca="false">SUM(C34:X34)</f>
        <v>498959.5</v>
      </c>
      <c r="Z34" s="17" t="s">
        <v>31</v>
      </c>
      <c r="AA34" s="1" t="n">
        <v>0</v>
      </c>
    </row>
    <row r="35" customFormat="false" ht="12.75" hidden="false" customHeight="false" outlineLevel="0" collapsed="false">
      <c r="A35" s="1" t="s">
        <v>42</v>
      </c>
      <c r="C35" s="18" t="n">
        <f aca="false">SUM(C10:C34)</f>
        <v>6800000</v>
      </c>
      <c r="D35" s="18" t="n">
        <f aca="false">SUM(D10:D34)</f>
        <v>1250000</v>
      </c>
      <c r="E35" s="18" t="n">
        <f aca="false">SUM(E10:E34)</f>
        <v>32884800</v>
      </c>
      <c r="F35" s="18" t="n">
        <f aca="false">SUM(F10:F34)</f>
        <v>20000</v>
      </c>
      <c r="G35" s="18" t="n">
        <f aca="false">SUM(G10:G34)</f>
        <v>1454310</v>
      </c>
      <c r="H35" s="18" t="n">
        <f aca="false">SUM(H10:H34)</f>
        <v>18431906.5</v>
      </c>
      <c r="I35" s="18" t="n">
        <f aca="false">SUM(I10:I34)</f>
        <v>7659172.85</v>
      </c>
      <c r="J35" s="18" t="n">
        <f aca="false">SUM(J10:J34)</f>
        <v>8382273.59333333</v>
      </c>
      <c r="K35" s="18" t="n">
        <f aca="false">SUM(K10:K34)</f>
        <v>6523038.55333333</v>
      </c>
      <c r="L35" s="18" t="n">
        <f aca="false">SUM(L10:L34)</f>
        <v>7283592.80333333</v>
      </c>
      <c r="M35" s="18" t="n">
        <f aca="false">SUM(M10:M34)</f>
        <v>11032599.53</v>
      </c>
      <c r="N35" s="18" t="n">
        <f aca="false">SUM(N10:N34)</f>
        <v>17015699.3333333</v>
      </c>
      <c r="O35" s="18" t="n">
        <f aca="false">SUM(O10:O34)</f>
        <v>38436364.0833333</v>
      </c>
      <c r="P35" s="18" t="n">
        <f aca="false">SUM(P10:P34)</f>
        <v>32819206.1664667</v>
      </c>
      <c r="Q35" s="18" t="n">
        <f aca="false">SUM(Q10:Q34)</f>
        <v>15399703.9140667</v>
      </c>
      <c r="R35" s="18" t="n">
        <f aca="false">SUM(R10:R34)</f>
        <v>8853130.61166667</v>
      </c>
      <c r="S35" s="18" t="n">
        <f aca="false">SUM(S10:S34)</f>
        <v>9812317.29353333</v>
      </c>
      <c r="T35" s="18" t="n">
        <f aca="false">SUM(T10:T34)</f>
        <v>4927218.65553334</v>
      </c>
      <c r="U35" s="18" t="n">
        <f aca="false">SUM(U10:U34)</f>
        <v>13631374.6857333</v>
      </c>
      <c r="V35" s="18"/>
      <c r="W35" s="18"/>
      <c r="X35" s="18"/>
      <c r="Y35" s="19" t="n">
        <f aca="false">SUM(C35:X35)</f>
        <v>242616708.573667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6800000</v>
      </c>
      <c r="D36" s="18" t="n">
        <f aca="false">+C36+D35</f>
        <v>8050000</v>
      </c>
      <c r="E36" s="18" t="n">
        <f aca="false">+D36+E35</f>
        <v>40934800</v>
      </c>
      <c r="F36" s="18" t="n">
        <f aca="false">+E36+F35</f>
        <v>40954800</v>
      </c>
      <c r="G36" s="18" t="n">
        <f aca="false">+F36+G35</f>
        <v>42409110</v>
      </c>
      <c r="H36" s="18" t="n">
        <f aca="false">+G36+H35</f>
        <v>60841016.5</v>
      </c>
      <c r="I36" s="18" t="n">
        <f aca="false">+H36+I35</f>
        <v>68500189.35</v>
      </c>
      <c r="J36" s="18" t="n">
        <f aca="false">+I36+J35</f>
        <v>76882462.9433333</v>
      </c>
      <c r="K36" s="18" t="n">
        <f aca="false">+J36+K35</f>
        <v>83405501.4966667</v>
      </c>
      <c r="L36" s="18" t="n">
        <f aca="false">+K36+L35</f>
        <v>90689094.3</v>
      </c>
      <c r="M36" s="18" t="n">
        <f aca="false">+L36+M35</f>
        <v>101721693.83</v>
      </c>
      <c r="N36" s="18" t="n">
        <f aca="false">+M36+N35</f>
        <v>118737393.163333</v>
      </c>
      <c r="O36" s="18" t="n">
        <f aca="false">+N36+O35</f>
        <v>157173757.246667</v>
      </c>
      <c r="P36" s="18" t="n">
        <f aca="false">+O36+P35</f>
        <v>189992963.413133</v>
      </c>
      <c r="Q36" s="18" t="n">
        <f aca="false">+P36+Q35</f>
        <v>205392667.3272</v>
      </c>
      <c r="R36" s="18" t="n">
        <f aca="false">+Q36+R35</f>
        <v>214245797.938867</v>
      </c>
      <c r="S36" s="18" t="n">
        <f aca="false">+R36+S35</f>
        <v>224058115.2324</v>
      </c>
      <c r="T36" s="18" t="n">
        <f aca="false">+S36+T35</f>
        <v>228985333.887933</v>
      </c>
      <c r="U36" s="18" t="n">
        <f aca="false">+T36+U35</f>
        <v>242616708.573667</v>
      </c>
      <c r="V36" s="37"/>
      <c r="W36" s="37"/>
      <c r="X36" s="37"/>
      <c r="Y36" s="20"/>
    </row>
    <row r="37" customFormat="false" ht="12.75" hidden="false" customHeight="false" outlineLevel="0" collapsed="false">
      <c r="A37" s="1" t="s">
        <v>44</v>
      </c>
      <c r="F37" s="15"/>
      <c r="Y37" s="21" t="n">
        <f aca="false">+Y35/C52/1000</f>
        <v>399.040639101426</v>
      </c>
    </row>
    <row r="38" customFormat="false" ht="12.75" hidden="false" customHeight="false" outlineLevel="0" collapsed="false">
      <c r="F38" s="15"/>
      <c r="Y38" s="16"/>
    </row>
    <row r="39" customFormat="false" ht="12.75" hidden="false" customHeight="false" outlineLevel="0" collapsed="false">
      <c r="A39" s="1" t="s">
        <v>91</v>
      </c>
      <c r="F39" s="15" t="n">
        <v>-21556.4</v>
      </c>
      <c r="G39" s="15" t="n">
        <f aca="false">43113+23365.9</f>
        <v>66478.9</v>
      </c>
      <c r="H39" s="1" t="n">
        <v>-51000</v>
      </c>
      <c r="Y39" s="16" t="n">
        <f aca="false">SUM(C39:X39)</f>
        <v>-6077.50000000001</v>
      </c>
      <c r="Z39" s="17" t="s">
        <v>47</v>
      </c>
    </row>
    <row r="40" customFormat="false" ht="12.75" hidden="false" customHeight="false" outlineLevel="0" collapsed="false">
      <c r="A40" s="1" t="s">
        <v>45</v>
      </c>
      <c r="C40" s="2" t="n">
        <v>340000</v>
      </c>
      <c r="D40" s="1" t="n">
        <v>46410</v>
      </c>
      <c r="E40" s="1" t="n">
        <v>139384</v>
      </c>
      <c r="F40" s="15" t="n">
        <f aca="false">205882.6+21556.4</f>
        <v>227439</v>
      </c>
      <c r="G40" s="15" t="n">
        <v>231444</v>
      </c>
      <c r="H40" s="15" t="n">
        <v>419367</v>
      </c>
      <c r="I40" s="15" t="n">
        <v>378615.552520833</v>
      </c>
      <c r="J40" s="15" t="n">
        <v>426070.368727543</v>
      </c>
      <c r="K40" s="15" t="n">
        <v>463711.375388706</v>
      </c>
      <c r="L40" s="15" t="n">
        <v>505639.68570277</v>
      </c>
      <c r="M40" s="15" t="n">
        <v>568176.300858508</v>
      </c>
      <c r="N40" s="15" t="n">
        <v>663422.293877047</v>
      </c>
      <c r="O40" s="15" t="n">
        <v>873819.325295269</v>
      </c>
      <c r="P40" s="15" t="n">
        <f aca="false">(P36+O45)*$C50/12</f>
        <v>1057721.02483398</v>
      </c>
      <c r="Q40" s="15" t="n">
        <f aca="false">(Q36+P45)*$C50/12</f>
        <v>1146865.40991969</v>
      </c>
      <c r="R40" s="15" t="n">
        <f aca="false">(R36+Q45)*$C50/12</f>
        <v>1201032.05503662</v>
      </c>
      <c r="S40" s="15" t="n">
        <f aca="false">(S36+R45)*$C50/12</f>
        <v>1260687.69734137</v>
      </c>
      <c r="T40" s="15" t="n">
        <f aca="false">(T36+S45)*$C50/12</f>
        <v>1294205.52341944</v>
      </c>
      <c r="U40" s="15" t="n">
        <f aca="false">(U36+T45)*$C50/12</f>
        <v>1375052.41621902</v>
      </c>
      <c r="V40" s="15"/>
      <c r="W40" s="15"/>
      <c r="X40" s="15"/>
      <c r="Y40" s="16" t="n">
        <f aca="false">SUM(C40:X40)</f>
        <v>12619063.0291408</v>
      </c>
      <c r="Z40" s="17" t="n">
        <f aca="false">Z53</f>
        <v>0</v>
      </c>
    </row>
    <row r="41" customFormat="false" ht="12.75" hidden="false" customHeight="false" outlineLevel="0" collapsed="false">
      <c r="A41" s="1" t="s">
        <v>92</v>
      </c>
      <c r="F41" s="15" t="n">
        <v>0</v>
      </c>
      <c r="G41" s="15" t="n">
        <v>0</v>
      </c>
      <c r="H41" s="15" t="n">
        <v>0</v>
      </c>
      <c r="I41" s="15" t="n">
        <v>0</v>
      </c>
      <c r="J41" s="15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/>
      <c r="W41" s="15"/>
      <c r="X41" s="15"/>
      <c r="Y41" s="16" t="n">
        <f aca="false">SUM(C41:X41)</f>
        <v>0</v>
      </c>
      <c r="Z41" s="17" t="n">
        <f aca="false">Z40</f>
        <v>0</v>
      </c>
    </row>
    <row r="42" customFormat="false" ht="12.75" hidden="false" customHeight="false" outlineLevel="0" collapsed="false">
      <c r="A42" s="1" t="s">
        <v>109</v>
      </c>
      <c r="C42" s="2" t="n">
        <v>0</v>
      </c>
      <c r="H42" s="1" t="n">
        <v>100</v>
      </c>
      <c r="K42" s="1" t="n">
        <f aca="false">220+59</f>
        <v>279</v>
      </c>
      <c r="L42" s="1" t="n">
        <v>10</v>
      </c>
      <c r="M42" s="1" t="n">
        <v>0</v>
      </c>
      <c r="N42" s="1" t="n">
        <v>800</v>
      </c>
      <c r="Y42" s="16" t="n">
        <f aca="false">SUM(C42:X42)</f>
        <v>1189</v>
      </c>
      <c r="Z42" s="17"/>
    </row>
    <row r="43" customFormat="false" ht="12.75" hidden="false" customHeight="false" outlineLevel="0" collapsed="false">
      <c r="A43" s="1" t="s">
        <v>93</v>
      </c>
      <c r="C43" s="2" t="n">
        <v>0</v>
      </c>
      <c r="U43" s="1" t="n">
        <v>0</v>
      </c>
      <c r="Y43" s="16" t="n">
        <f aca="false">SUM(C43:X43)</f>
        <v>0</v>
      </c>
      <c r="Z43" s="17" t="str">
        <f aca="false">Z24</f>
        <v>Mike Miller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340000</v>
      </c>
      <c r="D44" s="18" t="n">
        <f aca="false">SUM(D39:D43)</f>
        <v>46410</v>
      </c>
      <c r="E44" s="18" t="n">
        <f aca="false">SUM(E39:E43)</f>
        <v>139384</v>
      </c>
      <c r="F44" s="18" t="n">
        <f aca="false">SUM(F39:F43)</f>
        <v>205882.6</v>
      </c>
      <c r="G44" s="18" t="n">
        <f aca="false">SUM(G39:G43)</f>
        <v>297922.9</v>
      </c>
      <c r="H44" s="18" t="n">
        <f aca="false">SUM(H39:H43)</f>
        <v>368467</v>
      </c>
      <c r="I44" s="18" t="n">
        <f aca="false">SUM(I39:I43)</f>
        <v>378615.552520833</v>
      </c>
      <c r="J44" s="18" t="n">
        <f aca="false">SUM(J39:J43)</f>
        <v>426070.368727543</v>
      </c>
      <c r="K44" s="18" t="n">
        <f aca="false">SUM(K39:K43)</f>
        <v>463990.375388706</v>
      </c>
      <c r="L44" s="18" t="n">
        <f aca="false">SUM(L39:L43)</f>
        <v>505649.68570277</v>
      </c>
      <c r="M44" s="18" t="n">
        <f aca="false">SUM(M39:M43)</f>
        <v>568176.300858508</v>
      </c>
      <c r="N44" s="18" t="n">
        <f aca="false">SUM(N39:N43)</f>
        <v>664222.293877047</v>
      </c>
      <c r="O44" s="18" t="n">
        <f aca="false">SUM(O39:O43)</f>
        <v>873819.325295269</v>
      </c>
      <c r="P44" s="18" t="n">
        <f aca="false">SUM(P39:P43)</f>
        <v>1057721.02483398</v>
      </c>
      <c r="Q44" s="18" t="n">
        <f aca="false">SUM(Q39:Q43)</f>
        <v>1146865.40991969</v>
      </c>
      <c r="R44" s="18" t="n">
        <f aca="false">SUM(R39:R43)</f>
        <v>1201032.05503662</v>
      </c>
      <c r="S44" s="18" t="n">
        <f aca="false">SUM(S39:S43)</f>
        <v>1260687.69734137</v>
      </c>
      <c r="T44" s="18" t="n">
        <f aca="false">SUM(T39:T43)</f>
        <v>1294205.52341944</v>
      </c>
      <c r="U44" s="18" t="n">
        <f aca="false">SUM(U39:U43)</f>
        <v>1375052.41621902</v>
      </c>
      <c r="V44" s="18" t="n">
        <f aca="false">SUM(V39:V43)</f>
        <v>0</v>
      </c>
      <c r="W44" s="18" t="n">
        <f aca="false">SUM(W39:W43)</f>
        <v>0</v>
      </c>
      <c r="X44" s="18" t="n">
        <f aca="false">SUM(X39:X43)</f>
        <v>0</v>
      </c>
      <c r="Y44" s="19" t="n">
        <f aca="false">SUM(C44:U44)</f>
        <v>12614174.5291408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340000</v>
      </c>
      <c r="D45" s="18" t="n">
        <f aca="false">+D44+C45</f>
        <v>386410</v>
      </c>
      <c r="E45" s="18" t="n">
        <f aca="false">+E44+D45</f>
        <v>525794</v>
      </c>
      <c r="F45" s="18" t="n">
        <f aca="false">+F44+E45</f>
        <v>731676.6</v>
      </c>
      <c r="G45" s="18" t="n">
        <f aca="false">+G44+F45</f>
        <v>1029599.5</v>
      </c>
      <c r="H45" s="18" t="n">
        <f aca="false">+H44+G45</f>
        <v>1398066.5</v>
      </c>
      <c r="I45" s="18" t="n">
        <f aca="false">+I44+H45</f>
        <v>1776682.05252083</v>
      </c>
      <c r="J45" s="18" t="n">
        <f aca="false">+J44+I45</f>
        <v>2202752.42124838</v>
      </c>
      <c r="K45" s="18" t="n">
        <f aca="false">+K44+J45</f>
        <v>2666742.79663708</v>
      </c>
      <c r="L45" s="18" t="n">
        <f aca="false">+L44+K45</f>
        <v>3172392.48233985</v>
      </c>
      <c r="M45" s="18" t="n">
        <f aca="false">+M44+L45</f>
        <v>3740568.78319836</v>
      </c>
      <c r="N45" s="18" t="n">
        <f aca="false">+N44+M45</f>
        <v>4404791.07707541</v>
      </c>
      <c r="O45" s="18" t="n">
        <f aca="false">+O44+N45</f>
        <v>5278610.40237068</v>
      </c>
      <c r="P45" s="18" t="n">
        <f aca="false">+P44+O45</f>
        <v>6336331.42720466</v>
      </c>
      <c r="Q45" s="18" t="n">
        <f aca="false">+Q44+P45</f>
        <v>7483196.83712435</v>
      </c>
      <c r="R45" s="18" t="n">
        <f aca="false">+R44+Q45</f>
        <v>8684228.89216097</v>
      </c>
      <c r="S45" s="18" t="n">
        <f aca="false">+S44+R45</f>
        <v>9944916.58950234</v>
      </c>
      <c r="T45" s="18" t="n">
        <f aca="false">+T44+S45</f>
        <v>11239122.1129218</v>
      </c>
      <c r="U45" s="18" t="n">
        <f aca="false">+U44+T45</f>
        <v>12614174.5291408</v>
      </c>
      <c r="V45" s="18" t="n">
        <f aca="false">+V44+U45</f>
        <v>12614174.5291408</v>
      </c>
      <c r="W45" s="18" t="n">
        <f aca="false">+W44+V45</f>
        <v>12614174.5291408</v>
      </c>
      <c r="X45" s="18" t="n">
        <f aca="false">+X44+W45</f>
        <v>12614174.5291408</v>
      </c>
      <c r="Y45" s="16"/>
    </row>
    <row r="46" customFormat="false" ht="12.75" hidden="false" customHeight="false" outlineLevel="0" collapsed="false">
      <c r="Y46" s="16"/>
    </row>
    <row r="47" customFormat="false" ht="12.75" hidden="false" customHeight="false" outlineLevel="0" collapsed="false">
      <c r="A47" s="2" t="s">
        <v>110</v>
      </c>
      <c r="B47" s="2"/>
      <c r="C47" s="2" t="n">
        <f aca="false">+C35+C44</f>
        <v>7140000</v>
      </c>
      <c r="D47" s="2" t="n">
        <f aca="false">+D35+D44</f>
        <v>1296410</v>
      </c>
      <c r="E47" s="2" t="n">
        <f aca="false">+E35+E44</f>
        <v>33024184</v>
      </c>
      <c r="F47" s="2" t="n">
        <f aca="false">+F35+F44</f>
        <v>225882.6</v>
      </c>
      <c r="G47" s="2" t="n">
        <f aca="false">+G35+G44</f>
        <v>1752232.9</v>
      </c>
      <c r="H47" s="2" t="n">
        <f aca="false">+H35+H44</f>
        <v>18800373.5</v>
      </c>
      <c r="I47" s="2" t="n">
        <f aca="false">+I35+I44</f>
        <v>8037788.40252083</v>
      </c>
      <c r="J47" s="2" t="n">
        <f aca="false">+J35+J44</f>
        <v>8808343.96206088</v>
      </c>
      <c r="K47" s="2" t="n">
        <f aca="false">+K35+K44</f>
        <v>6987028.92872204</v>
      </c>
      <c r="L47" s="2" t="n">
        <f aca="false">+L35+L44</f>
        <v>7789242.4890361</v>
      </c>
      <c r="M47" s="2" t="n">
        <f aca="false">+M35+M44</f>
        <v>11600775.8308585</v>
      </c>
      <c r="N47" s="2" t="n">
        <f aca="false">+N35+N44</f>
        <v>17679921.6272104</v>
      </c>
      <c r="O47" s="2" t="n">
        <f aca="false">+O35+O44</f>
        <v>39310183.4086286</v>
      </c>
      <c r="P47" s="2" t="n">
        <f aca="false">+P35+P44</f>
        <v>33876927.1913006</v>
      </c>
      <c r="Q47" s="2" t="n">
        <f aca="false">+Q35+Q44</f>
        <v>16546569.3239864</v>
      </c>
      <c r="R47" s="2" t="n">
        <f aca="false">+R35+R44</f>
        <v>10054162.6667033</v>
      </c>
      <c r="S47" s="2" t="n">
        <f aca="false">+S35+S44</f>
        <v>11073004.9908747</v>
      </c>
      <c r="T47" s="2" t="n">
        <f aca="false">+T35+T44</f>
        <v>6221424.17895278</v>
      </c>
      <c r="U47" s="2" t="n">
        <f aca="false">+U35+U44</f>
        <v>15006427.1019524</v>
      </c>
      <c r="V47" s="2" t="n">
        <f aca="false">+V35+V44</f>
        <v>0</v>
      </c>
      <c r="W47" s="2" t="n">
        <f aca="false">+W35+W44</f>
        <v>0</v>
      </c>
      <c r="X47" s="2" t="n">
        <f aca="false">+X35+X44</f>
        <v>0</v>
      </c>
      <c r="Y47" s="16" t="n">
        <f aca="false">SUM(C47:X47)</f>
        <v>255230883.102807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7140000</v>
      </c>
      <c r="D48" s="2" t="n">
        <f aca="false">C48+D47</f>
        <v>8436410</v>
      </c>
      <c r="E48" s="2" t="n">
        <f aca="false">D48+E47</f>
        <v>41460594</v>
      </c>
      <c r="F48" s="2" t="n">
        <f aca="false">E48+F47</f>
        <v>41686476.6</v>
      </c>
      <c r="G48" s="2" t="n">
        <f aca="false">F48+G47</f>
        <v>43438709.5</v>
      </c>
      <c r="H48" s="2" t="n">
        <f aca="false">G48+H47</f>
        <v>62239083</v>
      </c>
      <c r="I48" s="2" t="n">
        <f aca="false">H48+I47</f>
        <v>70276871.4025208</v>
      </c>
      <c r="J48" s="2" t="n">
        <f aca="false">I48+J47</f>
        <v>79085215.3645817</v>
      </c>
      <c r="K48" s="2" t="n">
        <f aca="false">J48+K47</f>
        <v>86072244.2933037</v>
      </c>
      <c r="L48" s="2" t="n">
        <f aca="false">K48+L47</f>
        <v>93861486.7823398</v>
      </c>
      <c r="M48" s="2" t="n">
        <f aca="false">L48+M47</f>
        <v>105462262.613198</v>
      </c>
      <c r="N48" s="2" t="n">
        <f aca="false">M48+N47</f>
        <v>123142184.240409</v>
      </c>
      <c r="O48" s="2" t="n">
        <f aca="false">N48+O47</f>
        <v>162452367.649037</v>
      </c>
      <c r="P48" s="2" t="n">
        <f aca="false">O48+P47</f>
        <v>196329294.840338</v>
      </c>
      <c r="Q48" s="2" t="n">
        <f aca="false">P48+Q47</f>
        <v>212875864.164324</v>
      </c>
      <c r="R48" s="2" t="n">
        <f aca="false">Q48+R47</f>
        <v>222930026.831028</v>
      </c>
      <c r="S48" s="2" t="n">
        <f aca="false">R48+S47</f>
        <v>234003031.821902</v>
      </c>
      <c r="T48" s="2" t="n">
        <f aca="false">S48+T47</f>
        <v>240224456.000855</v>
      </c>
      <c r="U48" s="2" t="n">
        <f aca="false">T48+U47</f>
        <v>255230883.102807</v>
      </c>
      <c r="V48" s="2" t="n">
        <f aca="false">U48+V47</f>
        <v>255230883.102807</v>
      </c>
      <c r="W48" s="2" t="n">
        <f aca="false">V48+W47</f>
        <v>255230883.102807</v>
      </c>
      <c r="X48" s="2" t="n">
        <f aca="false">W48+X47</f>
        <v>255230883.102807</v>
      </c>
      <c r="Y48" s="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" t="s">
        <v>44</v>
      </c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1" t="n">
        <f aca="false">+Y47/C52/1000</f>
        <v>419.787636682249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245672000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/>
      <c r="B52" s="2"/>
      <c r="C52" s="2" t="n">
        <v>608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U53" s="1" t="n">
        <v>0</v>
      </c>
      <c r="Y53" s="22" t="n">
        <f aca="false">SUM(C53:U53)</f>
        <v>0</v>
      </c>
      <c r="Z53" s="17" t="n">
        <f aca="false">Z42</f>
        <v>0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+C47-C40</f>
        <v>6800000</v>
      </c>
      <c r="D55" s="2" t="n">
        <f aca="false">+D47-D40</f>
        <v>1250000</v>
      </c>
      <c r="E55" s="2" t="n">
        <f aca="false">+E47-E40</f>
        <v>32884800</v>
      </c>
      <c r="F55" s="2" t="n">
        <f aca="false">+F47-F40</f>
        <v>-1556.39999999999</v>
      </c>
      <c r="G55" s="2" t="n">
        <f aca="false">+G47-G40</f>
        <v>1520788.9</v>
      </c>
      <c r="H55" s="2" t="n">
        <f aca="false">+H47-H40</f>
        <v>18381006.5</v>
      </c>
      <c r="I55" s="2" t="n">
        <f aca="false">+I47-I40</f>
        <v>7659172.85</v>
      </c>
      <c r="J55" s="2" t="n">
        <f aca="false">+J47-J40</f>
        <v>8382273.59333333</v>
      </c>
      <c r="K55" s="2" t="n">
        <f aca="false">+K47-K40</f>
        <v>6523317.55333333</v>
      </c>
      <c r="L55" s="2" t="n">
        <f aca="false">+L47-L40</f>
        <v>7283602.80333333</v>
      </c>
      <c r="M55" s="2" t="n">
        <f aca="false">+M47-M40</f>
        <v>11032599.53</v>
      </c>
      <c r="N55" s="2" t="n">
        <f aca="false">+N47-N40</f>
        <v>17016499.3333333</v>
      </c>
      <c r="O55" s="2" t="n">
        <f aca="false">+O47-O40</f>
        <v>38436364.0833333</v>
      </c>
      <c r="P55" s="2" t="n">
        <f aca="false">+P47-P40</f>
        <v>32819206.1664667</v>
      </c>
      <c r="Q55" s="2" t="n">
        <f aca="false">+Q47-Q40</f>
        <v>15399703.9140667</v>
      </c>
      <c r="R55" s="2" t="n">
        <f aca="false">+R47-R40</f>
        <v>8853130.61166667</v>
      </c>
      <c r="S55" s="2" t="n">
        <f aca="false">+S47-S40</f>
        <v>9812317.29353333</v>
      </c>
      <c r="T55" s="2" t="n">
        <f aca="false">+T47-T40</f>
        <v>4927218.65553334</v>
      </c>
      <c r="U55" s="2" t="n">
        <f aca="false">+U47-U40</f>
        <v>13631374.6857333</v>
      </c>
      <c r="V55" s="2" t="n">
        <f aca="false">+V47-V40</f>
        <v>0</v>
      </c>
      <c r="W55" s="2" t="n">
        <f aca="false">+W47-W40</f>
        <v>0</v>
      </c>
      <c r="X55" s="2" t="n">
        <f aca="false">+X47-X40</f>
        <v>0</v>
      </c>
      <c r="Y55" s="16" t="n">
        <f aca="false">SUM(C55:X55)</f>
        <v>242611820.073667</v>
      </c>
    </row>
    <row r="56" customFormat="false" ht="9.75" hidden="false" customHeight="true" outlineLevel="0" collapsed="false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6"/>
    </row>
    <row r="57" customFormat="false" ht="12.75" hidden="false" customHeight="false" outlineLevel="0" collapsed="false">
      <c r="Y57" s="16"/>
    </row>
    <row r="58" customFormat="false" ht="20.25" hidden="false" customHeight="false" outlineLevel="0" collapsed="false">
      <c r="A58" s="24" t="s">
        <v>80</v>
      </c>
      <c r="Y58" s="16"/>
      <c r="AB58" s="1" t="s">
        <v>111</v>
      </c>
    </row>
    <row r="59" customFormat="false" ht="12.75" hidden="false" customHeight="false" outlineLevel="0" collapsed="false">
      <c r="A59" s="9" t="s">
        <v>20</v>
      </c>
      <c r="Y59" s="16"/>
      <c r="AB59" s="1" t="s">
        <v>112</v>
      </c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0</v>
      </c>
      <c r="E60" s="1" t="n">
        <v>0</v>
      </c>
      <c r="F60" s="15" t="n">
        <v>8000</v>
      </c>
      <c r="G60" s="1" t="n">
        <v>24712</v>
      </c>
      <c r="H60" s="1" t="n">
        <v>0</v>
      </c>
      <c r="I60" s="1" t="n">
        <v>0</v>
      </c>
      <c r="J60" s="1" t="n">
        <v>14873.37</v>
      </c>
      <c r="K60" s="1" t="n">
        <v>2460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50045.37</v>
      </c>
      <c r="Z60" s="17" t="s">
        <v>31</v>
      </c>
      <c r="AA60" s="1" t="n">
        <f aca="false">Y60+Y26</f>
        <v>399999.83</v>
      </c>
      <c r="AB60" s="1" t="n">
        <f aca="false">[1]Wilton!$BR$178</f>
        <v>400000</v>
      </c>
      <c r="AC60" s="1" t="n">
        <f aca="false">AB60-AA60</f>
        <v>0.169999999983702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1236</v>
      </c>
      <c r="E61" s="1" t="n">
        <f aca="false">56608-22604+22500</f>
        <v>56504</v>
      </c>
      <c r="F61" s="15" t="n">
        <f aca="false">5706+21114</f>
        <v>26820</v>
      </c>
      <c r="G61" s="1" t="n">
        <f aca="false">9652+1899</f>
        <v>11551</v>
      </c>
      <c r="H61" s="1" t="n">
        <v>0</v>
      </c>
      <c r="I61" s="1" t="n">
        <f aca="false">169479.45+30387.78</f>
        <v>199867.23</v>
      </c>
      <c r="J61" s="1" t="n">
        <f aca="false">566.91+3047.17+16608.78+17351.65+10439.68</f>
        <v>48014.19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Y61" s="16" t="n">
        <f aca="false">SUM(C61:U61)</f>
        <v>343992.42</v>
      </c>
      <c r="Z61" s="17" t="str">
        <f aca="false">Z60</f>
        <v>Scott Healy</v>
      </c>
      <c r="AA61" s="1" t="n">
        <f aca="false">Y61+Y33</f>
        <v>852295.9</v>
      </c>
      <c r="AB61" s="1" t="n">
        <f aca="false">[1]Wilton!$BR$201</f>
        <v>852295.78</v>
      </c>
      <c r="AC61" s="1" t="n">
        <f aca="false">AB61-AA61</f>
        <v>-0.119999999878928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22604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SUM(C62:U62)</f>
        <v>22604</v>
      </c>
      <c r="Z62" s="17" t="str">
        <f aca="false">Z61</f>
        <v>Scott Healy</v>
      </c>
      <c r="AA62" s="1" t="n">
        <f aca="false">Y62+Y32</f>
        <v>200000.26</v>
      </c>
      <c r="AB62" s="1" t="n">
        <f aca="false">[1]Wilton!$BR$192</f>
        <v>200000</v>
      </c>
      <c r="AC62" s="1" t="n">
        <f aca="false">AB62-AA62</f>
        <v>-0.260000000009313</v>
      </c>
    </row>
    <row r="63" customFormat="false" ht="12.75" hidden="false" customHeight="false" outlineLevel="0" collapsed="false">
      <c r="A63" s="1" t="s">
        <v>41</v>
      </c>
      <c r="C63" s="2" t="n">
        <v>0</v>
      </c>
      <c r="D63" s="1" t="n">
        <v>0</v>
      </c>
      <c r="E63" s="1" t="n">
        <v>0</v>
      </c>
      <c r="F63" s="15" t="n">
        <v>10000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SUM(C63:U63)</f>
        <v>10000</v>
      </c>
      <c r="Z63" s="17" t="str">
        <f aca="false">Z62</f>
        <v>Scott Healy</v>
      </c>
      <c r="AA63" s="1" t="n">
        <f aca="false">Y63+Y34</f>
        <v>508959.5</v>
      </c>
      <c r="AB63" s="1" t="n">
        <f aca="false">[1]Wilton!$BR$208</f>
        <v>508959.46</v>
      </c>
      <c r="AC63" s="1" t="n">
        <f aca="false">AB63-AA63</f>
        <v>-0.0400000000372529</v>
      </c>
    </row>
    <row r="64" customFormat="false" ht="12.75" hidden="false" customHeight="false" outlineLevel="0" collapsed="false">
      <c r="A64" s="2" t="s">
        <v>113</v>
      </c>
      <c r="C64" s="18" t="n">
        <f aca="false">SUM(C60:C63)</f>
        <v>0</v>
      </c>
      <c r="D64" s="18" t="n">
        <f aca="false">SUM(D60:D63)</f>
        <v>1236</v>
      </c>
      <c r="E64" s="18" t="n">
        <f aca="false">SUM(E60:E63)</f>
        <v>79108</v>
      </c>
      <c r="F64" s="18" t="n">
        <f aca="false">SUM(F60:F63)</f>
        <v>44820</v>
      </c>
      <c r="G64" s="18" t="n">
        <f aca="false">SUM(G60:G63)</f>
        <v>36263</v>
      </c>
      <c r="H64" s="18" t="n">
        <f aca="false">SUM(H60:H63)</f>
        <v>0</v>
      </c>
      <c r="I64" s="18" t="n">
        <f aca="false">SUM(I60:I63)</f>
        <v>199867.23</v>
      </c>
      <c r="J64" s="18" t="n">
        <f aca="false">SUM(J60:J63)</f>
        <v>62887.56</v>
      </c>
      <c r="K64" s="18" t="n">
        <f aca="false">SUM(K60:K63)</f>
        <v>2460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0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8" t="n">
        <f aca="false">SUM(X60:X63)</f>
        <v>0</v>
      </c>
      <c r="Y64" s="19" t="n">
        <f aca="false">SUM(C64:U64)</f>
        <v>426641.79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6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-56500</v>
      </c>
      <c r="H66" s="2" t="n">
        <f aca="false">1-35</f>
        <v>-34</v>
      </c>
      <c r="I66" s="2" t="n">
        <v>-69954</v>
      </c>
      <c r="J66" s="2" t="n">
        <v>-22011</v>
      </c>
      <c r="K66" s="2" t="n">
        <f aca="false">-98-861</f>
        <v>-959</v>
      </c>
      <c r="L66" s="2" t="n">
        <f aca="false">-3</f>
        <v>-3</v>
      </c>
      <c r="M66" s="2" t="n">
        <f aca="false">[1]Wilton!$AN$224</f>
        <v>52217</v>
      </c>
      <c r="N66" s="2" t="n">
        <f aca="false">-233-52264</f>
        <v>-52497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16" t="n">
        <f aca="false">SUM(G66:U66)</f>
        <v>-149741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1236</v>
      </c>
      <c r="E67" s="18" t="n">
        <f aca="false">SUM(E64:E66)</f>
        <v>79108</v>
      </c>
      <c r="F67" s="18" t="n">
        <f aca="false">SUM(F64:F66)</f>
        <v>44820</v>
      </c>
      <c r="G67" s="18" t="n">
        <f aca="false">SUM(G64:G66)</f>
        <v>-20237</v>
      </c>
      <c r="H67" s="18" t="n">
        <f aca="false">SUM(H64:H66)</f>
        <v>-34</v>
      </c>
      <c r="I67" s="18" t="n">
        <f aca="false">SUM(I64:I66)</f>
        <v>129913.23</v>
      </c>
      <c r="J67" s="18" t="n">
        <f aca="false">SUM(J64:J66)</f>
        <v>40876.56</v>
      </c>
      <c r="K67" s="18" t="n">
        <f aca="false">SUM(K64:K66)</f>
        <v>1501</v>
      </c>
      <c r="L67" s="18" t="n">
        <f aca="false">SUM(L64:L66)</f>
        <v>-3</v>
      </c>
      <c r="M67" s="18" t="n">
        <f aca="false">SUM(M64:M66)</f>
        <v>52217</v>
      </c>
      <c r="N67" s="18" t="n">
        <f aca="false">SUM(N64:N66)</f>
        <v>-52497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276900.79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114</v>
      </c>
      <c r="Y69" s="16"/>
    </row>
    <row r="70" customFormat="false" ht="12.75" hidden="false" customHeight="false" outlineLevel="0" collapsed="false">
      <c r="A70" s="1" t="s">
        <v>39</v>
      </c>
      <c r="E70" s="1" t="n">
        <v>19729</v>
      </c>
      <c r="F70" s="1" t="n">
        <v>0</v>
      </c>
      <c r="H70" s="1" t="n">
        <v>12698.23</v>
      </c>
      <c r="J70" s="1" t="n">
        <v>5725</v>
      </c>
      <c r="O70" s="1" t="n">
        <v>1242.3</v>
      </c>
      <c r="Y70" s="16" t="n">
        <f aca="false">SUM(C70:U70)</f>
        <v>39394.53</v>
      </c>
      <c r="Z70" s="17" t="str">
        <f aca="false">+Z63</f>
        <v>Scott Healy</v>
      </c>
    </row>
    <row r="71" customFormat="false" ht="12.75" hidden="false" customHeight="false" outlineLevel="0" collapsed="false">
      <c r="A71" s="1" t="s">
        <v>40</v>
      </c>
      <c r="D71" s="1" t="n">
        <v>1343</v>
      </c>
      <c r="E71" s="15" t="n">
        <f aca="false">24234.66+4681.29</f>
        <v>28915.95</v>
      </c>
      <c r="F71" s="1" t="n">
        <f aca="false">19059+269.69</f>
        <v>19328.69</v>
      </c>
      <c r="G71" s="1" t="n">
        <v>568</v>
      </c>
      <c r="H71" s="1" t="n">
        <v>68419</v>
      </c>
      <c r="L71" s="1" t="n">
        <v>591.45</v>
      </c>
      <c r="Y71" s="16" t="n">
        <f aca="false">SUM(C71:U71)</f>
        <v>119166.09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41</v>
      </c>
      <c r="C72" s="2" t="n">
        <v>52133</v>
      </c>
      <c r="G72" s="1" t="n">
        <v>1331</v>
      </c>
      <c r="Y72" s="16" t="n">
        <f aca="false">SUM(C72:U72)</f>
        <v>53464</v>
      </c>
      <c r="Z72" s="17" t="str">
        <f aca="false">Z71</f>
        <v>Scott Healy</v>
      </c>
    </row>
    <row r="73" customFormat="false" ht="12.75" hidden="false" customHeight="false" outlineLevel="0" collapsed="false">
      <c r="A73" s="1" t="s">
        <v>30</v>
      </c>
      <c r="C73" s="2" t="n">
        <v>87500</v>
      </c>
      <c r="Y73" s="16" t="n">
        <f aca="false">SUM(C73:U73)</f>
        <v>87500</v>
      </c>
    </row>
    <row r="74" customFormat="false" ht="12.75" hidden="false" customHeight="false" outlineLevel="0" collapsed="false">
      <c r="A74" s="2" t="s">
        <v>115</v>
      </c>
      <c r="C74" s="18" t="n">
        <f aca="false">SUM(C70:C73)</f>
        <v>139633</v>
      </c>
      <c r="D74" s="18" t="n">
        <f aca="false">SUM(D70:D73)</f>
        <v>1343</v>
      </c>
      <c r="E74" s="18" t="n">
        <f aca="false">SUM(E70:E73)</f>
        <v>48644.95</v>
      </c>
      <c r="F74" s="18" t="n">
        <f aca="false">SUM(F70:F73)</f>
        <v>19328.69</v>
      </c>
      <c r="G74" s="18" t="n">
        <f aca="false">SUM(G70:G73)</f>
        <v>1899</v>
      </c>
      <c r="H74" s="18" t="n">
        <f aca="false">SUM(H70:H73)</f>
        <v>81117.23</v>
      </c>
      <c r="I74" s="18" t="n">
        <f aca="false">SUM(I70:I73)</f>
        <v>0</v>
      </c>
      <c r="J74" s="18" t="n">
        <f aca="false">SUM(J70:J73)</f>
        <v>5725</v>
      </c>
      <c r="K74" s="18" t="n">
        <f aca="false">SUM(K70:K73)</f>
        <v>0</v>
      </c>
      <c r="L74" s="18" t="n">
        <f aca="false">SUM(L70:L73)</f>
        <v>591.45</v>
      </c>
      <c r="M74" s="18" t="n">
        <f aca="false">SUM(M70:M73)</f>
        <v>0</v>
      </c>
      <c r="N74" s="18" t="n">
        <f aca="false">SUM(N70:N73)</f>
        <v>0</v>
      </c>
      <c r="O74" s="18" t="n">
        <f aca="false">SUM(O70:O73)</f>
        <v>1242.3</v>
      </c>
      <c r="P74" s="18" t="n">
        <f aca="false">SUM(P70:P73)</f>
        <v>0</v>
      </c>
      <c r="Q74" s="18" t="n">
        <f aca="false">SUM(Q70:Q73)</f>
        <v>0</v>
      </c>
      <c r="R74" s="18" t="n">
        <f aca="false">SUM(R70:R73)</f>
        <v>0</v>
      </c>
      <c r="S74" s="18" t="n">
        <f aca="false">SUM(S70:S73)</f>
        <v>0</v>
      </c>
      <c r="T74" s="18" t="n">
        <f aca="false">SUM(T70:T73)</f>
        <v>0</v>
      </c>
      <c r="U74" s="18" t="n">
        <f aca="false">SUM(U70:U73)</f>
        <v>0</v>
      </c>
      <c r="V74" s="18" t="n">
        <f aca="false">SUM(V70:V73)</f>
        <v>0</v>
      </c>
      <c r="W74" s="18" t="n">
        <f aca="false">SUM(W70:W73)</f>
        <v>0</v>
      </c>
      <c r="X74" s="18" t="n">
        <f aca="false">SUM(X70:X73)</f>
        <v>0</v>
      </c>
      <c r="Y74" s="19" t="n">
        <f aca="false">SUM(C74:U74)</f>
        <v>299524.62</v>
      </c>
    </row>
    <row r="75" customFormat="false" ht="12.75" hidden="false" customHeight="false" outlineLevel="0" collapsed="false">
      <c r="Y75" s="16"/>
    </row>
    <row r="76" customFormat="false" ht="12.75" hidden="false" customHeight="false" outlineLevel="0" collapsed="false">
      <c r="Y76" s="16"/>
    </row>
    <row r="77" customFormat="false" ht="13.5" hidden="false" customHeight="false" outlineLevel="0" collapsed="false">
      <c r="A77" s="2" t="s">
        <v>116</v>
      </c>
      <c r="C77" s="38" t="n">
        <f aca="false">+C47+C67+C74</f>
        <v>7279633</v>
      </c>
      <c r="D77" s="38" t="n">
        <f aca="false">+D47+D67+D74</f>
        <v>1298989</v>
      </c>
      <c r="E77" s="38" t="n">
        <f aca="false">+E47+E67+E74</f>
        <v>33151936.95</v>
      </c>
      <c r="F77" s="38" t="n">
        <f aca="false">+F47+F67+F74</f>
        <v>290031.29</v>
      </c>
      <c r="G77" s="38" t="n">
        <f aca="false">+G47+G67+G74</f>
        <v>1733894.9</v>
      </c>
      <c r="H77" s="38" t="n">
        <f aca="false">+H47+H67+H74</f>
        <v>18881456.73</v>
      </c>
      <c r="I77" s="38" t="n">
        <f aca="false">+I47+I67+I74</f>
        <v>8167701.63252083</v>
      </c>
      <c r="J77" s="38" t="n">
        <f aca="false">+J47+J67+J74</f>
        <v>8854945.52206088</v>
      </c>
      <c r="K77" s="38" t="n">
        <f aca="false">+K47+K67+K74</f>
        <v>6988529.92872204</v>
      </c>
      <c r="L77" s="38" t="n">
        <f aca="false">+L47+L67+L74</f>
        <v>7789830.9390361</v>
      </c>
      <c r="M77" s="38" t="n">
        <f aca="false">+M47+M67+M74</f>
        <v>11652992.8308585</v>
      </c>
      <c r="N77" s="38" t="n">
        <f aca="false">+N47+N67+N74</f>
        <v>17627424.6272104</v>
      </c>
      <c r="O77" s="38" t="n">
        <f aca="false">+O47+O67+O74</f>
        <v>39311425.7086286</v>
      </c>
      <c r="P77" s="38" t="n">
        <f aca="false">+P47+P67+P74</f>
        <v>33876927.1913006</v>
      </c>
      <c r="Q77" s="38" t="n">
        <f aca="false">+Q47+Q67+Q74</f>
        <v>16546569.3239864</v>
      </c>
      <c r="R77" s="38" t="n">
        <f aca="false">+R47+R67+R74</f>
        <v>10054162.6667033</v>
      </c>
      <c r="S77" s="38" t="n">
        <f aca="false">+S47+S67+S74</f>
        <v>11073004.9908747</v>
      </c>
      <c r="T77" s="38" t="n">
        <f aca="false">+T47+T67+T74</f>
        <v>6221424.17895278</v>
      </c>
      <c r="U77" s="38" t="n">
        <f aca="false">+U47+U67+U74</f>
        <v>15006427.1019524</v>
      </c>
      <c r="V77" s="38" t="n">
        <f aca="false">+V47+V67+V74</f>
        <v>0</v>
      </c>
      <c r="W77" s="38" t="n">
        <f aca="false">+W47+W67+W74</f>
        <v>0</v>
      </c>
      <c r="X77" s="38" t="n">
        <f aca="false">+X47+X67+X74</f>
        <v>0</v>
      </c>
      <c r="Y77" s="39" t="n">
        <f aca="false">SUM(C77:U77)</f>
        <v>255807308.512807</v>
      </c>
    </row>
    <row r="78" customFormat="false" ht="12.75" hidden="false" customHeight="false" outlineLevel="0" collapsed="false">
      <c r="U78" s="0"/>
      <c r="V78" s="0"/>
      <c r="W78" s="0"/>
      <c r="X78" s="0"/>
      <c r="Y78" s="40" t="n">
        <f aca="false">Y77-[1]Wilton!$BR$240</f>
        <v>0.153666645288467</v>
      </c>
    </row>
    <row r="79" customFormat="false" ht="12.75" hidden="false" customHeight="false" outlineLevel="0" collapsed="false">
      <c r="U79" s="0"/>
      <c r="V79" s="0"/>
      <c r="W79" s="0"/>
      <c r="X79" s="0"/>
      <c r="Y79" s="0"/>
    </row>
    <row r="80" customFormat="false" ht="12.75" hidden="false" customHeight="false" outlineLevel="0" collapsed="false">
      <c r="U80" s="0"/>
      <c r="V80" s="0"/>
      <c r="W80" s="0"/>
      <c r="X80" s="0"/>
      <c r="Y80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J32" activePane="bottomRight" state="frozen"/>
      <selection pane="topLeft" activeCell="A1" activeCellId="0" sqref="A1"/>
      <selection pane="topRight" activeCell="J1" activeCellId="0" sqref="J1"/>
      <selection pane="bottomLeft" activeCell="A32" activeCellId="0" sqref="A32"/>
      <selection pane="bottomRight" activeCell="P33" activeCellId="0" sqref="P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21" min="12" style="1" width="12.28"/>
    <col collapsed="false" customWidth="true" hidden="false" outlineLevel="0" max="25" min="22" style="1" width="12.14"/>
    <col collapsed="false" customWidth="true" hidden="false" outlineLevel="0" max="26" min="26" style="2" width="13.56"/>
    <col collapsed="false" customWidth="true" hidden="false" outlineLevel="0" max="27" min="27" style="1" width="19.99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XML/filtered-attachments/xls/Draw_Sched___011100.xls'#$Gleason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45926.9531969123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1160414</v>
      </c>
      <c r="R10" s="1" t="n">
        <v>0</v>
      </c>
      <c r="U10" s="1" t="n">
        <v>11</v>
      </c>
      <c r="V10" s="1" t="n">
        <f aca="false">3081531-1282310</f>
        <v>1799221</v>
      </c>
      <c r="Z10" s="16" t="n">
        <f aca="false">SUM(C10:Y10)</f>
        <v>60842740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</f>
        <v>3066105</v>
      </c>
      <c r="Z11" s="16" t="n">
        <f aca="false">SUM(C11:Y11)</f>
        <v>34480361</v>
      </c>
      <c r="AA11" s="23" t="s">
        <v>23</v>
      </c>
      <c r="AB11" s="1" t="n">
        <f aca="false">[1]Gleason!$BT$16</f>
        <v>95323101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v>1765743.3</v>
      </c>
      <c r="R12" s="1" t="n">
        <v>645575.4</v>
      </c>
      <c r="S12" s="1" t="n">
        <f aca="false">531586.8-58500</f>
        <v>473086.8</v>
      </c>
      <c r="T12" s="1" t="n">
        <v>0</v>
      </c>
      <c r="Z12" s="16" t="n">
        <f aca="false">SUM(C12:Y12)</f>
        <v>5893810.8</v>
      </c>
      <c r="AA12" s="23" t="s">
        <v>23</v>
      </c>
      <c r="AB12" s="1" t="n">
        <f aca="false">[1]Gleason!$BT$35</f>
        <v>5893811</v>
      </c>
      <c r="AC12" s="1" t="n">
        <f aca="false">Z12-AB12</f>
        <v>-0.200000000186265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[1]Gleason!$BT$131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f aca="false">2840700/12</f>
        <v>236725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2840700/12+6+3</f>
        <v>236734</v>
      </c>
      <c r="Z14" s="16" t="n">
        <f aca="false">SUM(C14:Y14)</f>
        <v>2840700</v>
      </c>
      <c r="AA14" s="23" t="s">
        <v>23</v>
      </c>
      <c r="AB14" s="1" t="n">
        <f aca="false">[1]Gleason!$BT$132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[1]Gleason!$BT$133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Q16" s="1" t="n">
        <f aca="false">(0.2939-0.145)*AB16</f>
        <v>2226146.4246</v>
      </c>
      <c r="R16" s="1" t="n">
        <f aca="false">(0.4765-0.2939)*AB16</f>
        <v>2729982.1164</v>
      </c>
      <c r="S16" s="1" t="n">
        <f aca="false">(0.6457-0.4765)*AB16</f>
        <v>2529643.8888</v>
      </c>
      <c r="T16" s="1" t="n">
        <f aca="false">(0.7795-0.6457)*AB16</f>
        <v>2000392.1532</v>
      </c>
      <c r="U16" s="1" t="n">
        <f aca="false">(0.8617-0.7795)*AB16</f>
        <v>1228940.4708</v>
      </c>
      <c r="V16" s="1" t="n">
        <f aca="false">(0.9293-0.8617)*AB16</f>
        <v>1010661.5064</v>
      </c>
      <c r="W16" s="1" t="n">
        <f aca="false">(1-0.9293)*AB16</f>
        <v>1057008.4098</v>
      </c>
      <c r="Z16" s="16" t="n">
        <f aca="false">SUM(C16:Y16)</f>
        <v>13203592.97</v>
      </c>
      <c r="AA16" s="23"/>
      <c r="AB16" s="1" t="n">
        <f aca="false">[1]Gleason!$BT$59</f>
        <v>14950614</v>
      </c>
      <c r="AC16" s="1" t="n">
        <f aca="false">Z16-AB16</f>
        <v>-1747021.03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Q17" s="1" t="n">
        <f aca="false">(0.2939-0.145)*AB17</f>
        <v>768904.5611</v>
      </c>
      <c r="R17" s="1" t="n">
        <f aca="false">(0.4765-0.2939)*AB17</f>
        <v>942927.9574</v>
      </c>
      <c r="S17" s="1" t="n">
        <f aca="false">(0.6457-0.4765)*AB17</f>
        <v>873731.7108</v>
      </c>
      <c r="T17" s="1" t="n">
        <f aca="false">(0.7795-0.6457)*AB17</f>
        <v>690929.6862</v>
      </c>
      <c r="U17" s="1" t="n">
        <f aca="false">(0.8617-0.7795)*AB17</f>
        <v>424472.4978</v>
      </c>
      <c r="V17" s="1" t="n">
        <f aca="false">(0.9293-0.8617)*AB17</f>
        <v>349079.5724</v>
      </c>
      <c r="W17" s="1" t="n">
        <f aca="false">(1-0.9293)*AB17</f>
        <v>365087.6593</v>
      </c>
      <c r="Z17" s="16" t="n">
        <f aca="false">SUM(C17:Y17)</f>
        <v>4499154.645</v>
      </c>
      <c r="AA17" s="23"/>
      <c r="AB17" s="1" t="n">
        <f aca="false">[1]Gleason!$BT$87</f>
        <v>5163899</v>
      </c>
      <c r="AC17" s="1" t="n">
        <f aca="false">Z17-AB17</f>
        <v>-664744.355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Q18" s="1" t="n">
        <f aca="false">(0.2939-0.145)*AB18</f>
        <v>1845896.4743</v>
      </c>
      <c r="R18" s="1" t="n">
        <f aca="false">(0.4765-0.2939)*AB18</f>
        <v>2263671.5662</v>
      </c>
      <c r="S18" s="1" t="n">
        <f aca="false">(0.6457-0.4765)*AB18</f>
        <v>2097553.2804</v>
      </c>
      <c r="T18" s="1" t="n">
        <f aca="false">(0.7795-0.6457)*AB18</f>
        <v>1658703.4806</v>
      </c>
      <c r="U18" s="1" t="n">
        <f aca="false">(0.8617-0.7795)*AB18</f>
        <v>1019024.1114</v>
      </c>
      <c r="V18" s="1" t="n">
        <f aca="false">(0.9293-0.8617)*AB18</f>
        <v>838029.5612</v>
      </c>
      <c r="W18" s="1" t="n">
        <f aca="false">(1-0.9293)*AB18</f>
        <v>876459.9109</v>
      </c>
      <c r="Z18" s="16" t="n">
        <f aca="false">SUM(C18:Y18)</f>
        <v>10803926.385</v>
      </c>
      <c r="AA18" s="23"/>
      <c r="AB18" s="1" t="n">
        <f aca="false">[1]Gleason!$BT$119</f>
        <v>12396887</v>
      </c>
      <c r="AC18" s="1" t="n">
        <f aca="false">Z18-AB18</f>
        <v>-1592960.615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Q19" s="1" t="n">
        <f aca="false">(0.2939-0.145)*AB19</f>
        <v>1795689.33</v>
      </c>
      <c r="R19" s="1" t="n">
        <f aca="false">(0.4765-0.2939)*AB19</f>
        <v>2202101.22</v>
      </c>
      <c r="S19" s="1" t="n">
        <f aca="false">(0.6457-0.4765)*AB19</f>
        <v>2040501.24</v>
      </c>
      <c r="T19" s="1" t="n">
        <f aca="false">(0.7795-0.6457)*AB19</f>
        <v>1613587.86</v>
      </c>
      <c r="U19" s="1" t="n">
        <f aca="false">(0.8617-0.7795)*AB19</f>
        <v>991307.340000001</v>
      </c>
      <c r="V19" s="1" t="n">
        <f aca="false">(0.9293-0.8617)*AB19</f>
        <v>815235.72</v>
      </c>
      <c r="W19" s="1" t="n">
        <f aca="false">(1-0.9293)*AB19</f>
        <v>852620.79</v>
      </c>
      <c r="Z19" s="16" t="n">
        <f aca="false">SUM(C19:Y19)</f>
        <v>10311043.5</v>
      </c>
      <c r="AA19" s="23" t="s">
        <v>23</v>
      </c>
      <c r="AB19" s="1" t="n">
        <f aca="false">[1]Gleason!$BT$124</f>
        <v>12059700</v>
      </c>
      <c r="AC19" s="1" t="n">
        <f aca="false">Z19-AB19</f>
        <v>-1748656.5</v>
      </c>
    </row>
    <row r="20" customFormat="false" ht="12.75" hidden="false" customHeight="false" outlineLevel="0" collapsed="false">
      <c r="A20" s="1" t="s">
        <v>105</v>
      </c>
      <c r="V20" s="1" t="n">
        <v>0</v>
      </c>
      <c r="W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[1]Gleason!$BT$171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107</v>
      </c>
      <c r="O21" s="1" t="n">
        <v>5344605</v>
      </c>
      <c r="Q21" s="1" t="n">
        <v>408777</v>
      </c>
      <c r="Z21" s="16" t="n">
        <f aca="false">SUM(C21:Y21)</f>
        <v>5753382</v>
      </c>
      <c r="AA21" s="23" t="s">
        <v>23</v>
      </c>
      <c r="AB21" s="1" t="n">
        <v>0</v>
      </c>
      <c r="AC21" s="1" t="n">
        <f aca="false">Z21-AB21</f>
        <v>5753382</v>
      </c>
    </row>
    <row r="22" customFormat="false" ht="12.75" hidden="false" customHeight="false" outlineLevel="0" collapsed="false">
      <c r="A22" s="1" t="s">
        <v>27</v>
      </c>
      <c r="Q22" s="1" t="n">
        <v>150000</v>
      </c>
      <c r="R22" s="1" t="n">
        <v>150000</v>
      </c>
      <c r="S22" s="1" t="n">
        <v>150000</v>
      </c>
      <c r="T22" s="1" t="n">
        <v>150000</v>
      </c>
      <c r="U22" s="1" t="n">
        <v>150000</v>
      </c>
      <c r="V22" s="1" t="n">
        <f aca="false">908786-750000</f>
        <v>158786</v>
      </c>
      <c r="Z22" s="16" t="n">
        <f aca="false">SUM(C22:Y22)</f>
        <v>908786</v>
      </c>
      <c r="AA22" s="23" t="s">
        <v>28</v>
      </c>
      <c r="AB22" s="1" t="n">
        <f aca="false">[1]Gleason!$BT$165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[1]Gleason!$BT$173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30</v>
      </c>
      <c r="L24" s="1" t="n">
        <v>369041</v>
      </c>
      <c r="N24" s="1" t="n">
        <v>0</v>
      </c>
      <c r="Z24" s="16" t="n">
        <f aca="false">SUM(C24:Y24)</f>
        <v>369041</v>
      </c>
      <c r="AA24" s="23" t="s">
        <v>61</v>
      </c>
      <c r="AB24" s="1" t="n">
        <f aca="false">[1]Gleason!$BT$180</f>
        <v>369041</v>
      </c>
      <c r="AC24" s="1" t="n">
        <f aca="false">Z24-AB24</f>
        <v>0</v>
      </c>
    </row>
    <row r="25" customFormat="false" ht="12.75" hidden="false" customHeight="false" outlineLevel="0" collapsed="false">
      <c r="A25" s="1" t="s">
        <v>32</v>
      </c>
      <c r="F25" s="31"/>
      <c r="L25" s="1" t="n">
        <v>69419</v>
      </c>
      <c r="M25" s="1" t="n">
        <v>190571</v>
      </c>
      <c r="N25" s="1" t="n">
        <v>0</v>
      </c>
      <c r="O25" s="1" t="n">
        <v>264856</v>
      </c>
      <c r="P25" s="1" t="n">
        <v>0</v>
      </c>
      <c r="R25" s="1" t="n">
        <v>15154</v>
      </c>
      <c r="Z25" s="16" t="n">
        <f aca="false">SUM(C25:Y25)</f>
        <v>540000</v>
      </c>
      <c r="AA25" s="23" t="str">
        <f aca="false">AA24</f>
        <v>Ben Jacoby</v>
      </c>
    </row>
    <row r="26" customFormat="false" ht="12.75" hidden="false" customHeight="false" outlineLevel="0" collapsed="false">
      <c r="A26" s="1" t="s">
        <v>33</v>
      </c>
      <c r="F26" s="32"/>
      <c r="Q26" s="1" t="n">
        <v>125000</v>
      </c>
      <c r="R26" s="1" t="n">
        <v>125000</v>
      </c>
      <c r="S26" s="1" t="n">
        <v>125000</v>
      </c>
      <c r="T26" s="1" t="n">
        <v>350000</v>
      </c>
      <c r="U26" s="1" t="n">
        <v>375000</v>
      </c>
      <c r="Z26" s="16" t="n">
        <f aca="false">SUM(C26:Y26)</f>
        <v>1100000</v>
      </c>
      <c r="AA26" s="23" t="s">
        <v>34</v>
      </c>
      <c r="AB26" s="1" t="n">
        <f aca="false">[1]Gleason!$BT$199</f>
        <v>1100000</v>
      </c>
      <c r="AC26" s="1" t="n">
        <f aca="false">Z26-AB26</f>
        <v>0</v>
      </c>
    </row>
    <row r="27" customFormat="false" ht="12.75" hidden="false" customHeight="false" outlineLevel="0" collapsed="false">
      <c r="A27" s="1" t="s">
        <v>90</v>
      </c>
      <c r="F27" s="32"/>
      <c r="N27" s="1" t="n">
        <v>18018</v>
      </c>
      <c r="P27" s="1" t="n">
        <v>7500</v>
      </c>
      <c r="R27" s="1" t="n">
        <v>25518</v>
      </c>
      <c r="T27" s="1" t="n">
        <v>1500000</v>
      </c>
      <c r="V27" s="1" t="n">
        <v>2148964</v>
      </c>
      <c r="Z27" s="16" t="n">
        <f aca="false">SUM(C27:Y27)</f>
        <v>3700000</v>
      </c>
      <c r="AA27" s="23"/>
      <c r="AB27" s="1" t="n">
        <f aca="false">[1]Gleason!$BT$197</f>
        <v>3700000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36</v>
      </c>
      <c r="F28" s="32"/>
      <c r="T28" s="1" t="n">
        <v>0</v>
      </c>
      <c r="U28" s="1" t="n">
        <v>250000</v>
      </c>
      <c r="V28" s="1" t="n">
        <v>250000</v>
      </c>
      <c r="Z28" s="16" t="n">
        <f aca="false">SUM(C28:Y28)</f>
        <v>500000</v>
      </c>
      <c r="AA28" s="23" t="str">
        <f aca="false">AA22</f>
        <v>Kevin Presto</v>
      </c>
      <c r="AB28" s="1" t="n">
        <f aca="false">[1]Gleason!$BT$205</f>
        <v>500000</v>
      </c>
      <c r="AC28" s="1" t="n">
        <f aca="false">Z28-AB28</f>
        <v>0</v>
      </c>
    </row>
    <row r="29" customFormat="false" ht="12.75" hidden="false" customHeight="false" outlineLevel="0" collapsed="false">
      <c r="A29" s="1" t="s">
        <v>63</v>
      </c>
      <c r="F29" s="32"/>
      <c r="V29" s="1" t="n">
        <v>0</v>
      </c>
      <c r="Z29" s="16" t="n">
        <f aca="false">SUM(C29:Y29)</f>
        <v>0</v>
      </c>
      <c r="AA29" s="23" t="s">
        <v>64</v>
      </c>
      <c r="AB29" s="1" t="n">
        <v>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38</v>
      </c>
      <c r="F30" s="32"/>
      <c r="N30" s="1" t="n">
        <v>0</v>
      </c>
      <c r="O30" s="1" t="n">
        <v>0</v>
      </c>
      <c r="P30" s="1" t="n">
        <v>200935</v>
      </c>
      <c r="Z30" s="16" t="n">
        <f aca="false">SUM(C30:Y30)</f>
        <v>200935</v>
      </c>
      <c r="AA30" s="23"/>
      <c r="AB30" s="1" t="n">
        <f aca="false">[1]Gleason!$BT$207</f>
        <v>200935.25</v>
      </c>
      <c r="AC30" s="1" t="n">
        <f aca="false">Z30-AB30</f>
        <v>-0.25</v>
      </c>
    </row>
    <row r="31" customFormat="false" ht="12.75" hidden="false" customHeight="false" outlineLevel="0" collapsed="false">
      <c r="A31" s="1" t="s">
        <v>39</v>
      </c>
      <c r="F31" s="15"/>
      <c r="G31" s="15"/>
      <c r="H31" s="15"/>
      <c r="I31" s="15"/>
      <c r="J31" s="15"/>
      <c r="K31" s="15"/>
      <c r="L31" s="15" t="n">
        <v>55021.05</v>
      </c>
      <c r="M31" s="1" t="n">
        <v>0</v>
      </c>
      <c r="N31" s="1" t="n">
        <v>0</v>
      </c>
      <c r="O31" s="1" t="n">
        <v>0</v>
      </c>
      <c r="P31" s="1" t="n">
        <v>0</v>
      </c>
      <c r="Q31" s="1" t="n">
        <f aca="false">11111.1111111111+11173</f>
        <v>22284.1111111111</v>
      </c>
      <c r="R31" s="1" t="n">
        <f aca="false">11111.1111111111+12759</f>
        <v>23870.1111111111</v>
      </c>
      <c r="S31" s="1" t="n">
        <v>11111.1111111111</v>
      </c>
      <c r="T31" s="1" t="n">
        <v>11111.1111111111</v>
      </c>
      <c r="U31" s="1" t="n">
        <v>31111</v>
      </c>
      <c r="V31" s="1" t="n">
        <v>32312</v>
      </c>
      <c r="Z31" s="16" t="n">
        <f aca="false">SUM(C31:Y31)</f>
        <v>186820.494444444</v>
      </c>
      <c r="AA31" s="23"/>
    </row>
    <row r="32" customFormat="false" ht="12.75" hidden="false" customHeight="false" outlineLevel="0" collapsed="false">
      <c r="A32" s="1" t="s">
        <v>40</v>
      </c>
      <c r="F32" s="32"/>
      <c r="L32" s="1" t="n">
        <v>137763</v>
      </c>
      <c r="M32" s="1" t="n">
        <v>2411</v>
      </c>
      <c r="N32" s="1" t="n">
        <v>18874</v>
      </c>
      <c r="O32" s="1" t="n">
        <f aca="false">113219</f>
        <v>113219</v>
      </c>
      <c r="P32" s="1" t="n">
        <f aca="false">[1]Gleason!$AT$218</f>
        <v>153337.04</v>
      </c>
      <c r="Q32" s="1" t="n">
        <v>144633</v>
      </c>
      <c r="R32" s="1" t="n">
        <v>10010</v>
      </c>
      <c r="S32" s="1" t="n">
        <f aca="false">30286.69-14452</f>
        <v>15834.69</v>
      </c>
      <c r="T32" s="1" t="n">
        <f aca="false">13074-3457+1916</f>
        <v>11533</v>
      </c>
      <c r="U32" s="1" t="n">
        <v>9698</v>
      </c>
      <c r="V32" s="1" t="n">
        <v>0</v>
      </c>
      <c r="Z32" s="16" t="n">
        <f aca="false">SUM(C32:Y32)</f>
        <v>617312.73</v>
      </c>
      <c r="AA32" s="23"/>
    </row>
    <row r="33" customFormat="false" ht="12.75" hidden="false" customHeight="false" outlineLevel="0" collapsed="false">
      <c r="A33" s="1" t="s">
        <v>41</v>
      </c>
      <c r="L33" s="1" t="n">
        <v>14302</v>
      </c>
      <c r="M33" s="1" t="n">
        <v>13886</v>
      </c>
      <c r="N33" s="1" t="n">
        <v>27415</v>
      </c>
      <c r="O33" s="1" t="n">
        <v>13908</v>
      </c>
      <c r="P33" s="1" t="n">
        <f aca="false">[1]Gleason!$AT$224</f>
        <v>259842.83</v>
      </c>
      <c r="Q33" s="1" t="n">
        <f aca="false">68298</f>
        <v>68298</v>
      </c>
      <c r="R33" s="1" t="n">
        <f aca="false">18820-11693</f>
        <v>7127</v>
      </c>
      <c r="S33" s="1" t="n">
        <v>132585</v>
      </c>
      <c r="T33" s="1" t="n">
        <v>96092</v>
      </c>
      <c r="U33" s="1" t="n">
        <v>121058</v>
      </c>
      <c r="V33" s="1" t="n">
        <v>0</v>
      </c>
      <c r="Z33" s="16" t="n">
        <f aca="false">SUM(C33:Y33)</f>
        <v>754513.83</v>
      </c>
      <c r="AA33" s="23"/>
    </row>
    <row r="34" customFormat="false" ht="12.75" hidden="false" customHeight="false" outlineLevel="0" collapsed="false">
      <c r="A34" s="1" t="s">
        <v>42</v>
      </c>
      <c r="C34" s="18" t="n">
        <f aca="false">SUM(C9:C33)</f>
        <v>0</v>
      </c>
      <c r="D34" s="18" t="n">
        <f aca="false">SUM(D9:D33)</f>
        <v>0</v>
      </c>
      <c r="E34" s="18" t="n">
        <f aca="false">SUM(E9:E33)</f>
        <v>0</v>
      </c>
      <c r="F34" s="18" t="n">
        <f aca="false">SUM(F9:F33)</f>
        <v>0</v>
      </c>
      <c r="G34" s="18" t="n">
        <f aca="false">SUM(G9:G33)</f>
        <v>0</v>
      </c>
      <c r="H34" s="18" t="n">
        <f aca="false">SUM(H9:H33)</f>
        <v>0</v>
      </c>
      <c r="I34" s="18" t="n">
        <f aca="false">SUM(I9:I33)</f>
        <v>0</v>
      </c>
      <c r="J34" s="18" t="n">
        <f aca="false">SUM(J9:J33)</f>
        <v>0</v>
      </c>
      <c r="K34" s="18" t="n">
        <f aca="false">SUM(K10:K33)</f>
        <v>0</v>
      </c>
      <c r="L34" s="18" t="n">
        <f aca="false">SUM(L10:L33)</f>
        <v>88847709.05</v>
      </c>
      <c r="M34" s="18" t="n">
        <f aca="false">SUM(M10:M33)</f>
        <v>206868</v>
      </c>
      <c r="N34" s="18" t="n">
        <f aca="false">SUM(N10:N33)</f>
        <v>1660822.33333333</v>
      </c>
      <c r="O34" s="18" t="n">
        <f aca="false">SUM(O10:O33)</f>
        <v>6962875.33333333</v>
      </c>
      <c r="P34" s="18" t="n">
        <f aca="false">SUM(P10:P33)</f>
        <v>2709566.50333333</v>
      </c>
      <c r="Q34" s="18" t="n">
        <f aca="false">SUM(Q10:Q33)</f>
        <v>10795994.5344444</v>
      </c>
      <c r="R34" s="18" t="n">
        <f aca="false">SUM(R10:R33)</f>
        <v>9455145.70444444</v>
      </c>
      <c r="S34" s="18" t="n">
        <f aca="false">SUM(S10:S33)</f>
        <v>8763256.05444445</v>
      </c>
      <c r="T34" s="18" t="n">
        <f aca="false">SUM(T10:T33)</f>
        <v>9039347.62444444</v>
      </c>
      <c r="U34" s="18" t="n">
        <f aca="false">SUM(U10:U33)</f>
        <v>7060546.75333334</v>
      </c>
      <c r="V34" s="18" t="n">
        <f aca="false">SUM(V10:V33)</f>
        <v>14096318.6933333</v>
      </c>
      <c r="W34" s="18" t="n">
        <f aca="false">SUM(W10:W33)</f>
        <v>3826176.77</v>
      </c>
      <c r="X34" s="18" t="n">
        <f aca="false">SUM(X10:X33)</f>
        <v>0</v>
      </c>
      <c r="Y34" s="18" t="n">
        <f aca="false">SUM(Y10:Y33)</f>
        <v>0</v>
      </c>
      <c r="Z34" s="19" t="n">
        <f aca="false">SUM(C34:Y34)</f>
        <v>163424627.354444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0</v>
      </c>
      <c r="D35" s="18" t="n">
        <f aca="false">+D34</f>
        <v>0</v>
      </c>
      <c r="E35" s="18" t="n">
        <f aca="false">+E34</f>
        <v>0</v>
      </c>
      <c r="F35" s="18" t="n">
        <f aca="false">+F34</f>
        <v>0</v>
      </c>
      <c r="G35" s="18" t="n">
        <f aca="false">+G34</f>
        <v>0</v>
      </c>
      <c r="H35" s="18" t="n">
        <f aca="false">+H34</f>
        <v>0</v>
      </c>
      <c r="I35" s="18" t="n">
        <f aca="false">+I34</f>
        <v>0</v>
      </c>
      <c r="J35" s="18" t="n">
        <f aca="false">+J34</f>
        <v>0</v>
      </c>
      <c r="K35" s="18" t="n">
        <f aca="false">+K34</f>
        <v>0</v>
      </c>
      <c r="L35" s="18" t="n">
        <f aca="false">+K35+L34</f>
        <v>88847709.05</v>
      </c>
      <c r="M35" s="18" t="n">
        <f aca="false">+L35+M34</f>
        <v>89054577.05</v>
      </c>
      <c r="N35" s="18" t="n">
        <f aca="false">+M35+N34</f>
        <v>90715399.3833333</v>
      </c>
      <c r="O35" s="18" t="n">
        <f aca="false">+N35+O34</f>
        <v>97678274.7166667</v>
      </c>
      <c r="P35" s="18" t="n">
        <f aca="false">+O35+P34</f>
        <v>100387841.22</v>
      </c>
      <c r="Q35" s="18" t="n">
        <f aca="false">+P35+Q34</f>
        <v>111183835.754444</v>
      </c>
      <c r="R35" s="18" t="n">
        <f aca="false">+Q35+R34</f>
        <v>120638981.458889</v>
      </c>
      <c r="S35" s="18" t="n">
        <f aca="false">+R35+S34</f>
        <v>129402237.513333</v>
      </c>
      <c r="T35" s="18" t="n">
        <f aca="false">+S35+T34</f>
        <v>138441585.137778</v>
      </c>
      <c r="U35" s="18" t="n">
        <f aca="false">+T35+U34</f>
        <v>145502131.891111</v>
      </c>
      <c r="V35" s="18" t="n">
        <f aca="false">+U35+V34</f>
        <v>159598450.584444</v>
      </c>
      <c r="W35" s="18" t="n">
        <f aca="false">+V35+W34</f>
        <v>163424627.354444</v>
      </c>
      <c r="X35" s="18" t="n">
        <f aca="false">+W35+X34</f>
        <v>163424627.354444</v>
      </c>
      <c r="Y35" s="18" t="n">
        <f aca="false">+X35+Y34</f>
        <v>163424627.354444</v>
      </c>
      <c r="Z35" s="16"/>
    </row>
    <row r="36" customFormat="false" ht="12.75" hidden="false" customHeight="false" outlineLevel="0" collapsed="false">
      <c r="A36" s="1" t="s">
        <v>44</v>
      </c>
      <c r="D36" s="2"/>
      <c r="E36" s="2"/>
      <c r="F36" s="2"/>
      <c r="G36" s="2"/>
      <c r="H36" s="2"/>
      <c r="I36" s="2"/>
      <c r="J36" s="2"/>
      <c r="K36" s="2"/>
      <c r="L36" s="2"/>
      <c r="Z36" s="21" t="n">
        <f aca="false">+Z34/C53/1000</f>
        <v>320.440445793028</v>
      </c>
    </row>
    <row r="37" customFormat="false" ht="12.75" hidden="false" customHeight="false" outlineLevel="0" collapsed="false">
      <c r="D37" s="2"/>
      <c r="E37" s="2"/>
      <c r="F37" s="2"/>
      <c r="G37" s="2"/>
      <c r="H37" s="2"/>
      <c r="I37" s="2"/>
      <c r="J37" s="2"/>
      <c r="K37" s="2"/>
      <c r="L37" s="2"/>
      <c r="Z37" s="21"/>
    </row>
    <row r="38" customFormat="false" ht="12.75" hidden="false" customHeight="false" outlineLevel="0" collapsed="false">
      <c r="A38" s="1" t="s">
        <v>91</v>
      </c>
      <c r="D38" s="2"/>
      <c r="E38" s="2"/>
      <c r="F38" s="2"/>
      <c r="G38" s="2"/>
      <c r="H38" s="2"/>
      <c r="I38" s="2"/>
      <c r="J38" s="2"/>
      <c r="K38" s="2"/>
      <c r="L38" s="2"/>
      <c r="M38" s="1" t="n">
        <v>-6077</v>
      </c>
      <c r="Z38" s="16" t="n">
        <f aca="false">SUM(C38:Y38)</f>
        <v>-6077</v>
      </c>
      <c r="AA38" s="17" t="s">
        <v>47</v>
      </c>
    </row>
    <row r="39" customFormat="false" ht="12.75" hidden="false" customHeight="false" outlineLevel="0" collapsed="false">
      <c r="A39" s="1" t="s">
        <v>45</v>
      </c>
      <c r="C39" s="2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2" t="n">
        <v>0</v>
      </c>
      <c r="I39" s="2" t="n">
        <v>0</v>
      </c>
      <c r="J39" s="2" t="n">
        <v>0</v>
      </c>
      <c r="K39" s="2" t="n">
        <v>0</v>
      </c>
      <c r="L39" s="2" t="n">
        <f aca="false">4326863</f>
        <v>4326863</v>
      </c>
      <c r="M39" s="15" t="n">
        <v>505668.93</v>
      </c>
      <c r="N39" s="15" t="n">
        <v>517447.922676389</v>
      </c>
      <c r="O39" s="15" t="n">
        <v>557933.423229775</v>
      </c>
      <c r="P39" s="15" t="n">
        <v>574337.945273658</v>
      </c>
      <c r="Q39" s="15" t="n">
        <f aca="false">(Q35+P44)*$C51/12</f>
        <v>637325.054034631</v>
      </c>
      <c r="R39" s="15" t="n">
        <f aca="false">(R35+Q44)*$C51/12</f>
        <v>691992.603976393</v>
      </c>
      <c r="S39" s="15" t="n">
        <f aca="false">(S35+R44)*$C51/12</f>
        <v>743208.534209506</v>
      </c>
      <c r="T39" s="15" t="n">
        <f aca="false">(T35+S44)*$C51/12</f>
        <v>796197.380068881</v>
      </c>
      <c r="U39" s="15" t="n">
        <f aca="false">(U35+T44)*$C51/12</f>
        <v>838754.74412481</v>
      </c>
      <c r="V39" s="15" t="n">
        <f aca="false">(V35+U44)*$C51/12-5719</f>
        <v>913934.058577708</v>
      </c>
      <c r="W39" s="15"/>
      <c r="X39" s="15"/>
      <c r="Y39" s="15"/>
      <c r="Z39" s="16" t="n">
        <f aca="false">SUM(C39:Y39)</f>
        <v>11103663.5961718</v>
      </c>
      <c r="AA39" s="17" t="str">
        <f aca="false">AA54</f>
        <v>Rodney Malcolm</v>
      </c>
    </row>
    <row r="40" customFormat="false" ht="12.75" hidden="false" customHeight="false" outlineLevel="0" collapsed="false">
      <c r="A40" s="1" t="s">
        <v>92</v>
      </c>
      <c r="D40" s="2"/>
      <c r="E40" s="2"/>
      <c r="F40" s="2"/>
      <c r="G40" s="2"/>
      <c r="H40" s="2"/>
      <c r="I40" s="2"/>
      <c r="J40" s="2"/>
      <c r="K40" s="2"/>
      <c r="L40" s="2"/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 t="n">
        <v>0</v>
      </c>
      <c r="W40" s="15"/>
      <c r="X40" s="15"/>
      <c r="Y40" s="15"/>
      <c r="Z40" s="16" t="n">
        <f aca="false">SUM(C40:Y40)</f>
        <v>0</v>
      </c>
      <c r="AA40" s="17" t="str">
        <f aca="false">AA39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2" t="n">
        <v>0</v>
      </c>
      <c r="I41" s="2" t="n">
        <v>0</v>
      </c>
      <c r="J41" s="2" t="n">
        <v>0</v>
      </c>
      <c r="K41" s="2" t="n">
        <v>0</v>
      </c>
      <c r="L41" s="2" t="n">
        <v>0</v>
      </c>
      <c r="Z41" s="16" t="n">
        <f aca="false">SUM(C41:Y41)</f>
        <v>0</v>
      </c>
      <c r="AA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V42" s="1" t="n">
        <f aca="false">[1]Gleason!$BT$230</f>
        <v>0</v>
      </c>
      <c r="Z42" s="16" t="n">
        <f aca="false">SUM(C42:Y42)</f>
        <v>0</v>
      </c>
      <c r="AA42" s="17" t="str">
        <f aca="false">AA25</f>
        <v>Ben Jacoby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0</v>
      </c>
      <c r="D43" s="18" t="n">
        <f aca="false">SUM(D38:D42)</f>
        <v>0</v>
      </c>
      <c r="E43" s="18" t="n">
        <f aca="false">SUM(E38:E42)</f>
        <v>0</v>
      </c>
      <c r="F43" s="18" t="n">
        <f aca="false">SUM(F38:F42)</f>
        <v>0</v>
      </c>
      <c r="G43" s="18" t="n">
        <f aca="false">SUM(G38:G42)</f>
        <v>0</v>
      </c>
      <c r="H43" s="18" t="n">
        <f aca="false">SUM(H38:H42)</f>
        <v>0</v>
      </c>
      <c r="I43" s="18" t="n">
        <f aca="false">SUM(I38:I42)</f>
        <v>0</v>
      </c>
      <c r="J43" s="18" t="n">
        <f aca="false">SUM(J38:J42)</f>
        <v>0</v>
      </c>
      <c r="K43" s="18" t="n">
        <f aca="false">SUM(K38:K42)</f>
        <v>0</v>
      </c>
      <c r="L43" s="18" t="n">
        <f aca="false">SUM(L38:L42)</f>
        <v>4326863</v>
      </c>
      <c r="M43" s="18" t="n">
        <f aca="false">SUM(M38:M42)</f>
        <v>499591.93</v>
      </c>
      <c r="N43" s="18" t="n">
        <f aca="false">SUM(N38:N42)</f>
        <v>517447.922676389</v>
      </c>
      <c r="O43" s="18" t="n">
        <f aca="false">SUM(O38:O42)</f>
        <v>557933.423229775</v>
      </c>
      <c r="P43" s="18" t="n">
        <f aca="false">SUM(P38:P42)</f>
        <v>574337.945273658</v>
      </c>
      <c r="Q43" s="18" t="n">
        <f aca="false">SUM(Q38:Q42)</f>
        <v>637325.054034631</v>
      </c>
      <c r="R43" s="18" t="n">
        <f aca="false">SUM(R38:R42)</f>
        <v>691992.603976393</v>
      </c>
      <c r="S43" s="18" t="n">
        <f aca="false">SUM(S38:S42)</f>
        <v>743208.534209506</v>
      </c>
      <c r="T43" s="18" t="n">
        <f aca="false">SUM(T38:T42)</f>
        <v>796197.380068881</v>
      </c>
      <c r="U43" s="18" t="n">
        <f aca="false">SUM(U38:U42)</f>
        <v>838754.74412481</v>
      </c>
      <c r="V43" s="18" t="n">
        <f aca="false">SUM(V38:V42)</f>
        <v>913934.058577708</v>
      </c>
      <c r="W43" s="18" t="n">
        <f aca="false">SUM(W38:W42)</f>
        <v>0</v>
      </c>
      <c r="X43" s="18" t="n">
        <f aca="false">SUM(X38:X42)</f>
        <v>0</v>
      </c>
      <c r="Y43" s="18" t="n">
        <f aca="false">SUM(Y38:Y42)</f>
        <v>0</v>
      </c>
      <c r="Z43" s="19" t="n">
        <f aca="false">SUM(C43:V43)</f>
        <v>11097586.5961718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0</v>
      </c>
      <c r="D44" s="18" t="n">
        <f aca="false">+D43</f>
        <v>0</v>
      </c>
      <c r="E44" s="18" t="n">
        <f aca="false">+E43</f>
        <v>0</v>
      </c>
      <c r="F44" s="18" t="n">
        <f aca="false">+F43</f>
        <v>0</v>
      </c>
      <c r="G44" s="18" t="n">
        <f aca="false">+G43</f>
        <v>0</v>
      </c>
      <c r="H44" s="18" t="n">
        <f aca="false">+H43</f>
        <v>0</v>
      </c>
      <c r="I44" s="18" t="n">
        <f aca="false">+I43</f>
        <v>0</v>
      </c>
      <c r="J44" s="18" t="n">
        <f aca="false">+J43</f>
        <v>0</v>
      </c>
      <c r="K44" s="18" t="n">
        <f aca="false">+K43</f>
        <v>0</v>
      </c>
      <c r="L44" s="18" t="n">
        <f aca="false">+L43</f>
        <v>4326863</v>
      </c>
      <c r="M44" s="18" t="n">
        <f aca="false">L44+M43</f>
        <v>4826454.93</v>
      </c>
      <c r="N44" s="18" t="n">
        <f aca="false">M44+N43</f>
        <v>5343902.85267639</v>
      </c>
      <c r="O44" s="18" t="n">
        <f aca="false">N44+O43</f>
        <v>5901836.27590616</v>
      </c>
      <c r="P44" s="18" t="n">
        <f aca="false">O44+P43</f>
        <v>6476174.22117982</v>
      </c>
      <c r="Q44" s="18" t="n">
        <f aca="false">P44+Q43</f>
        <v>7113499.27521445</v>
      </c>
      <c r="R44" s="18" t="n">
        <f aca="false">Q44+R43</f>
        <v>7805491.87919085</v>
      </c>
      <c r="S44" s="18" t="n">
        <f aca="false">R44+S43</f>
        <v>8548700.41340035</v>
      </c>
      <c r="T44" s="18" t="n">
        <f aca="false">S44+T43</f>
        <v>9344897.79346923</v>
      </c>
      <c r="U44" s="18" t="n">
        <f aca="false">T44+U43</f>
        <v>10183652.537594</v>
      </c>
      <c r="V44" s="18" t="n">
        <f aca="false">U44+V43</f>
        <v>11097586.5961718</v>
      </c>
      <c r="W44" s="18" t="n">
        <f aca="false">V44+W43</f>
        <v>11097586.5961718</v>
      </c>
      <c r="X44" s="18" t="n">
        <f aca="false">W44+X43</f>
        <v>11097586.5961718</v>
      </c>
      <c r="Y44" s="18" t="n">
        <f aca="false">X44+Y43</f>
        <v>11097586.5961718</v>
      </c>
      <c r="Z44" s="16"/>
    </row>
    <row r="45" customFormat="false" ht="12.75" hidden="false" customHeight="false" outlineLevel="0" collapsed="false">
      <c r="D45" s="2"/>
      <c r="E45" s="2"/>
      <c r="F45" s="2"/>
      <c r="G45" s="2"/>
      <c r="H45" s="2"/>
      <c r="I45" s="2"/>
      <c r="J45" s="2"/>
      <c r="K45" s="2"/>
      <c r="L45" s="2"/>
      <c r="Z45" s="16"/>
    </row>
    <row r="46" customFormat="false" ht="12.75" hidden="false" customHeight="false" outlineLevel="0" collapsed="false">
      <c r="A46" s="2" t="s">
        <v>65</v>
      </c>
      <c r="B46" s="2"/>
      <c r="C46" s="2" t="n">
        <f aca="false">+C34+C43</f>
        <v>0</v>
      </c>
      <c r="D46" s="2" t="n">
        <f aca="false">+D34+D43</f>
        <v>0</v>
      </c>
      <c r="E46" s="2" t="n">
        <f aca="false">+E34+E43</f>
        <v>0</v>
      </c>
      <c r="F46" s="2" t="n">
        <f aca="false">+F34+F43</f>
        <v>0</v>
      </c>
      <c r="G46" s="2" t="n">
        <f aca="false">+G34+G43</f>
        <v>0</v>
      </c>
      <c r="H46" s="2" t="n">
        <f aca="false">+H34+H43</f>
        <v>0</v>
      </c>
      <c r="I46" s="2" t="n">
        <f aca="false">+I34+I43</f>
        <v>0</v>
      </c>
      <c r="J46" s="2" t="n">
        <f aca="false">+J34+J43</f>
        <v>0</v>
      </c>
      <c r="K46" s="2" t="n">
        <f aca="false">+K34+K43</f>
        <v>0</v>
      </c>
      <c r="L46" s="2" t="n">
        <f aca="false">+L34+L43</f>
        <v>93174572.05</v>
      </c>
      <c r="M46" s="2" t="n">
        <f aca="false">+M34+M43</f>
        <v>706459.93</v>
      </c>
      <c r="N46" s="2" t="n">
        <f aca="false">+N34+N43</f>
        <v>2178270.25600972</v>
      </c>
      <c r="O46" s="2" t="n">
        <f aca="false">+O34+O43</f>
        <v>7520808.75656311</v>
      </c>
      <c r="P46" s="2" t="n">
        <f aca="false">+P34+P43</f>
        <v>3283904.44860699</v>
      </c>
      <c r="Q46" s="2" t="n">
        <f aca="false">+Q34+Q43</f>
        <v>11433319.5884791</v>
      </c>
      <c r="R46" s="2" t="n">
        <f aca="false">+R34+R43</f>
        <v>10147138.3084208</v>
      </c>
      <c r="S46" s="2" t="n">
        <f aca="false">+S34+S43</f>
        <v>9506464.58865395</v>
      </c>
      <c r="T46" s="2" t="n">
        <f aca="false">+T34+T43</f>
        <v>9835545.00451332</v>
      </c>
      <c r="U46" s="2" t="n">
        <f aca="false">+U34+U43</f>
        <v>7899301.49745815</v>
      </c>
      <c r="V46" s="2" t="n">
        <f aca="false">+V34+V43</f>
        <v>15010252.751911</v>
      </c>
      <c r="W46" s="2" t="n">
        <f aca="false">+W34+W43</f>
        <v>3826176.77</v>
      </c>
      <c r="X46" s="2" t="n">
        <f aca="false">+X34+X43</f>
        <v>0</v>
      </c>
      <c r="Y46" s="2" t="n">
        <f aca="false">+Y34+Y43</f>
        <v>0</v>
      </c>
      <c r="Z46" s="16" t="n">
        <f aca="false">SUM(C46:V46)</f>
        <v>170696037.180616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0</v>
      </c>
      <c r="D47" s="2" t="n">
        <f aca="false">D46</f>
        <v>0</v>
      </c>
      <c r="E47" s="2" t="n">
        <f aca="false">E46</f>
        <v>0</v>
      </c>
      <c r="F47" s="2" t="n">
        <f aca="false">F46</f>
        <v>0</v>
      </c>
      <c r="G47" s="2" t="n">
        <f aca="false">G46</f>
        <v>0</v>
      </c>
      <c r="H47" s="2" t="n">
        <f aca="false">H46</f>
        <v>0</v>
      </c>
      <c r="I47" s="2" t="n">
        <f aca="false">I46</f>
        <v>0</v>
      </c>
      <c r="J47" s="2" t="n">
        <f aca="false">J46</f>
        <v>0</v>
      </c>
      <c r="K47" s="2" t="n">
        <f aca="false">K46</f>
        <v>0</v>
      </c>
      <c r="L47" s="2" t="n">
        <f aca="false">L46</f>
        <v>93174572.05</v>
      </c>
      <c r="M47" s="2" t="n">
        <f aca="false">M46+L47</f>
        <v>93881031.98</v>
      </c>
      <c r="N47" s="2" t="n">
        <f aca="false">N46+M47</f>
        <v>96059302.2360097</v>
      </c>
      <c r="O47" s="2" t="n">
        <f aca="false">O46+N47</f>
        <v>103580110.992573</v>
      </c>
      <c r="P47" s="2" t="n">
        <f aca="false">P46+O47</f>
        <v>106864015.44118</v>
      </c>
      <c r="Q47" s="2" t="n">
        <f aca="false">Q46+P47</f>
        <v>118297335.029659</v>
      </c>
      <c r="R47" s="2" t="n">
        <f aca="false">R46+Q47</f>
        <v>128444473.33808</v>
      </c>
      <c r="S47" s="2" t="n">
        <f aca="false">S46+R47</f>
        <v>137950937.926734</v>
      </c>
      <c r="T47" s="2" t="n">
        <f aca="false">T46+S47</f>
        <v>147786482.931247</v>
      </c>
      <c r="U47" s="2" t="n">
        <f aca="false">U46+T47</f>
        <v>155685784.428705</v>
      </c>
      <c r="V47" s="2" t="n">
        <f aca="false">V46+U47</f>
        <v>170696037.180616</v>
      </c>
      <c r="W47" s="2" t="n">
        <f aca="false">W46+V47</f>
        <v>174522213.950616</v>
      </c>
      <c r="X47" s="2" t="n">
        <f aca="false">X46+W47</f>
        <v>174522213.950616</v>
      </c>
      <c r="Y47" s="2" t="n">
        <f aca="false">Y46+X47</f>
        <v>174522213.950616</v>
      </c>
      <c r="Z47" s="16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1" t="n">
        <f aca="false">+Z46/C53/1000</f>
        <v>334.698112118855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94</v>
      </c>
      <c r="B51" s="2"/>
      <c r="C51" s="8" t="n">
        <v>0.065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6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95</v>
      </c>
      <c r="B52" s="2"/>
      <c r="C52" s="8" t="n">
        <v>0.0035</v>
      </c>
      <c r="D52" s="33" t="n">
        <v>174500000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44</v>
      </c>
      <c r="B53" s="2"/>
      <c r="C53" s="2" t="n">
        <v>510</v>
      </c>
      <c r="D53" s="2" t="s">
        <v>54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55</v>
      </c>
      <c r="C54" s="2" t="n">
        <v>0</v>
      </c>
      <c r="V54" s="1" t="n">
        <v>0</v>
      </c>
      <c r="Z54" s="22" t="n">
        <f aca="false">SUM(C54:V54)</f>
        <v>0</v>
      </c>
      <c r="AA54" s="17" t="str">
        <f aca="false">AA41</f>
        <v>Rodney Malcolm</v>
      </c>
    </row>
    <row r="55" customFormat="false" ht="12.75" hidden="false" customHeight="false" outlineLevel="0" collapsed="false">
      <c r="A55" s="15"/>
      <c r="B55" s="2"/>
      <c r="C55" s="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6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1" t="s">
        <v>56</v>
      </c>
      <c r="C56" s="2" t="n">
        <f aca="false">+C46-C39</f>
        <v>0</v>
      </c>
      <c r="D56" s="2" t="n">
        <f aca="false">+D46-D39</f>
        <v>0</v>
      </c>
      <c r="E56" s="2" t="n">
        <f aca="false">+E46-E39</f>
        <v>0</v>
      </c>
      <c r="F56" s="2" t="n">
        <f aca="false">+F46-F39</f>
        <v>0</v>
      </c>
      <c r="G56" s="2" t="n">
        <f aca="false">+G46-G39</f>
        <v>0</v>
      </c>
      <c r="H56" s="2" t="n">
        <f aca="false">+H46-H39</f>
        <v>0</v>
      </c>
      <c r="I56" s="2" t="n">
        <f aca="false">+I46-I39</f>
        <v>0</v>
      </c>
      <c r="J56" s="2" t="n">
        <f aca="false">+J46-J39</f>
        <v>0</v>
      </c>
      <c r="K56" s="2" t="n">
        <f aca="false">+K46-K39</f>
        <v>0</v>
      </c>
      <c r="L56" s="2"/>
      <c r="M56" s="2" t="n">
        <f aca="false">+M46-M39</f>
        <v>200791</v>
      </c>
      <c r="N56" s="2" t="n">
        <f aca="false">+N46-N39</f>
        <v>1660822.33333333</v>
      </c>
      <c r="O56" s="2" t="n">
        <f aca="false">+O46-O39</f>
        <v>6962875.33333333</v>
      </c>
      <c r="P56" s="2" t="n">
        <f aca="false">+P46-P39</f>
        <v>2709566.50333333</v>
      </c>
      <c r="Q56" s="2" t="n">
        <f aca="false">+Q46-Q39</f>
        <v>10795994.5344444</v>
      </c>
      <c r="R56" s="2" t="n">
        <f aca="false">+R46-R39</f>
        <v>9455145.70444444</v>
      </c>
      <c r="S56" s="2" t="n">
        <f aca="false">+S46-S39</f>
        <v>8763256.05444445</v>
      </c>
      <c r="T56" s="2" t="n">
        <f aca="false">+T46-T39</f>
        <v>9039347.62444444</v>
      </c>
      <c r="U56" s="2" t="n">
        <f aca="false">+U46-U39</f>
        <v>7060546.75333334</v>
      </c>
      <c r="V56" s="2" t="n">
        <f aca="false">+V46-V39</f>
        <v>14096318.6933333</v>
      </c>
      <c r="W56" s="2" t="n">
        <f aca="false">+W46-W39</f>
        <v>3826176.77</v>
      </c>
      <c r="X56" s="2" t="n">
        <f aca="false">+X46-X39</f>
        <v>0</v>
      </c>
      <c r="Y56" s="2" t="n">
        <f aca="false">+Y46-Y39</f>
        <v>0</v>
      </c>
      <c r="Z56" s="16" t="n">
        <f aca="false">SUM(C56:Y56)</f>
        <v>74570841.3044444</v>
      </c>
    </row>
    <row r="57" customFormat="false" ht="12.75" hidden="false" customHeight="false" outlineLevel="0" collapsed="false">
      <c r="Z57" s="16"/>
    </row>
    <row r="58" customFormat="false" ht="12.75" hidden="false" customHeight="false" outlineLevel="0" collapsed="false">
      <c r="Z58" s="16"/>
    </row>
    <row r="59" customFormat="false" ht="20.25" hidden="false" customHeight="false" outlineLevel="0" collapsed="false">
      <c r="A59" s="24" t="s">
        <v>80</v>
      </c>
      <c r="Z59" s="16"/>
    </row>
    <row r="60" customFormat="false" ht="12.75" hidden="false" customHeight="false" outlineLevel="0" collapsed="false">
      <c r="A60" s="2" t="s">
        <v>117</v>
      </c>
      <c r="Z60" s="16"/>
    </row>
    <row r="61" customFormat="false" ht="12.75" hidden="false" customHeight="false" outlineLevel="0" collapsed="false">
      <c r="A61" s="41" t="s">
        <v>118</v>
      </c>
      <c r="B61" s="42"/>
      <c r="H61" s="1" t="n">
        <f aca="false">135487+48439.18</f>
        <v>183926.18</v>
      </c>
      <c r="I61" s="1" t="n">
        <v>0</v>
      </c>
      <c r="J61" s="1" t="n">
        <v>2645</v>
      </c>
      <c r="K61" s="1" t="n">
        <v>0</v>
      </c>
      <c r="L61" s="1" t="n">
        <f aca="false">-SUM(G61:K61)-M61</f>
        <v>-194774.18</v>
      </c>
      <c r="M61" s="1" t="n">
        <v>8203</v>
      </c>
      <c r="Q61" s="1" t="n">
        <v>0</v>
      </c>
      <c r="Z61" s="16" t="n">
        <f aca="false">SUM(C61:Y61)</f>
        <v>0</v>
      </c>
      <c r="AA61" s="41" t="s">
        <v>118</v>
      </c>
      <c r="AC61" s="1" t="n">
        <f aca="false">Z61+Z25</f>
        <v>540000</v>
      </c>
      <c r="AD61" s="1" t="n">
        <f aca="false">[1]Gleason!$BT$190</f>
        <v>540000</v>
      </c>
      <c r="AE61" s="1" t="n">
        <f aca="false">AC61-AD61</f>
        <v>0</v>
      </c>
    </row>
    <row r="62" customFormat="false" ht="12.75" hidden="false" customHeight="false" outlineLevel="0" collapsed="false">
      <c r="A62" s="41" t="s">
        <v>119</v>
      </c>
      <c r="B62" s="42"/>
      <c r="E62" s="1" t="n">
        <v>0</v>
      </c>
      <c r="F62" s="1" t="n">
        <v>3543</v>
      </c>
      <c r="H62" s="1" t="n">
        <v>2193</v>
      </c>
      <c r="I62" s="1" t="n">
        <v>0</v>
      </c>
      <c r="K62" s="1" t="n">
        <v>0</v>
      </c>
      <c r="L62" s="1" t="n">
        <f aca="false">-SUM(G62:K62)</f>
        <v>-2193</v>
      </c>
      <c r="Z62" s="16" t="n">
        <f aca="false">SUM(C62:Y62)</f>
        <v>3543</v>
      </c>
      <c r="AA62" s="41" t="s">
        <v>119</v>
      </c>
      <c r="AC62" s="1" t="n">
        <f aca="false">Z62+Z33</f>
        <v>758056.83</v>
      </c>
      <c r="AD62" s="1" t="n">
        <f aca="false">[1]Gleason!$BT$224</f>
        <v>752208.46</v>
      </c>
      <c r="AE62" s="1" t="n">
        <f aca="false">AC62-AD62</f>
        <v>5848.37000000011</v>
      </c>
    </row>
    <row r="63" customFormat="false" ht="12.75" hidden="false" customHeight="false" outlineLevel="0" collapsed="false">
      <c r="A63" s="41" t="s">
        <v>120</v>
      </c>
      <c r="B63" s="42"/>
      <c r="D63" s="1" t="n">
        <v>0</v>
      </c>
      <c r="I63" s="1" t="n">
        <v>0</v>
      </c>
      <c r="K63" s="1" t="n">
        <v>0</v>
      </c>
      <c r="L63" s="1" t="n">
        <f aca="false">-SUM(G63:K63)</f>
        <v>-0</v>
      </c>
      <c r="Z63" s="16" t="n">
        <f aca="false">SUM(C63:Y63)</f>
        <v>0</v>
      </c>
      <c r="AA63" s="41" t="s">
        <v>120</v>
      </c>
      <c r="AC63" s="1" t="n">
        <f aca="false">Z63</f>
        <v>0</v>
      </c>
      <c r="AD63" s="1" t="n">
        <v>0</v>
      </c>
      <c r="AE63" s="1" t="n">
        <f aca="false">AC63-AD63</f>
        <v>0</v>
      </c>
    </row>
    <row r="64" customFormat="false" ht="12.75" hidden="false" customHeight="false" outlineLevel="0" collapsed="false">
      <c r="A64" s="41" t="s">
        <v>121</v>
      </c>
      <c r="B64" s="42"/>
      <c r="C64" s="2" t="n">
        <v>0</v>
      </c>
      <c r="D64" s="1" t="n">
        <v>0</v>
      </c>
      <c r="E64" s="1" t="n">
        <v>5000</v>
      </c>
      <c r="F64" s="1" t="n">
        <f aca="false">716+188</f>
        <v>904</v>
      </c>
      <c r="G64" s="1" t="n">
        <v>7490.5</v>
      </c>
      <c r="H64" s="1" t="n">
        <v>2410.51</v>
      </c>
      <c r="I64" s="1" t="n">
        <v>0</v>
      </c>
      <c r="L64" s="1" t="n">
        <f aca="false">-SUM(G64:K64)</f>
        <v>-9901.01</v>
      </c>
      <c r="Z64" s="16" t="n">
        <f aca="false">SUM(C64:Y64)</f>
        <v>5904</v>
      </c>
      <c r="AA64" s="41" t="s">
        <v>121</v>
      </c>
      <c r="AC64" s="1" t="n">
        <f aca="false">Z64+Z32</f>
        <v>623216.73</v>
      </c>
      <c r="AD64" s="1" t="n">
        <f aca="false">[1]Gleason!$BT$218</f>
        <v>623216.18</v>
      </c>
      <c r="AE64" s="1" t="n">
        <f aca="false">AC64-AD64</f>
        <v>0.549999999930151</v>
      </c>
    </row>
    <row r="65" customFormat="false" ht="12.75" hidden="false" customHeight="false" outlineLevel="0" collapsed="false">
      <c r="A65" s="41" t="s">
        <v>39</v>
      </c>
      <c r="B65" s="42"/>
      <c r="F65" s="1" t="n">
        <v>11817</v>
      </c>
      <c r="G65" s="1" t="n">
        <v>1079</v>
      </c>
      <c r="H65" s="1" t="n">
        <f aca="false">862+910.57</f>
        <v>1772.57</v>
      </c>
      <c r="I65" s="1" t="n">
        <v>0</v>
      </c>
      <c r="K65" s="1" t="n">
        <v>0</v>
      </c>
      <c r="L65" s="1" t="n">
        <f aca="false">-SUM(G65:K65)+1362.81</f>
        <v>-1488.76</v>
      </c>
      <c r="Z65" s="16" t="n">
        <f aca="false">SUM(C65:Y65)</f>
        <v>13179.81</v>
      </c>
      <c r="AA65" s="41" t="s">
        <v>39</v>
      </c>
      <c r="AC65" s="1" t="n">
        <f aca="false">Z65+Z31</f>
        <v>200000.304444444</v>
      </c>
      <c r="AD65" s="1" t="n">
        <f aca="false">[1]Gleason!$BT$209</f>
        <v>200000</v>
      </c>
      <c r="AE65" s="1" t="n">
        <f aca="false">AC65-AD65</f>
        <v>0.304444444424007</v>
      </c>
    </row>
    <row r="66" customFormat="false" ht="12.75" hidden="false" customHeight="false" outlineLevel="0" collapsed="false">
      <c r="A66" s="2" t="s">
        <v>122</v>
      </c>
      <c r="C66" s="18" t="n">
        <f aca="false">SUM(C61:C65)</f>
        <v>0</v>
      </c>
      <c r="D66" s="18" t="n">
        <f aca="false">SUM(D61:D65)</f>
        <v>0</v>
      </c>
      <c r="E66" s="18" t="n">
        <f aca="false">SUM(E61:E65)</f>
        <v>5000</v>
      </c>
      <c r="F66" s="18" t="n">
        <f aca="false">SUM(F61:F65)</f>
        <v>16264</v>
      </c>
      <c r="G66" s="18" t="n">
        <f aca="false">SUM(G61:G65)</f>
        <v>8569.5</v>
      </c>
      <c r="H66" s="18" t="n">
        <f aca="false">SUM(H61:H65)</f>
        <v>190302.26</v>
      </c>
      <c r="I66" s="18" t="n">
        <f aca="false">SUM(I61:I65)</f>
        <v>0</v>
      </c>
      <c r="J66" s="18" t="n">
        <f aca="false">SUM(J61:J65)</f>
        <v>2645</v>
      </c>
      <c r="K66" s="18" t="n">
        <f aca="false">SUM(K61:K65)</f>
        <v>0</v>
      </c>
      <c r="L66" s="18" t="n">
        <f aca="false">SUM(L61:L65)</f>
        <v>-208356.95</v>
      </c>
      <c r="M66" s="18" t="n">
        <f aca="false">SUM(M61:M65)</f>
        <v>8203</v>
      </c>
      <c r="N66" s="18" t="n">
        <f aca="false">SUM(N61:N65)</f>
        <v>0</v>
      </c>
      <c r="O66" s="18" t="n">
        <f aca="false">SUM(O61:O65)</f>
        <v>0</v>
      </c>
      <c r="P66" s="18" t="n">
        <f aca="false">SUM(P61:P65)</f>
        <v>0</v>
      </c>
      <c r="Q66" s="18" t="n">
        <f aca="false">SUM(Q61:Q65)</f>
        <v>0</v>
      </c>
      <c r="R66" s="18" t="n">
        <f aca="false">SUM(R61:R65)</f>
        <v>0</v>
      </c>
      <c r="S66" s="18" t="n">
        <f aca="false">SUM(S61:S65)</f>
        <v>0</v>
      </c>
      <c r="T66" s="18" t="n">
        <f aca="false">SUM(T61:T65)</f>
        <v>0</v>
      </c>
      <c r="U66" s="18" t="n">
        <f aca="false">SUM(U61:U65)</f>
        <v>0</v>
      </c>
      <c r="V66" s="18" t="n">
        <f aca="false">SUM(V61:V65)</f>
        <v>0</v>
      </c>
      <c r="W66" s="18" t="n">
        <f aca="false">SUM(W61:W65)</f>
        <v>0</v>
      </c>
      <c r="X66" s="18" t="n">
        <f aca="false">SUM(X61:X65)</f>
        <v>0</v>
      </c>
      <c r="Y66" s="18" t="n">
        <f aca="false">SUM(Y61:Y65)</f>
        <v>0</v>
      </c>
      <c r="Z66" s="19" t="n">
        <f aca="false">SUM(C66:V66)</f>
        <v>22626.81</v>
      </c>
    </row>
    <row r="67" customFormat="false" ht="12.75" hidden="false" customHeight="false" outlineLevel="0" collapsed="false">
      <c r="A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6"/>
    </row>
    <row r="68" customFormat="false" ht="12.75" hidden="false" customHeight="false" outlineLevel="0" collapsed="false">
      <c r="A68" s="1" t="s">
        <v>97</v>
      </c>
      <c r="G68" s="1" t="n">
        <v>0</v>
      </c>
      <c r="H68" s="1" t="n">
        <v>0</v>
      </c>
      <c r="I68" s="1" t="n">
        <v>0</v>
      </c>
      <c r="J68" s="1" t="n">
        <v>0</v>
      </c>
      <c r="K68" s="1" t="n">
        <v>0</v>
      </c>
      <c r="L68" s="1" t="n">
        <v>0</v>
      </c>
      <c r="O68" s="1" t="n">
        <f aca="false">[1]Gleason!$AR$237</f>
        <v>65</v>
      </c>
      <c r="Z68" s="16" t="n">
        <f aca="false">SUM(C68:V68)</f>
        <v>65</v>
      </c>
    </row>
    <row r="69" customFormat="false" ht="12.75" hidden="false" customHeight="false" outlineLevel="0" collapsed="false">
      <c r="A69" s="18" t="s">
        <v>98</v>
      </c>
      <c r="B69" s="34"/>
      <c r="C69" s="18" t="n">
        <f aca="false">SUM(C68)</f>
        <v>0</v>
      </c>
      <c r="D69" s="18" t="n">
        <f aca="false">SUM(D66:D68)</f>
        <v>0</v>
      </c>
      <c r="E69" s="18" t="n">
        <f aca="false">SUM(E66:E68)</f>
        <v>5000</v>
      </c>
      <c r="F69" s="18" t="n">
        <f aca="false">SUM(F66:F68)</f>
        <v>16264</v>
      </c>
      <c r="G69" s="18" t="n">
        <f aca="false">SUM(G66:G68)</f>
        <v>8569.5</v>
      </c>
      <c r="H69" s="18" t="n">
        <f aca="false">SUM(H66:H68)</f>
        <v>190302.26</v>
      </c>
      <c r="I69" s="18" t="n">
        <f aca="false">SUM(I66:I68)</f>
        <v>0</v>
      </c>
      <c r="J69" s="18" t="n">
        <f aca="false">SUM(J66:J68)</f>
        <v>2645</v>
      </c>
      <c r="K69" s="18" t="n">
        <f aca="false">SUM(K66:K68)</f>
        <v>0</v>
      </c>
      <c r="L69" s="18" t="n">
        <f aca="false">SUM(L66:L68)</f>
        <v>-208356.95</v>
      </c>
      <c r="M69" s="18" t="n">
        <f aca="false">SUM(M66:M68)</f>
        <v>8203</v>
      </c>
      <c r="N69" s="18" t="n">
        <f aca="false">SUM(N66:N68)</f>
        <v>0</v>
      </c>
      <c r="O69" s="18" t="n">
        <f aca="false">SUM(O66:O68)</f>
        <v>65</v>
      </c>
      <c r="P69" s="18" t="n">
        <f aca="false">SUM(P66:P68)</f>
        <v>0</v>
      </c>
      <c r="Q69" s="18" t="n">
        <f aca="false">SUM(Q66:Q68)</f>
        <v>0</v>
      </c>
      <c r="R69" s="18" t="n">
        <f aca="false">SUM(R66:R68)</f>
        <v>0</v>
      </c>
      <c r="S69" s="18" t="n">
        <f aca="false">SUM(S66:S68)</f>
        <v>0</v>
      </c>
      <c r="T69" s="18" t="n">
        <f aca="false">SUM(T66:T68)</f>
        <v>0</v>
      </c>
      <c r="U69" s="18" t="n">
        <f aca="false">SUM(U66:U68)</f>
        <v>0</v>
      </c>
      <c r="V69" s="18" t="n">
        <f aca="false">SUM(V66:V68)</f>
        <v>0</v>
      </c>
      <c r="W69" s="18" t="n">
        <f aca="false">SUM(W66:W68)</f>
        <v>0</v>
      </c>
      <c r="X69" s="18" t="n">
        <f aca="false">SUM(X66:X68)</f>
        <v>0</v>
      </c>
      <c r="Y69" s="18" t="n">
        <f aca="false">SUM(Y66:Y68)</f>
        <v>0</v>
      </c>
      <c r="Z69" s="18" t="n">
        <f aca="false">SUM(Z66:Z68)</f>
        <v>22691.81</v>
      </c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</row>
    <row r="70" customFormat="false" ht="12.75" hidden="false" customHeight="false" outlineLevel="0" collapsed="false">
      <c r="A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6"/>
    </row>
    <row r="71" customFormat="false" ht="12.75" hidden="false" customHeight="false" outlineLevel="0" collapsed="false">
      <c r="Z71" s="16"/>
    </row>
    <row r="72" customFormat="false" ht="12.75" hidden="false" customHeight="false" outlineLevel="0" collapsed="false">
      <c r="A72" s="2" t="s">
        <v>123</v>
      </c>
      <c r="C72" s="2" t="n">
        <f aca="false">+C46+C69+C66</f>
        <v>0</v>
      </c>
      <c r="D72" s="2" t="n">
        <f aca="false">+D46+D69+D66</f>
        <v>0</v>
      </c>
      <c r="E72" s="2" t="n">
        <f aca="false">+E69+E46</f>
        <v>5000</v>
      </c>
      <c r="F72" s="2" t="n">
        <f aca="false">+F69+F46</f>
        <v>16264</v>
      </c>
      <c r="G72" s="2" t="n">
        <f aca="false">+G69+G46</f>
        <v>8569.5</v>
      </c>
      <c r="H72" s="2" t="n">
        <f aca="false">+H69+H46</f>
        <v>190302.26</v>
      </c>
      <c r="I72" s="2" t="n">
        <f aca="false">+I69+I46</f>
        <v>0</v>
      </c>
      <c r="J72" s="2" t="n">
        <f aca="false">+J69+J46</f>
        <v>2645</v>
      </c>
      <c r="K72" s="2" t="n">
        <f aca="false">+K69+K46</f>
        <v>0</v>
      </c>
      <c r="L72" s="2" t="n">
        <f aca="false">D69:L69+L46</f>
        <v>92966215.1</v>
      </c>
      <c r="M72" s="2" t="n">
        <f aca="false">+M69+M46</f>
        <v>714662.93</v>
      </c>
      <c r="N72" s="2" t="n">
        <f aca="false">+N69+N46</f>
        <v>2178270.25600972</v>
      </c>
      <c r="O72" s="2" t="n">
        <f aca="false">+O69+O46</f>
        <v>7520873.75656311</v>
      </c>
      <c r="P72" s="2" t="n">
        <f aca="false">+P69+P46</f>
        <v>3283904.44860699</v>
      </c>
      <c r="Q72" s="2" t="n">
        <f aca="false">+Q69+Q46</f>
        <v>11433319.5884791</v>
      </c>
      <c r="R72" s="2" t="n">
        <f aca="false">+R69+R46</f>
        <v>10147138.3084208</v>
      </c>
      <c r="S72" s="2" t="n">
        <f aca="false">+S69+S46</f>
        <v>9506464.58865395</v>
      </c>
      <c r="T72" s="2" t="n">
        <f aca="false">+T69+T46</f>
        <v>9835545.00451332</v>
      </c>
      <c r="U72" s="2" t="n">
        <f aca="false">+U69+U46</f>
        <v>7899301.49745815</v>
      </c>
      <c r="V72" s="2" t="n">
        <f aca="false">+V69+V46</f>
        <v>15010252.751911</v>
      </c>
      <c r="W72" s="2" t="n">
        <f aca="false">+W69+W46</f>
        <v>3826176.77</v>
      </c>
      <c r="X72" s="2" t="n">
        <f aca="false">+X69+X46</f>
        <v>0</v>
      </c>
      <c r="Y72" s="2" t="n">
        <f aca="false">+Y69+Y46</f>
        <v>0</v>
      </c>
      <c r="Z72" s="2" t="n">
        <f aca="false">SUM(C72:Y72)</f>
        <v>174544905.760616</v>
      </c>
    </row>
    <row r="73" customFormat="false" ht="12.75" hidden="false" customHeight="false" outlineLevel="0" collapsed="false">
      <c r="Z73" s="2" t="n">
        <f aca="false">Z72-[1]Gleason!$BT$240</f>
        <v>255848.714444458</v>
      </c>
      <c r="AA73" s="1" t="s">
        <v>124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3.99"/>
    <col collapsed="false" customWidth="true" hidden="false" outlineLevel="0" max="11" min="5" style="1" width="11.28"/>
    <col collapsed="false" customWidth="true" hidden="false" outlineLevel="0" max="12" min="12" style="1" width="12.14"/>
    <col collapsed="false" customWidth="true" hidden="false" outlineLevel="0" max="13" min="13" style="1" width="11.28"/>
    <col collapsed="false" customWidth="true" hidden="false" outlineLevel="0" max="24" min="14" style="1" width="12.28"/>
    <col collapsed="false" customWidth="true" hidden="false" outlineLevel="0" max="25" min="25" style="2" width="13.85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0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XML/filtered-attachments/xls/Draw_Sched___011100.xls'#$Wheatland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45926.9531969426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f aca="false">1072769-318421</f>
        <v>754348</v>
      </c>
      <c r="Q10" s="1" t="n">
        <v>100000</v>
      </c>
      <c r="R10" s="1" t="n">
        <v>1072769</v>
      </c>
      <c r="T10" s="1" t="n">
        <v>231601</v>
      </c>
      <c r="U10" s="1" t="n">
        <f aca="false">85821500-81565943+66200+1033169-4972</f>
        <v>5349954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595253.1</v>
      </c>
      <c r="Q11" s="1" t="n">
        <v>595253.1</v>
      </c>
      <c r="R11" s="1" t="n">
        <v>793670.8</v>
      </c>
      <c r="S11" s="1" t="n">
        <v>0</v>
      </c>
      <c r="Y11" s="16" t="n">
        <f aca="false">SUM(C11:X11)</f>
        <v>4440534.3</v>
      </c>
      <c r="Z11" s="23" t="s">
        <v>23</v>
      </c>
      <c r="AA11" s="1" t="n">
        <f aca="false">[1]Wheatland!$BR$32</f>
        <v>4440534</v>
      </c>
      <c r="AB11" s="1" t="n">
        <f aca="false">Y11-AA11</f>
        <v>0.299999999813736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f aca="false">(0.2689-0.1174)*AA12</f>
        <v>1905348.84</v>
      </c>
      <c r="Q12" s="1" t="n">
        <f aca="false">(0.4673-0.2689)*AA12</f>
        <v>2495189.504</v>
      </c>
      <c r="R12" s="1" t="n">
        <f aca="false">(0.6503-0.4673)*AA12</f>
        <v>2301510.48</v>
      </c>
      <c r="S12" s="1" t="n">
        <f aca="false">(0.7833-0.6503)*AA12</f>
        <v>1672682.48</v>
      </c>
      <c r="T12" s="1" t="n">
        <f aca="false">(0.8703-0.7833)*AA12</f>
        <v>1094160.72</v>
      </c>
      <c r="U12" s="1" t="n">
        <f aca="false">(0.9476-0.8703)*AA12</f>
        <v>972168.088000001</v>
      </c>
      <c r="V12" s="1" t="n">
        <f aca="false">(1-0.9476)*AA12</f>
        <v>659011.744</v>
      </c>
      <c r="Y12" s="16" t="n">
        <f aca="false">SUM(C12:X12)</f>
        <v>11727017.856</v>
      </c>
      <c r="Z12" s="23" t="s">
        <v>23</v>
      </c>
      <c r="AA12" s="1" t="n">
        <f aca="false">[1]Wheatland!$BR$56</f>
        <v>12576560</v>
      </c>
      <c r="AB12" s="1" t="n">
        <f aca="false">Y12-AA12</f>
        <v>-849542.143999999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P13" s="1" t="n">
        <f aca="false">(0.2689-0.1174)*AA13</f>
        <v>793918.176</v>
      </c>
      <c r="Q13" s="1" t="n">
        <f aca="false">(0.4673-0.2689)*AA13</f>
        <v>1039692.1856</v>
      </c>
      <c r="R13" s="1" t="n">
        <f aca="false">(0.6503-0.4673)*AA13</f>
        <v>958990.272</v>
      </c>
      <c r="S13" s="1" t="n">
        <f aca="false">(0.7833-0.6503)*AA13</f>
        <v>696971.072</v>
      </c>
      <c r="T13" s="1" t="n">
        <f aca="false">(0.8703-0.7833)*AA13</f>
        <v>455913.408</v>
      </c>
      <c r="U13" s="1" t="n">
        <f aca="false">(0.9476-0.8703)*AA13</f>
        <v>405081.6832</v>
      </c>
      <c r="V13" s="1" t="n">
        <f aca="false">(1-0.9476)*AA13</f>
        <v>274596.1216</v>
      </c>
      <c r="Y13" s="16" t="n">
        <f aca="false">SUM(C13:X13)</f>
        <v>4740695.9184</v>
      </c>
      <c r="Z13" s="23"/>
      <c r="AA13" s="1" t="n">
        <f aca="false">[1]Wheatland!$BR$82</f>
        <v>5240384</v>
      </c>
      <c r="AB13" s="1" t="n">
        <f aca="false">Y13-AA13</f>
        <v>-499688.0816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P14" s="1" t="n">
        <f aca="false">(0.2689-0.1174)*AA14</f>
        <v>1844779.2915</v>
      </c>
      <c r="Q14" s="1" t="n">
        <f aca="false">(0.4673-0.2689)*AA14</f>
        <v>2415869.3824</v>
      </c>
      <c r="R14" s="1" t="n">
        <f aca="false">(0.6503-0.4673)*AA14</f>
        <v>2228347.263</v>
      </c>
      <c r="S14" s="1" t="n">
        <f aca="false">(0.7833-0.6503)*AA14</f>
        <v>1619509.213</v>
      </c>
      <c r="T14" s="1" t="n">
        <f aca="false">(0.8703-0.7833)*AA14</f>
        <v>1059378.207</v>
      </c>
      <c r="U14" s="1" t="n">
        <f aca="false">(0.9476-0.8703)*AA14</f>
        <v>941263.6253</v>
      </c>
      <c r="V14" s="1" t="n">
        <f aca="false">(1-0.9476)*AA14</f>
        <v>638062.2764</v>
      </c>
      <c r="Y14" s="16" t="n">
        <f aca="false">SUM(C14:X14)</f>
        <v>10808552.2586</v>
      </c>
      <c r="Z14" s="23"/>
      <c r="AA14" s="1" t="n">
        <f aca="false">[1]Wheatland!$BR$114</f>
        <v>12176761</v>
      </c>
      <c r="AB14" s="1" t="n">
        <f aca="false">Y14-AA14</f>
        <v>-1368208.7414</v>
      </c>
    </row>
    <row r="15" customFormat="false" ht="12.75" hidden="false" customHeight="false" outlineLevel="0" collapsed="false">
      <c r="A15" s="1" t="s">
        <v>104</v>
      </c>
      <c r="N15" s="1" t="n">
        <v>0</v>
      </c>
      <c r="P15" s="1" t="n">
        <f aca="false">(0.2689-0.1174)*AA15</f>
        <v>1496890.296</v>
      </c>
      <c r="Q15" s="1" t="n">
        <f aca="false">(0.4673-0.2689)*AA15</f>
        <v>1960284.0576</v>
      </c>
      <c r="R15" s="1" t="n">
        <f aca="false">(0.6503-0.4673)*AA15</f>
        <v>1808124.912</v>
      </c>
      <c r="S15" s="1" t="n">
        <f aca="false">(0.7833-0.6503)*AA15</f>
        <v>1314101.712</v>
      </c>
      <c r="T15" s="1" t="n">
        <f aca="false">(0.8703-0.7833)*AA15</f>
        <v>859600.368</v>
      </c>
      <c r="U15" s="1" t="n">
        <f aca="false">(0.9476-0.8703)*AA15</f>
        <v>763759.8672</v>
      </c>
      <c r="V15" s="1" t="n">
        <f aca="false">(1-0.9476)*AA15</f>
        <v>517736.3136</v>
      </c>
      <c r="Y15" s="16" t="n">
        <f aca="false">SUM(C15:X15)</f>
        <v>8720497.5264</v>
      </c>
      <c r="Z15" s="23"/>
      <c r="AA15" s="1" t="n">
        <f aca="false">[1]Wheatland!$BR$119</f>
        <v>9880464</v>
      </c>
      <c r="AB15" s="1" t="n">
        <f aca="false">Y15-AA15</f>
        <v>-1159966.4736</v>
      </c>
    </row>
    <row r="16" customFormat="false" ht="12.75" hidden="false" customHeight="false" outlineLevel="0" collapsed="false">
      <c r="A16" s="1" t="s">
        <v>105</v>
      </c>
      <c r="V16" s="1" t="n">
        <v>50000</v>
      </c>
      <c r="Y16" s="16" t="n">
        <f aca="false">SUM(C16:X16)</f>
        <v>50000</v>
      </c>
      <c r="Z16" s="23"/>
      <c r="AA16" s="1" t="n">
        <f aca="false">[1]Wheatland!$BR$153</f>
        <v>50000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107</v>
      </c>
      <c r="N17" s="1" t="n">
        <v>3651557</v>
      </c>
      <c r="P17" s="1" t="n">
        <v>225848</v>
      </c>
      <c r="Y17" s="16" t="n">
        <f aca="false">SUM(C17:X17)</f>
        <v>3877405</v>
      </c>
      <c r="Z17" s="23"/>
      <c r="AB17" s="1" t="n">
        <f aca="false">Y17-AA17</f>
        <v>3877405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[1]Wheatland!$BR$127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f aca="false">2386700/12</f>
        <v>198891.666666667</v>
      </c>
      <c r="Q19" s="1" t="n">
        <f aca="false">2386700/12</f>
        <v>198891.666666667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</f>
        <v>198893.666666667</v>
      </c>
      <c r="Y19" s="16" t="n">
        <f aca="false">SUM(C19:X19)</f>
        <v>2386700.33666667</v>
      </c>
      <c r="Z19" s="23"/>
      <c r="AA19" s="1" t="n">
        <f aca="false">[1]Wheatland!$BR$128</f>
        <v>2386700</v>
      </c>
      <c r="AB19" s="1" t="n">
        <f aca="false">Y19-AA19</f>
        <v>0.33666666643694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[1]Wheatland!$BR$129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27</v>
      </c>
      <c r="C21" s="2" t="n">
        <v>0</v>
      </c>
      <c r="P21" s="1" t="n">
        <v>125000</v>
      </c>
      <c r="Q21" s="1" t="n">
        <v>125000</v>
      </c>
      <c r="R21" s="1" t="n">
        <v>125000</v>
      </c>
      <c r="S21" s="1" t="n">
        <v>125000</v>
      </c>
      <c r="T21" s="1" t="n">
        <v>125000</v>
      </c>
      <c r="U21" s="1" t="n">
        <f aca="false">908786-625000</f>
        <v>283786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U22" s="1" t="n">
        <f aca="false">1500000-38084</f>
        <v>1461916</v>
      </c>
      <c r="Y22" s="16" t="n">
        <f aca="false">SUM(C22:X22)</f>
        <v>1500000</v>
      </c>
      <c r="Z22" s="23"/>
      <c r="AA22" s="1" t="n">
        <f aca="false">[1]Wheatland!$BR$151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[1]Wheatland!$BR$155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Q24" s="1" t="n">
        <v>1000</v>
      </c>
      <c r="Y24" s="16" t="n">
        <f aca="false">SUM(C24:X24)</f>
        <v>1117944.26</v>
      </c>
      <c r="Z24" s="23" t="s">
        <v>69</v>
      </c>
      <c r="AA24" s="1" t="n">
        <f aca="false">[1]Wheatland!$BR$162</f>
        <v>1117943.86</v>
      </c>
      <c r="AB24" s="1" t="n">
        <f aca="false">Y24-AA24</f>
        <v>0.399999999906868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48575</v>
      </c>
      <c r="Q25" s="1" t="n">
        <v>41756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108</v>
      </c>
      <c r="C26" s="2" t="n">
        <v>0</v>
      </c>
      <c r="F26" s="15"/>
      <c r="L26" s="1" t="n">
        <v>10000</v>
      </c>
      <c r="O26" s="1" t="n">
        <v>15000</v>
      </c>
      <c r="P26" s="1" t="n">
        <v>500000</v>
      </c>
      <c r="Q26" s="1" t="n">
        <v>500000</v>
      </c>
      <c r="R26" s="1" t="n">
        <v>500000</v>
      </c>
      <c r="S26" s="1" t="n">
        <f aca="false">500000-10000</f>
        <v>490000</v>
      </c>
      <c r="T26" s="1" t="n">
        <v>1500000</v>
      </c>
      <c r="U26" s="1" t="n">
        <f aca="false">1500000-15000</f>
        <v>1485000</v>
      </c>
      <c r="Y26" s="16" t="n">
        <f aca="false">SUM(C26:X26)</f>
        <v>5000000</v>
      </c>
      <c r="Z26" s="23" t="s">
        <v>34</v>
      </c>
      <c r="AA26" s="1" t="n">
        <f aca="false">[1]Wheatland!$BR$171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500000</v>
      </c>
      <c r="R27" s="1" t="n">
        <v>54000</v>
      </c>
      <c r="Y27" s="16" t="n">
        <f aca="false">SUM(C27:X27)</f>
        <v>1500000</v>
      </c>
      <c r="Z27" s="23" t="s">
        <v>34</v>
      </c>
      <c r="AA27" s="1" t="n">
        <f aca="false">[1]Wheatland!$BR$173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[1]Wheatland!$BR$179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[1]Wheatland!$BR$181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11111.1111111111</v>
      </c>
      <c r="Q31" s="1" t="n">
        <v>11111.1111111111</v>
      </c>
      <c r="R31" s="1" t="n">
        <v>11111.1111111111</v>
      </c>
      <c r="S31" s="1" t="n">
        <v>11111.1111111111</v>
      </c>
      <c r="T31" s="1" t="n">
        <f aca="false">11111.1111111111+11112</f>
        <v>22223.1111111111</v>
      </c>
      <c r="U31" s="1" t="n">
        <f aca="false">3500+37229</f>
        <v>40729</v>
      </c>
      <c r="Y31" s="16" t="n">
        <f aca="false">SUM(C31:X31)</f>
        <v>185199.115555556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28571.4285714286</v>
      </c>
      <c r="Q32" s="1" t="n">
        <v>28571.4285714286</v>
      </c>
      <c r="R32" s="1" t="n">
        <v>56516</v>
      </c>
      <c r="S32" s="1" t="n">
        <v>22986</v>
      </c>
      <c r="T32" s="1" t="n">
        <v>80349</v>
      </c>
      <c r="Y32" s="16" t="n">
        <f aca="false">SUM(C32:X32)</f>
        <v>604558.547142857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[1]Wheatland!$AR$199</f>
        <v>320554.97</v>
      </c>
      <c r="P33" s="1" t="n">
        <v>10000</v>
      </c>
      <c r="Q33" s="1" t="n">
        <v>10000</v>
      </c>
      <c r="R33" s="1" t="n">
        <v>10000</v>
      </c>
      <c r="S33" s="1" t="n">
        <v>10000</v>
      </c>
      <c r="T33" s="1" t="n">
        <v>7559</v>
      </c>
      <c r="U33" s="1" t="n">
        <f aca="false">2441+1962+197444</f>
        <v>201847</v>
      </c>
      <c r="V33" s="1" t="n">
        <f aca="false">6654-1</f>
        <v>6653</v>
      </c>
      <c r="Y33" s="16" t="n">
        <f aca="false">SUM(C33:X33)</f>
        <v>652208.36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4161627.76</v>
      </c>
      <c r="P34" s="18" t="n">
        <f aca="false">SUM(P8:P33)</f>
        <v>8616018.24318254</v>
      </c>
      <c r="Q34" s="18" t="n">
        <f aca="false">SUM(Q8:Q33)</f>
        <v>10100101.7692825</v>
      </c>
      <c r="R34" s="18" t="n">
        <f aca="false">SUM(R8:R33)</f>
        <v>10196414.8381111</v>
      </c>
      <c r="S34" s="18" t="n">
        <f aca="false">SUM(S8:S33)</f>
        <v>7238736.58811111</v>
      </c>
      <c r="T34" s="18" t="n">
        <f aca="false">SUM(T8:T33)</f>
        <v>6712159.81411111</v>
      </c>
      <c r="U34" s="18" t="n">
        <f aca="false">SUM(U8:U33)</f>
        <v>15421313.2637</v>
      </c>
      <c r="V34" s="18" t="n">
        <f aca="false">SUM(V8:V33)</f>
        <v>2146059.4556</v>
      </c>
      <c r="W34" s="18" t="n">
        <f aca="false">SUM(W8:W33)</f>
        <v>0</v>
      </c>
      <c r="X34" s="18" t="n">
        <f aca="false">SUM(X8:X33)</f>
        <v>24125</v>
      </c>
      <c r="Y34" s="19" t="n">
        <f aca="false">SUM(C34:U34)</f>
        <v>148952267.929832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90667523.4133333</v>
      </c>
      <c r="P35" s="18" t="n">
        <f aca="false">+O35+P34</f>
        <v>99283541.6565159</v>
      </c>
      <c r="Q35" s="18" t="n">
        <f aca="false">+P35+Q34</f>
        <v>109383643.425798</v>
      </c>
      <c r="R35" s="18" t="n">
        <f aca="false">+Q35+R34</f>
        <v>119580058.26391</v>
      </c>
      <c r="S35" s="18" t="n">
        <f aca="false">+R35+S34</f>
        <v>126818794.852021</v>
      </c>
      <c r="T35" s="18" t="n">
        <f aca="false">+S35+T34</f>
        <v>133530954.666132</v>
      </c>
      <c r="U35" s="18" t="n">
        <f aca="false">+T35+U34</f>
        <v>148952267.929832</v>
      </c>
      <c r="V35" s="18" t="n">
        <f aca="false">+U35+V34</f>
        <v>151098327.385432</v>
      </c>
      <c r="W35" s="18" t="n">
        <f aca="false">+V35+W34</f>
        <v>151098327.385432</v>
      </c>
      <c r="X35" s="18" t="n">
        <f aca="false">+W35+X34</f>
        <v>151122452.385432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316.919718999642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f aca="false">(P35+O44)*$C49/12</f>
        <v>567528.771280058</v>
      </c>
      <c r="Q39" s="15" t="n">
        <f aca="false">(Q35+P44)*$C49/12</f>
        <v>625311.770041439</v>
      </c>
      <c r="R39" s="15" t="n">
        <f aca="false">(R35+Q44)*$C49/12</f>
        <v>683929.455835598</v>
      </c>
      <c r="S39" s="15" t="n">
        <f aca="false">(S35+R44)*$C49/12</f>
        <v>726843.896906977</v>
      </c>
      <c r="T39" s="15" t="n">
        <f aca="false">(T35+S44)*$C49/12</f>
        <v>767138.500341658</v>
      </c>
      <c r="U39" s="15" t="n">
        <f aca="false">(U35+T44)*$C49/12</f>
        <v>854825.947396883</v>
      </c>
      <c r="V39" s="15" t="n">
        <v>0</v>
      </c>
      <c r="W39" s="15" t="n">
        <v>0</v>
      </c>
      <c r="X39" s="15" t="n">
        <v>0</v>
      </c>
      <c r="Y39" s="16" t="n">
        <f aca="false">SUM(C39:X39)</f>
        <v>9722656.57545127</v>
      </c>
      <c r="Z39" s="17" t="str">
        <f aca="false">Z52</f>
        <v>Rodney Malcolm</v>
      </c>
      <c r="AA39" s="1" t="n">
        <f aca="false">Y39</f>
        <v>9722656.57545127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f aca="false">[1]Wheatland!$BP$205</f>
        <v>0.100000000093132</v>
      </c>
      <c r="Y42" s="16" t="n">
        <f aca="false">SUM(C42:X42)</f>
        <v>0.100000000093132</v>
      </c>
      <c r="Z42" s="17" t="str">
        <f aca="false">Z24</f>
        <v>Steve Dowd</v>
      </c>
      <c r="AA42" s="1" t="n">
        <f aca="false">Y42</f>
        <v>0.100000000093132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567528.771280058</v>
      </c>
      <c r="Q43" s="18" t="n">
        <f aca="false">SUM(Q38:Q42)</f>
        <v>625311.770041439</v>
      </c>
      <c r="R43" s="18" t="n">
        <f aca="false">SUM(R38:R42)</f>
        <v>683929.455835598</v>
      </c>
      <c r="S43" s="18" t="n">
        <f aca="false">SUM(S38:S42)</f>
        <v>726843.896906977</v>
      </c>
      <c r="T43" s="18" t="n">
        <f aca="false">SUM(T38:T42)</f>
        <v>767138.500341658</v>
      </c>
      <c r="U43" s="18" t="n">
        <f aca="false">SUM(U38:U42)</f>
        <v>854826.047396884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9716579.17545127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6058529.50492871</v>
      </c>
      <c r="Q44" s="18" t="n">
        <f aca="false">+Q43+P44</f>
        <v>6683841.27497015</v>
      </c>
      <c r="R44" s="18" t="n">
        <f aca="false">+R43+Q44</f>
        <v>7367770.73080575</v>
      </c>
      <c r="S44" s="18" t="n">
        <f aca="false">+S43+R44</f>
        <v>8094614.62771273</v>
      </c>
      <c r="T44" s="18" t="n">
        <f aca="false">+T43+S44</f>
        <v>8861753.12805438</v>
      </c>
      <c r="U44" s="18" t="n">
        <f aca="false">+U43+T44</f>
        <v>9716579.17545127</v>
      </c>
      <c r="V44" s="18" t="n">
        <f aca="false">+V43+U44</f>
        <v>9716579.17545127</v>
      </c>
      <c r="W44" s="18" t="n">
        <f aca="false">+W43+V44</f>
        <v>9716579.17545127</v>
      </c>
      <c r="X44" s="18" t="n">
        <f aca="false">+X43+W44</f>
        <v>9716579.17545127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125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4677967.76</v>
      </c>
      <c r="P46" s="2" t="n">
        <f aca="false">+P34+P43</f>
        <v>9183547.0144626</v>
      </c>
      <c r="Q46" s="2" t="n">
        <f aca="false">+Q34+Q43</f>
        <v>10725413.539324</v>
      </c>
      <c r="R46" s="2" t="n">
        <f aca="false">+R34+R43</f>
        <v>10880344.2939467</v>
      </c>
      <c r="S46" s="2" t="n">
        <f aca="false">+S34+S43</f>
        <v>7965580.48501809</v>
      </c>
      <c r="T46" s="2" t="n">
        <f aca="false">+T34+T43</f>
        <v>7479298.31445277</v>
      </c>
      <c r="U46" s="2" t="n">
        <f aca="false">+U34+U43</f>
        <v>16276139.3110969</v>
      </c>
      <c r="V46" s="2" t="n">
        <f aca="false">+V34+V43</f>
        <v>2146059.4556</v>
      </c>
      <c r="W46" s="2" t="n">
        <f aca="false">+W34+W43</f>
        <v>0</v>
      </c>
      <c r="X46" s="2" t="n">
        <f aca="false">+X34+X43</f>
        <v>24125</v>
      </c>
      <c r="Y46" s="16" t="n">
        <f aca="false">SUM(C46:X46)</f>
        <v>160839031.560883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96158524.146982</v>
      </c>
      <c r="P47" s="2" t="n">
        <f aca="false">O47+P46</f>
        <v>105342071.161445</v>
      </c>
      <c r="Q47" s="2" t="n">
        <f aca="false">P47+Q46</f>
        <v>116067484.700769</v>
      </c>
      <c r="R47" s="2" t="n">
        <f aca="false">Q47+R46</f>
        <v>126947828.994715</v>
      </c>
      <c r="S47" s="2" t="n">
        <f aca="false">R47+S46</f>
        <v>134913409.479733</v>
      </c>
      <c r="T47" s="2" t="n">
        <f aca="false">S47+T46</f>
        <v>142392707.794186</v>
      </c>
      <c r="U47" s="2" t="n">
        <f aca="false">T47+U46</f>
        <v>158668847.105283</v>
      </c>
      <c r="V47" s="2" t="n">
        <f aca="false">U47+V46</f>
        <v>160814906.560883</v>
      </c>
      <c r="W47" s="2" t="n">
        <f aca="false">V47+W46</f>
        <v>160814906.560883</v>
      </c>
      <c r="X47" s="2" t="n">
        <f aca="false">W47+X46</f>
        <v>160839031.560883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342.210705448687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4161627.76</v>
      </c>
      <c r="P54" s="2" t="n">
        <f aca="false">+P46-P39</f>
        <v>8616018.24318254</v>
      </c>
      <c r="Q54" s="2" t="n">
        <f aca="false">+Q46-Q39</f>
        <v>10100101.7692825</v>
      </c>
      <c r="R54" s="2" t="n">
        <f aca="false">+R46-R39</f>
        <v>10196414.8381111</v>
      </c>
      <c r="S54" s="2" t="n">
        <f aca="false">+S46-S39</f>
        <v>7238736.58811111</v>
      </c>
      <c r="T54" s="2" t="n">
        <f aca="false">+T46-T39</f>
        <v>6712159.81411111</v>
      </c>
      <c r="U54" s="2" t="n">
        <f aca="false">+U46-U39</f>
        <v>15421313.3637</v>
      </c>
      <c r="V54" s="2" t="n">
        <f aca="false">+V46-V39</f>
        <v>2146059.4556</v>
      </c>
      <c r="W54" s="2" t="n">
        <f aca="false">+W46-W39</f>
        <v>0</v>
      </c>
      <c r="X54" s="2" t="n">
        <f aca="false">+X46-X39</f>
        <v>24125</v>
      </c>
      <c r="Y54" s="22" t="n">
        <f aca="false">SUM(C54:X54)</f>
        <v>151116374.985432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4" t="s">
        <v>80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[1]Wheatland!$BR$169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754273.747142857</v>
      </c>
      <c r="AB60" s="1" t="n">
        <f aca="false">[1]Wheatland!$BR$192</f>
        <v>754273.98</v>
      </c>
      <c r="AC60" s="1" t="n">
        <f aca="false">AB60-AA60</f>
        <v>0.232857142807916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Y61" s="16" t="n">
        <f aca="false">SUM(C61:X61)</f>
        <v>0</v>
      </c>
      <c r="Z61" s="17"/>
      <c r="AA61" s="1" t="n">
        <f aca="false">Y61+Y24</f>
        <v>1117944.26</v>
      </c>
      <c r="AB61" s="1" t="n">
        <f aca="false">[1]Wheatland!$BR$162</f>
        <v>1117943.86</v>
      </c>
      <c r="AC61" s="1" t="n">
        <f aca="false">AB61-AA61</f>
        <v>-0.399999999906868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200000.495555556</v>
      </c>
      <c r="AB62" s="1" t="n">
        <f aca="false">[1]Wheatland!$BR$183</f>
        <v>200000</v>
      </c>
      <c r="AC62" s="1" t="n">
        <f aca="false">AB62-AA62</f>
        <v>-0.495555555564351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652208.36</v>
      </c>
      <c r="AB63" s="1" t="n">
        <f aca="false">[1]Wheatland!$BR$199</f>
        <v>652208.46</v>
      </c>
      <c r="AC63" s="1" t="n">
        <f aca="false">AB63-AA63</f>
        <v>0.0999999999767169</v>
      </c>
    </row>
    <row r="64" customFormat="false" ht="12.75" hidden="false" customHeight="false" outlineLevel="0" collapsed="false">
      <c r="A64" s="2" t="s">
        <v>126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[1]Wheatland!$AN$215</f>
        <v>36835</v>
      </c>
      <c r="N66" s="2" t="n">
        <f aca="false">[1]Wheatland!$AP$215</f>
        <v>-36835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36835</v>
      </c>
      <c r="N67" s="18" t="n">
        <f aca="false">SUM(N64:N66)</f>
        <v>-36835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/>
      <c r="W67" s="18"/>
      <c r="X67" s="18"/>
      <c r="Y67" s="18" t="n">
        <f aca="false">SUM(Y64:Y66)</f>
        <v>195452.58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127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128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/>
      <c r="W75" s="18"/>
      <c r="X75" s="18"/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116</v>
      </c>
      <c r="C78" s="38" t="n">
        <f aca="false">+C46+C67+C75</f>
        <v>17087218</v>
      </c>
      <c r="D78" s="38" t="n">
        <f aca="false">+D46+D67+D75</f>
        <v>43642669</v>
      </c>
      <c r="E78" s="38" t="n">
        <f aca="false">+E46+E67+E75</f>
        <v>4711472</v>
      </c>
      <c r="F78" s="38" t="n">
        <f aca="false">+F46+F67+F75</f>
        <v>419273.6</v>
      </c>
      <c r="G78" s="38" t="n">
        <f aca="false">+G46+G67+G75</f>
        <v>4762088.97</v>
      </c>
      <c r="H78" s="38" t="n">
        <f aca="false">+H46+H67+H75</f>
        <v>9103942.23</v>
      </c>
      <c r="I78" s="38" t="n">
        <f aca="false">+I46+I67+I75</f>
        <v>546828.138620833</v>
      </c>
      <c r="J78" s="38" t="n">
        <f aca="false">+J46+J67+J75</f>
        <v>1092836.67213836</v>
      </c>
      <c r="K78" s="38" t="n">
        <f aca="false">+K46+K67+K75</f>
        <v>1496281.67641661</v>
      </c>
      <c r="L78" s="38" t="n">
        <f aca="false">+L46+L67+L75</f>
        <v>1780115.93</v>
      </c>
      <c r="M78" s="38" t="n">
        <f aca="false">+M46+M67+M75</f>
        <v>1603218.40884026</v>
      </c>
      <c r="N78" s="38" t="n">
        <f aca="false">+N46+N67+N75</f>
        <v>5445164.34096592</v>
      </c>
      <c r="O78" s="38" t="n">
        <f aca="false">+O46+O67+O75</f>
        <v>4677967.76</v>
      </c>
      <c r="P78" s="38" t="n">
        <f aca="false">+P46+P67+P75</f>
        <v>9183547.0144626</v>
      </c>
      <c r="Q78" s="38" t="n">
        <f aca="false">+Q46+Q67+Q75</f>
        <v>10725413.539324</v>
      </c>
      <c r="R78" s="38" t="n">
        <f aca="false">+R46+R67+R75</f>
        <v>10880344.2939467</v>
      </c>
      <c r="S78" s="38" t="n">
        <f aca="false">+S46+S67+S75</f>
        <v>7965580.48501809</v>
      </c>
      <c r="T78" s="38" t="n">
        <f aca="false">+T46+T67+T75</f>
        <v>7479298.31445277</v>
      </c>
      <c r="U78" s="38" t="n">
        <f aca="false">+U46+U67+U75</f>
        <v>16276139.3110969</v>
      </c>
      <c r="V78" s="38"/>
      <c r="W78" s="38"/>
      <c r="X78" s="38"/>
      <c r="Y78" s="38" t="n">
        <f aca="false">+Y46+Y67+Y75</f>
        <v>161049584.140883</v>
      </c>
    </row>
    <row r="79" customFormat="false" ht="12.75" hidden="false" customHeight="false" outlineLevel="0" collapsed="false">
      <c r="U79" s="0"/>
      <c r="V79" s="0"/>
      <c r="W79" s="0"/>
      <c r="X79" s="0"/>
      <c r="Y79" s="43" t="n">
        <f aca="false">Y78-[1]Wheatland!$BR$232</f>
        <v>2.61543175578117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2000-01-09T13:43:59Z</cp:lastPrinted>
  <cp:revision>0</cp:revision>
  <dc:subject/>
  <dc:title/>
</cp:coreProperties>
</file>