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8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NG Detail NI" sheetId="1" state="visible" r:id="rId3"/>
    <sheet name="NNG-Disc.,Assets,Reserves" sheetId="2" state="visible" r:id="rId4"/>
    <sheet name="NNG-Other" sheetId="3" state="visible" r:id="rId5"/>
    <sheet name="TW Detail NI" sheetId="4" state="visible" r:id="rId6"/>
    <sheet name="TW-Disc.,Assets,Reserves,Other" sheetId="5" state="visible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function="false" hidden="false" localSheetId="0" name="_xlnm.Print_Area" vbProcedure="false">'NNG Detail NI'!$A$1:$W$79</definedName>
    <definedName function="false" hidden="false" localSheetId="1" name="_xlnm.Print_Area" vbProcedure="false">'NNG-Disc.,Assets,Reserves'!$A$1:$W$56</definedName>
    <definedName function="false" hidden="false" localSheetId="2" name="_xlnm.Print_Area" vbProcedure="false">'NNG-Other'!$A$1:$W$72</definedName>
    <definedName function="false" hidden="false" localSheetId="3" name="_xlnm.Print_Area" vbProcedure="false">'TW Detail NI'!$A$1:$Y$82</definedName>
    <definedName function="false" hidden="false" localSheetId="4" name="_xlnm.Print_Area" vbProcedure="false">'TW-Disc.,Assets,Reserves,Other'!$A$1:$W$72</definedName>
    <definedName function="false" hidden="false" name="ALL" vbProcedure="false">'[7]'!$E$1:$G$79</definedName>
    <definedName function="false" hidden="false" name="BYYEAR" vbProcedure="false">'[4]#REF'!$BG$72</definedName>
    <definedName function="false" hidden="false" name="CAP" vbProcedure="false">'[7]'!$E$1:$G$79</definedName>
    <definedName function="false" hidden="false" name="CASH_FLOW" vbProcedure="false">#REF!</definedName>
    <definedName function="false" hidden="false" name="CASH_FLOW_INPUT" vbProcedure="false">#REF!</definedName>
    <definedName function="false" hidden="false" name="Date_Copy1" vbProcedure="false">#REF!</definedName>
    <definedName function="false" hidden="false" name="Date_Copy2" vbProcedure="false">#REF!</definedName>
    <definedName function="false" hidden="false" name="DIRECTORY" vbProcedure="false">'[4]#REF'!$BG$72</definedName>
    <definedName function="false" hidden="false" name="EGC" vbProcedure="false">#REF!</definedName>
    <definedName function="false" hidden="false" name="file_date_name" vbProcedure="false">#REF!</definedName>
    <definedName function="false" hidden="false" name="Ind_Co_Variance_Range" vbProcedure="false">[3]IndCoVariance!$D$7:$AB$69,[3]IndCoVariance!$D$77:$AB$151,[3]IndCoVariance!$AH$7:$AP$69,[3]IndCoVariance!$AH$77:$AP$151,[3]IndCoVariance!$AU$7:$BA$69,[3]IndCoVariance!$AU$77:$BA$151</definedName>
    <definedName function="false" hidden="false" name="INSTRUCT" vbProcedure="false">'[4]#REF'!$BG$72</definedName>
    <definedName function="false" hidden="false" name="look" vbProcedure="false">[5]summary!$D$8:$H$43</definedName>
    <definedName function="false" hidden="false" name="MGMT" vbProcedure="false">'[7]'!$E$1:$G$79</definedName>
    <definedName function="false" hidden="false" name="MONTHLY" vbProcedure="false">#REF!</definedName>
    <definedName function="false" hidden="false" name="NNG" vbProcedure="false">#REF!</definedName>
    <definedName function="false" hidden="false" name="PDTotal" vbProcedure="false">'[7]'!$BC$13879</definedName>
    <definedName function="false" hidden="false" name="Print_Area_MI" vbProcedure="false">#REF!</definedName>
    <definedName function="false" hidden="false" name="Print_Titles_MI" vbProcedure="false">'[1]'!$A$1:$XFD$7</definedName>
    <definedName function="false" hidden="false" name="Rules_for_Obligations" vbProcedure="false">'[4]#REF'!$BG$72</definedName>
    <definedName function="false" hidden="false" name="SJ" vbProcedure="false">[6]TW!$BK$63</definedName>
    <definedName function="false" hidden="false" name="SUMMARY" vbProcedure="false">#REF!</definedName>
    <definedName function="false" hidden="false" name="SYS" vbProcedure="false">[6]TW!$DH$112</definedName>
    <definedName function="false" hidden="false" name="TEMP" vbProcedure="false">#REF!</definedName>
    <definedName function="false" hidden="false" name="TEMP1" vbProcedure="false">#REF!</definedName>
    <definedName function="false" hidden="false" name="TEMP2" vbProcedure="false">#REF!</definedName>
    <definedName function="false" hidden="false" name="TEMPA" vbProcedure="false">#REF!</definedName>
    <definedName function="false" hidden="false" name="TEMPB" vbProcedure="false">#REF!</definedName>
    <definedName function="false" hidden="false" name="TITLE1" vbProcedure="false">#REF!</definedName>
    <definedName function="false" hidden="false" name="TITLE2" vbProcedure="false">#REF!</definedName>
    <definedName function="false" hidden="false" name="TITLECOL1" vbProcedure="false">#REF!</definedName>
    <definedName function="false" hidden="false" name="VARIANCE_RANGE" vbProcedure="false">[3]Variance!$D$7,[3]Variance!$D$7:$AB$70,[3]Variance!$D$77:$AB$153</definedName>
    <definedName function="false" hidden="false" name="YR1992" vbProcedure="false">NA()</definedName>
    <definedName function="false" hidden="false" name="YR9296" vbProcedure="false">#REF!</definedName>
    <definedName function="false" hidden="false" name="\A" vbProcedure="false">NA()</definedName>
    <definedName function="false" hidden="false" name="\B" vbProcedure="false">NA()</definedName>
    <definedName function="false" hidden="false" name="\C" vbProcedure="false">'[2]'!$C$126:$DW$126</definedName>
    <definedName function="false" hidden="false" name="\H" vbProcedure="false">'[4]#REF'!$BG$72</definedName>
    <definedName function="false" hidden="false" name="\I" vbProcedure="false">'[2]'!$C$123:$DT$123</definedName>
    <definedName function="false" hidden="false" name="\P" vbProcedure="false">#REF!</definedName>
    <definedName function="false" hidden="false" name="\R" vbProcedure="false">'[4]#REF'!$BG$72</definedName>
    <definedName function="false" hidden="false" name="\S" vbProcedure="false">'[4]#REF'!$BG$72</definedName>
    <definedName function="false" hidden="false" name="\U" vbProcedure="false">'[4]#REF'!$BG$72</definedName>
    <definedName function="false" hidden="false" name="\Z" vbProcedure="false">'[4]#REF'!$BG$72</definedName>
    <definedName function="false" hidden="false" name="_1" vbProcedure="false">#REF!</definedName>
    <definedName function="false" hidden="false" name="_2" vbProcedure="false">#REF!</definedName>
    <definedName function="false" hidden="false" name="_3" vbProcedure="false">#REF!</definedName>
    <definedName function="false" hidden="false" name="__123Graph_A" vbProcedure="false">[6]TW!$T$20</definedName>
    <definedName function="false" hidden="false" name="__123Graph_B" vbProcedure="false">[6]TW!$AH$34</definedName>
    <definedName function="false" hidden="false" name="__123Graph_C" vbProcedure="false">[6]TW!$T$20</definedName>
    <definedName function="false" hidden="false" name="__123Graph_D" vbProcedure="false">[6]TW!$T$20</definedName>
    <definedName function="false" hidden="false" localSheetId="0" name="\C" vbProcedure="false">#REF!</definedName>
    <definedName function="false" hidden="false" localSheetId="0" name="\I" vbProcedure="false">#REF!</definedName>
    <definedName function="false" hidden="false" localSheetId="1" name="\C" vbProcedure="false">#REF!</definedName>
    <definedName function="false" hidden="false" localSheetId="1" name="\I" vbProcedure="false">#REF!</definedName>
    <definedName function="false" hidden="false" localSheetId="2" name="\C" vbProcedure="false">#REF!</definedName>
    <definedName function="false" hidden="false" localSheetId="2" name="\I" vbProcedure="false">#REF!</definedName>
    <definedName function="false" hidden="false" localSheetId="3" name="\C" vbProcedure="false">'[8]O&amp;M_NNG'!$C$126:$DW$126</definedName>
    <definedName function="false" hidden="false" localSheetId="3" name="\I" vbProcedure="false">'[8]O&amp;M_NNG'!$C$123:$DT$123</definedName>
    <definedName function="false" hidden="false" localSheetId="4" name="\C" vbProcedure="false">#REF!</definedName>
    <definedName function="false" hidden="false" localSheetId="4" name="\I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<sst xmlns="http://schemas.openxmlformats.org/spreadsheetml/2006/main" count="297" uniqueCount="243">
  <si>
    <t xml:space="preserve">NORTHERN NATURAL GAS GROUP</t>
  </si>
  <si>
    <t xml:space="preserve">DETAIL OF NET INCOME</t>
  </si>
  <si>
    <t xml:space="preserve">($ Millions)</t>
  </si>
  <si>
    <t xml:space="preserve">1993</t>
  </si>
  <si>
    <t xml:space="preserve">1994</t>
  </si>
  <si>
    <t xml:space="preserve">1995</t>
  </si>
  <si>
    <t xml:space="preserve">1996</t>
  </si>
  <si>
    <t xml:space="preserve">1997</t>
  </si>
  <si>
    <t xml:space="preserve">1998</t>
  </si>
  <si>
    <t xml:space="preserve">1999</t>
  </si>
  <si>
    <t xml:space="preserve">Actual</t>
  </si>
  <si>
    <t xml:space="preserve">Plan</t>
  </si>
  <si>
    <t xml:space="preserve">Margins (Including GRI &amp; ACA) </t>
  </si>
  <si>
    <t xml:space="preserve">Transport - Demand</t>
  </si>
  <si>
    <t xml:space="preserve">- Commodity</t>
  </si>
  <si>
    <t xml:space="preserve">Storage</t>
  </si>
  <si>
    <t xml:space="preserve">Tranche 2 &amp; 3</t>
  </si>
  <si>
    <t xml:space="preserve">Structured Products - Recurring</t>
  </si>
  <si>
    <t xml:space="preserve">Special Projects</t>
  </si>
  <si>
    <t xml:space="preserve">Other</t>
  </si>
  <si>
    <t xml:space="preserve">Total Transport Margins</t>
  </si>
  <si>
    <t xml:space="preserve">Lucent Phone Credit</t>
  </si>
  <si>
    <t xml:space="preserve">Others, Net</t>
  </si>
  <si>
    <t xml:space="preserve">Total </t>
  </si>
  <si>
    <t xml:space="preserve">Operating Expenses</t>
  </si>
  <si>
    <t xml:space="preserve">O&amp;M - Direct Costs &amp; G&amp;A</t>
  </si>
  <si>
    <t xml:space="preserve">- GPG &amp; Corporate</t>
  </si>
  <si>
    <t xml:space="preserve">GRI &amp; ACA</t>
  </si>
  <si>
    <t xml:space="preserve">TOP / TCR / LIT</t>
  </si>
  <si>
    <t xml:space="preserve">Other Non Tracked Regulatory Expense</t>
  </si>
  <si>
    <t xml:space="preserve">Regulatory Commission Expense</t>
  </si>
  <si>
    <t xml:space="preserve">New Regulatory Assets Amortization</t>
  </si>
  <si>
    <t xml:space="preserve">IMP / South Georgia Credits</t>
  </si>
  <si>
    <t xml:space="preserve">TC&amp;S - Mobil Annual Settlement</t>
  </si>
  <si>
    <t xml:space="preserve">- Carlton Refunds (Discount Issue) / Other</t>
  </si>
  <si>
    <t xml:space="preserve">- Base Gas SBA / Fees Amortization</t>
  </si>
  <si>
    <t xml:space="preserve">Fuel Used in Operations </t>
  </si>
  <si>
    <t xml:space="preserve">DD&amp;A - Normal</t>
  </si>
  <si>
    <t xml:space="preserve">- Lucent Phones</t>
  </si>
  <si>
    <t xml:space="preserve">Other Taxes - Ad Valorem</t>
  </si>
  <si>
    <t xml:space="preserve">- Payroll / Franchise </t>
  </si>
  <si>
    <t xml:space="preserve">Total Operating Expenses</t>
  </si>
  <si>
    <t xml:space="preserve">Other Income / (Deductions)</t>
  </si>
  <si>
    <t xml:space="preserve">Trailblazer</t>
  </si>
  <si>
    <t xml:space="preserve">Overthrust </t>
  </si>
  <si>
    <t xml:space="preserve">Interest Income </t>
  </si>
  <si>
    <t xml:space="preserve">Total Other Income / (Deductions)</t>
  </si>
  <si>
    <t xml:space="preserve">Recurring Income Before Interest &amp; Taxes</t>
  </si>
  <si>
    <t xml:space="preserve">Non Recurring IBIT Items </t>
  </si>
  <si>
    <t xml:space="preserve">Discontinued Operations (See Schedule)</t>
  </si>
  <si>
    <t xml:space="preserve">Gain on Asset Sales (See Schedule)</t>
  </si>
  <si>
    <t xml:space="preserve">Reserves (See Schedule)</t>
  </si>
  <si>
    <t xml:space="preserve">Other (See Schedule)</t>
  </si>
  <si>
    <t xml:space="preserve">Total Non Recurring Items</t>
  </si>
  <si>
    <t xml:space="preserve">Income Before Interest &amp; Taxes</t>
  </si>
  <si>
    <t xml:space="preserve">Interest Expense</t>
  </si>
  <si>
    <t xml:space="preserve">3rd Party Interest Expense - New Debt</t>
  </si>
  <si>
    <t xml:space="preserve">Intercompany Interest Income</t>
  </si>
  <si>
    <t xml:space="preserve">AFUDC</t>
  </si>
  <si>
    <t xml:space="preserve">Income Taxes</t>
  </si>
  <si>
    <t xml:space="preserve">Non Recurring Non IBIT Items </t>
  </si>
  <si>
    <t xml:space="preserve">Excess Deferred Taxes</t>
  </si>
  <si>
    <t xml:space="preserve">State Income Tax Adjustments / Other</t>
  </si>
  <si>
    <t xml:space="preserve">Net Income Before Financing Costs</t>
  </si>
  <si>
    <t xml:space="preserve">DETAIL OF NON RECURRING IBIT ITEMS</t>
  </si>
  <si>
    <t xml:space="preserve">DISCONTINUED OPERATIONS</t>
  </si>
  <si>
    <t xml:space="preserve">Merchant Business (Sales Less COS)</t>
  </si>
  <si>
    <t xml:space="preserve">Gathering Income (Revenue Less Expense)</t>
  </si>
  <si>
    <t xml:space="preserve">Crockett Income (Trans. Rev. Less Expense)</t>
  </si>
  <si>
    <t xml:space="preserve">Hobbs Income (Revenue Less Expense)</t>
  </si>
  <si>
    <t xml:space="preserve">Liquids Revenue</t>
  </si>
  <si>
    <t xml:space="preserve">Total Discontinued Business</t>
  </si>
  <si>
    <t xml:space="preserve">GAIN ON ASSET SALES</t>
  </si>
  <si>
    <t xml:space="preserve">Base Gas Monetization (Sales Margin)</t>
  </si>
  <si>
    <t xml:space="preserve">Tejas / Champlin (South End)</t>
  </si>
  <si>
    <t xml:space="preserve">Vehicle Sales </t>
  </si>
  <si>
    <t xml:space="preserve">Custer County</t>
  </si>
  <si>
    <t xml:space="preserve">Trailblazer Monetization</t>
  </si>
  <si>
    <t xml:space="preserve">Highlands</t>
  </si>
  <si>
    <t xml:space="preserve">Seagull </t>
  </si>
  <si>
    <t xml:space="preserve">Radio Towers </t>
  </si>
  <si>
    <t xml:space="preserve">Crockett County Facilities</t>
  </si>
  <si>
    <t xml:space="preserve">Montana Facilities</t>
  </si>
  <si>
    <t xml:space="preserve">Hobbs Processing Co. Gain Adjustment</t>
  </si>
  <si>
    <t xml:space="preserve">Elk City </t>
  </si>
  <si>
    <t xml:space="preserve">MOPS Monetization</t>
  </si>
  <si>
    <t xml:space="preserve">Zavala</t>
  </si>
  <si>
    <t xml:space="preserve">ECS Deals</t>
  </si>
  <si>
    <t xml:space="preserve">Unidentified Stretch</t>
  </si>
  <si>
    <t xml:space="preserve">Total Gain on Asset Sales</t>
  </si>
  <si>
    <t xml:space="preserve">RESERVES</t>
  </si>
  <si>
    <t xml:space="preserve">Conoco Reserve (Other Deductions)</t>
  </si>
  <si>
    <t xml:space="preserve">LSP Whitewater Reserve (Other Revenue)</t>
  </si>
  <si>
    <t xml:space="preserve">DDVC Reserve (Other Revenue)</t>
  </si>
  <si>
    <t xml:space="preserve">GSR Reserve (Other Deductions)</t>
  </si>
  <si>
    <t xml:space="preserve">Guebarra / Panda Litigation (O&amp;M Direct)</t>
  </si>
  <si>
    <t xml:space="preserve">Bad Debt Reversal (O&amp;M Direct)</t>
  </si>
  <si>
    <t xml:space="preserve">Severance / Relocation (O&amp;M Direct)</t>
  </si>
  <si>
    <t xml:space="preserve">Fuel / UAF (1994/1995) Issue (Fuel)</t>
  </si>
  <si>
    <t xml:space="preserve">Temeron Litigation (Other Deduct.)</t>
  </si>
  <si>
    <t xml:space="preserve">MUD / Midwest Reserve (Other Deductions)</t>
  </si>
  <si>
    <t xml:space="preserve">Kennedy-Mitchell Litigation (Other Deduct.)</t>
  </si>
  <si>
    <t xml:space="preserve">1999 Reserve Building (Other Deductions)</t>
  </si>
  <si>
    <t xml:space="preserve">Rate Case Activity (Trans. Rev.)</t>
  </si>
  <si>
    <t xml:space="preserve">Rate Case Refund Contingency (Trans. Rev.)</t>
  </si>
  <si>
    <t xml:space="preserve">Total Reserves</t>
  </si>
  <si>
    <t xml:space="preserve">OTHER</t>
  </si>
  <si>
    <t xml:space="preserve">Suspense Gas (Sales Margin)</t>
  </si>
  <si>
    <t xml:space="preserve">Post 7/94 PGA Reconciliation Adj. (COS)</t>
  </si>
  <si>
    <t xml:space="preserve">Rate Case - Seasonal (Trans. Rev. Only in 1999)</t>
  </si>
  <si>
    <t xml:space="preserve">- Higher Filed (Billed) vs. Settled Rates (Trans. Rev.)</t>
  </si>
  <si>
    <t xml:space="preserve">- November (11/98) Revenues to Keep (Trans. Rev.)</t>
  </si>
  <si>
    <t xml:space="preserve">- Global Settlement Refund Floor (Trans. Rev.)</t>
  </si>
  <si>
    <t xml:space="preserve">Stranger's Gas (Trans. Revenue)</t>
  </si>
  <si>
    <t xml:space="preserve">Mobil Contract Renegotiation (Trans. Rev.)</t>
  </si>
  <si>
    <t xml:space="preserve">PPA Deferrals (Transport Revenue ??)</t>
  </si>
  <si>
    <t xml:space="preserve">14.0 Bcf Operational Storage (Trans. Rev.)</t>
  </si>
  <si>
    <t xml:space="preserve">ANR Settlement (Transport Revenue)</t>
  </si>
  <si>
    <t xml:space="preserve">Structured Products (Other Revenue)</t>
  </si>
  <si>
    <t xml:space="preserve">KN Option Payment (Other Revenue)</t>
  </si>
  <si>
    <t xml:space="preserve">Trailblazer Linepack Sale (Other Revenue)</t>
  </si>
  <si>
    <t xml:space="preserve">ANR Cushion Gas Sale (Other Revenue)</t>
  </si>
  <si>
    <t xml:space="preserve">Y2K Deferral (O&amp;M Direct)  (3.5 exp. Deferred)</t>
  </si>
  <si>
    <t xml:space="preserve">Annual Incentive Acctg. (O&amp;M Direct)</t>
  </si>
  <si>
    <t xml:space="preserve">HR, Variable Pay, EDS Capitalization (O&amp;M Dir.)</t>
  </si>
  <si>
    <t xml:space="preserve">Amoco / Matagorda Insurance Refund (O&amp;M Dir.)</t>
  </si>
  <si>
    <t xml:space="preserve">Mrkt Development Costs Cap. (O&amp;M Direct)</t>
  </si>
  <si>
    <t xml:space="preserve">Various Storage Adjustment (O&amp;M Direct ??)</t>
  </si>
  <si>
    <t xml:space="preserve">TETCO,Mrkt Support,MI Insurance(O&amp;M Dir.)</t>
  </si>
  <si>
    <t xml:space="preserve">Contract Terminations Impact (O&amp;M Direct)</t>
  </si>
  <si>
    <t xml:space="preserve">Beck / PROS / Work Order Write-offs (O&amp;M Direct)</t>
  </si>
  <si>
    <t xml:space="preserve">DOT User Fees (O&amp;M Dir. - Reverse in 2000)</t>
  </si>
  <si>
    <t xml:space="preserve">FAS 106 Adjustments (O&amp;M Direct)</t>
  </si>
  <si>
    <t xml:space="preserve">Corporate Allocations Credit (O&amp;M Direct)</t>
  </si>
  <si>
    <t xml:space="preserve">IMP Adjustment (O&amp;M Direct)</t>
  </si>
  <si>
    <t xml:space="preserve">EIS Underbilled (O&amp;M GPG-Reverse in 2000)</t>
  </si>
  <si>
    <t xml:space="preserve">Severance / Pension (FAS 87) (O&amp;M GPG)</t>
  </si>
  <si>
    <t xml:space="preserve">South Georgia Adjustment (Reg. Amort.)</t>
  </si>
  <si>
    <t xml:space="preserve">Regulatory Com. Exp. Adj. (Reg. Amort.)</t>
  </si>
  <si>
    <t xml:space="preserve">West Texas Order 528 Writeoff (Reg. Amort.)</t>
  </si>
  <si>
    <t xml:space="preserve">EOG Settle. &amp; TCR/TOP Adj. (Reg. Amort.)</t>
  </si>
  <si>
    <t xml:space="preserve">Reverse WACOG Price Differential (Fuel)</t>
  </si>
  <si>
    <t xml:space="preserve">Various DD&amp;A Adjustments (DD&amp;A)</t>
  </si>
  <si>
    <t xml:space="preserve">Rate Case - 1998 Prior Yr. Adjustments (DD&amp;A)</t>
  </si>
  <si>
    <t xml:space="preserve">- Prior Yrs. Salvage Value Adjustments (DD&amp;A)</t>
  </si>
  <si>
    <t xml:space="preserve">Ad Valorem Tax Adjust. (Other Taxes) </t>
  </si>
  <si>
    <t xml:space="preserve">CWIP Capitalization Adj. (Other Taxes)</t>
  </si>
  <si>
    <t xml:space="preserve">Minnesota Ad Valorem Tax Rate (Other Tax.)</t>
  </si>
  <si>
    <t xml:space="preserve">Tx Franchise Tax Refund / Adj. (Other Taxes)</t>
  </si>
  <si>
    <t xml:space="preserve">Minn. Compressor Fuel Tax (Other Taxes)</t>
  </si>
  <si>
    <t xml:space="preserve">South Dakota Sales Tax Adj. (Other Taxes)</t>
  </si>
  <si>
    <t xml:space="preserve">Columbia Buyout Fee (Partner. Income)</t>
  </si>
  <si>
    <t xml:space="preserve">Deferred Taxes Charge (Partnership Income)</t>
  </si>
  <si>
    <t xml:space="preserve">Reverse Auction True-Up (Interest Income)</t>
  </si>
  <si>
    <t xml:space="preserve">Permian Earnest Money Refund (Other Inc.)</t>
  </si>
  <si>
    <t xml:space="preserve">Kansas Ad Val. Tax Refund (Other Income)</t>
  </si>
  <si>
    <t xml:space="preserve">IGIC II Settlement (Other Income)</t>
  </si>
  <si>
    <t xml:space="preserve">Simpson Formation Settlement (Other Inc.)</t>
  </si>
  <si>
    <t xml:space="preserve">Acct. / Regulatory Overview (Other Income)</t>
  </si>
  <si>
    <t xml:space="preserve">Interest Rate Lock Termination (Other Income)</t>
  </si>
  <si>
    <t xml:space="preserve">PGA Reconciliation Adj. (Other Deductions)</t>
  </si>
  <si>
    <t xml:space="preserve">Coyanosa Escrow (Other Deductions)</t>
  </si>
  <si>
    <t xml:space="preserve">Temeron Settlement (Other Deductions)</t>
  </si>
  <si>
    <t xml:space="preserve">Bear Paw / KMI Litigation Settlement (Other Ded.)</t>
  </si>
  <si>
    <t xml:space="preserve">Bear Paw Acct. Mitigation Impact (Other Ded.)</t>
  </si>
  <si>
    <t xml:space="preserve">Latex Stock Sale Indemnification (Other Ded.)</t>
  </si>
  <si>
    <t xml:space="preserve">Panda A/R Writeoff (Other Deductions</t>
  </si>
  <si>
    <t xml:space="preserve">Total Other</t>
  </si>
  <si>
    <t xml:space="preserve">TRANSWESTERN PIPELINE GROUP</t>
  </si>
  <si>
    <t xml:space="preserve">1993 *</t>
  </si>
  <si>
    <t xml:space="preserve">1994 *</t>
  </si>
  <si>
    <t xml:space="preserve">1995 *</t>
  </si>
  <si>
    <t xml:space="preserve">Margins (Including GRI, ACA &amp; TCR) </t>
  </si>
  <si>
    <t xml:space="preserve">Demand</t>
  </si>
  <si>
    <t xml:space="preserve">Commodity</t>
  </si>
  <si>
    <t xml:space="preserve">Santa Fe Amortization</t>
  </si>
  <si>
    <t xml:space="preserve">Total</t>
  </si>
  <si>
    <t xml:space="preserve">Regulatory Amortization - Other</t>
  </si>
  <si>
    <t xml:space="preserve">- TCR II</t>
  </si>
  <si>
    <t xml:space="preserve">- Mini Settlement Amortization</t>
  </si>
  <si>
    <t xml:space="preserve">- Global Settlement Amortization</t>
  </si>
  <si>
    <t xml:space="preserve">Fuel - Retained / Used</t>
  </si>
  <si>
    <t xml:space="preserve">- UAF</t>
  </si>
  <si>
    <t xml:space="preserve">- Gallup Net Fuel / Electric</t>
  </si>
  <si>
    <t xml:space="preserve">- Fair Value Amortization</t>
  </si>
  <si>
    <t xml:space="preserve">Other Taxes - Ad Valorem </t>
  </si>
  <si>
    <t xml:space="preserve">- Payroll / Franchise / Navajo</t>
  </si>
  <si>
    <t xml:space="preserve">SoCal Turnback Shared Cost Surcharge (Tran.Rev.)</t>
  </si>
  <si>
    <t xml:space="preserve">Non Recurring Non IBIT Items</t>
  </si>
  <si>
    <t xml:space="preserve">AFUDC Reserve / Compliance Adjustment</t>
  </si>
  <si>
    <t xml:space="preserve">State Income Tax Adjustments</t>
  </si>
  <si>
    <t xml:space="preserve">Net Income Before Fin.Costs ('93-'96 W/O FVA) </t>
  </si>
  <si>
    <t xml:space="preserve">Note: Gallup 2000 - 2002 Plan</t>
  </si>
  <si>
    <t xml:space="preserve">Revenue             </t>
  </si>
  <si>
    <t xml:space="preserve">Net Fuel/Electric               </t>
  </si>
  <si>
    <t xml:space="preserve">*</t>
  </si>
  <si>
    <t xml:space="preserve">Detailed Financial Information Not Available. Based on Brown Cover Financials Only.</t>
  </si>
  <si>
    <t xml:space="preserve">Gas Premium</t>
  </si>
  <si>
    <t xml:space="preserve">Expenses</t>
  </si>
  <si>
    <t xml:space="preserve">IBIT</t>
  </si>
  <si>
    <t xml:space="preserve">AFUDC / Interest Lost</t>
  </si>
  <si>
    <t xml:space="preserve">Total Pre-Tax</t>
  </si>
  <si>
    <t xml:space="preserve">Gathering Income (Assumed O&amp;M Exp.Only) </t>
  </si>
  <si>
    <t xml:space="preserve">Burton Flats</t>
  </si>
  <si>
    <t xml:space="preserve">Brillhart</t>
  </si>
  <si>
    <t xml:space="preserve">Compressor Monetization</t>
  </si>
  <si>
    <t xml:space="preserve">Pyote / Oates</t>
  </si>
  <si>
    <t xml:space="preserve">Puckett Facilities</t>
  </si>
  <si>
    <t xml:space="preserve">Other Regulatory Reserves (O&amp;M Direct)</t>
  </si>
  <si>
    <t xml:space="preserve">Environmental Reserve (O&amp;M Direct)</t>
  </si>
  <si>
    <t xml:space="preserve">FERC Audit / *W/O* AFUDC (O&amp;M Direct)</t>
  </si>
  <si>
    <t xml:space="preserve">Environmental Cleanup (O&amp;M Direct)</t>
  </si>
  <si>
    <t xml:space="preserve">Uncollectible Accts. (Reg. Amortization)</t>
  </si>
  <si>
    <t xml:space="preserve">Monsanto Litigation (Other Deductions)</t>
  </si>
  <si>
    <t xml:space="preserve">Mewbourne Reserve (Other Deductions)</t>
  </si>
  <si>
    <t xml:space="preserve">Line Pack Revaluation (Sales Margin)</t>
  </si>
  <si>
    <t xml:space="preserve">Aquila Contract Buyout (Transport Revenue)</t>
  </si>
  <si>
    <t xml:space="preserve">Ignacio / Blanco (Transport Revenue)</t>
  </si>
  <si>
    <t xml:space="preserve">OBA Revaluation (Other Revenue)</t>
  </si>
  <si>
    <t xml:space="preserve">Bloomfield / Bisti Buyout (Other Revenue)</t>
  </si>
  <si>
    <t xml:space="preserve">PGE Dispute (Other Rev. - Reverse in 2000)</t>
  </si>
  <si>
    <t xml:space="preserve">Grynburg Legal Fees (O&amp;M Dir.-Rev. in 2000)</t>
  </si>
  <si>
    <t xml:space="preserve">Y2K Deferral (O&amp;M Direct)  (.4 exp. Deferred)</t>
  </si>
  <si>
    <t xml:space="preserve">PROS Write-off (O&amp;M Direct)</t>
  </si>
  <si>
    <t xml:space="preserve">FERC Audit/*W/O*AFUDC Comp.(O&amp;M Dir.)</t>
  </si>
  <si>
    <t xml:space="preserve">Environmental Cleanup Costs (O&amp;M Direct)</t>
  </si>
  <si>
    <t xml:space="preserve">Mewbourne Settlement Absorb. (O&amp;M Direct)</t>
  </si>
  <si>
    <t xml:space="preserve">UAF Adjustment (O&amp;M Direct in 1993)</t>
  </si>
  <si>
    <t xml:space="preserve">Corporate Allocation Credit (O&amp;M Direct)</t>
  </si>
  <si>
    <t xml:space="preserve">Annual Incentive Accounting (O&amp;M GPG)</t>
  </si>
  <si>
    <t xml:space="preserve">Insurance Adjustment (O&amp;M GPG)</t>
  </si>
  <si>
    <t xml:space="preserve">Increase PGAR Filing Cap. (Reg. Amort.)</t>
  </si>
  <si>
    <t xml:space="preserve">UAF Fuel Issue (Fuel - Reverse in 2000)</t>
  </si>
  <si>
    <t xml:space="preserve">UAF Accrual / Reversal (Fuel)</t>
  </si>
  <si>
    <t xml:space="preserve">Depreciation Adjustments (DD&amp;A)</t>
  </si>
  <si>
    <t xml:space="preserve">Depreciation Rate 1.2% vs 1.7% (DD&amp;A)</t>
  </si>
  <si>
    <t xml:space="preserve">Texas Franchise Tax Refund ( Other Taxes)</t>
  </si>
  <si>
    <t xml:space="preserve">New Mexico Sales Tax Adj. (Other Taxes)</t>
  </si>
  <si>
    <t xml:space="preserve">CWIP Capitalization / Ad Valorem Tax Adj.</t>
  </si>
  <si>
    <t xml:space="preserve">Order 751 Abandonment (Other Income)</t>
  </si>
  <si>
    <t xml:space="preserve">Mewbourne Sev. Tax Settle. (Net-Other Inc.)</t>
  </si>
  <si>
    <t xml:space="preserve">Gallup - Gas Premium</t>
  </si>
  <si>
    <t xml:space="preserve">Misc.</t>
  </si>
</sst>
</file>

<file path=xl/styles.xml><?xml version="1.0" encoding="utf-8"?>
<styleSheet xmlns="http://schemas.openxmlformats.org/spreadsheetml/2006/main">
  <numFmts count="40">
    <numFmt numFmtId="164" formatCode="General"/>
    <numFmt numFmtId="165" formatCode="[$-409]#,##0_);[RED]\(#,##0\)"/>
    <numFmt numFmtId="166" formatCode="_(* #,##0_);_(* \(#,##0\);_(* \-_);_(@_)"/>
    <numFmt numFmtId="167" formatCode="\$#,##0.0_);[RED]&quot;($&quot;#,##0.0\)"/>
    <numFmt numFmtId="168" formatCode="#,##0.0000_);\(#,##0.0000\);_ &quot;-  &quot;"/>
    <numFmt numFmtId="169" formatCode="_-* #,##0_-;\-* #,##0_-;_-* \-_-;_-@_-"/>
    <numFmt numFmtId="170" formatCode="[$-409]#,##0.00_);[RED]\(#,##0.00\)"/>
    <numFmt numFmtId="171" formatCode="_(* #,##0.00_);_(* \(#,##0.00\);_(* \-??_);_(@_)"/>
    <numFmt numFmtId="172" formatCode="_-* #,##0.00_-;\-* #,##0.00_-;_-* \-??_-;_-@_-"/>
    <numFmt numFmtId="173" formatCode="&quot;$  &quot;#,##0.0_);[RED]&quot;($  &quot;#,##0.0\)"/>
    <numFmt numFmtId="174" formatCode="0.0%_;\(0\.0\)%;&quot; -   &quot;"/>
    <numFmt numFmtId="175" formatCode="#,##0.00"/>
    <numFmt numFmtId="176" formatCode="\$#,##0_);[RED]&quot;($&quot;#,##0\)"/>
    <numFmt numFmtId="177" formatCode="_(\$* #,##0_);_(\$* \(#,##0\);_(\$* \-_);_(@_)"/>
    <numFmt numFmtId="178" formatCode="\$#,##0;[RED]&quot;-$&quot;#,##0"/>
    <numFmt numFmtId="179" formatCode="\£#,##0;[RED]&quot;-£&quot;#,##0"/>
    <numFmt numFmtId="180" formatCode="_-\£* #,##0_-;&quot;-£&quot;* #,##0_-;_-\£* \-_-;_-@_-"/>
    <numFmt numFmtId="181" formatCode="_(* #,##0.0_);_(* \(#,##0.0\);_(* \-_);_(@_)"/>
    <numFmt numFmtId="182" formatCode="#,##0_);[RED]\(#,##0\);\-"/>
    <numFmt numFmtId="183" formatCode="_-\$* #,##0_-;&quot;-$&quot;* #,##0_-;_-\$* \-_-;_-@_-"/>
    <numFmt numFmtId="184" formatCode="\$#,##0.00_);[RED]&quot;($&quot;#,##0.00\)"/>
    <numFmt numFmtId="185" formatCode="_(\$* #,##0.00_);_(\$* \(#,##0.00\);_(\$* \-??_);_(@_)"/>
    <numFmt numFmtId="186" formatCode="\$#,##0.00;[RED]&quot;-$&quot;#,##0.00"/>
    <numFmt numFmtId="187" formatCode="\£#,##0.00;[RED]&quot;-£&quot;#,##0.00"/>
    <numFmt numFmtId="188" formatCode="_-\£* #,##0.00_-;&quot;-£&quot;* #,##0.00_-;_-\£* \-??_-;_-@_-"/>
    <numFmt numFmtId="189" formatCode="0.0_%;\(0.0\)%;&quot; -   &quot;"/>
    <numFmt numFmtId="190" formatCode="&quot;$  &quot;#,##0_);[RED]&quot;($  &quot;#,##0\)"/>
    <numFmt numFmtId="191" formatCode="_-\$* #,##0.00_-;&quot;-$&quot;* #,##0.00_-;_-\$* \-??_-;_-@_-"/>
    <numFmt numFmtId="192" formatCode="\$#,##0;&quot;-$&quot;#,##0"/>
    <numFmt numFmtId="193" formatCode="[$-409]#,##0_);\(#,##0\)"/>
    <numFmt numFmtId="194" formatCode="0.00_)"/>
    <numFmt numFmtId="195" formatCode="#,##0.0_);\(#,##0.0\)"/>
    <numFmt numFmtId="196" formatCode="#,##0"/>
    <numFmt numFmtId="197" formatCode="General_)"/>
    <numFmt numFmtId="198" formatCode="0.00%"/>
    <numFmt numFmtId="199" formatCode="0%"/>
    <numFmt numFmtId="200" formatCode="[$-409]m/d/yyyy"/>
    <numFmt numFmtId="201" formatCode="_(* #,##0.0_);_(* \(#,##0.0\);_(* \-??_);_(@_)"/>
    <numFmt numFmtId="202" formatCode="0.0_);\(0.0\)"/>
    <numFmt numFmtId="203" formatCode="[$-409]d\-mmm\-yy"/>
  </numFmts>
  <fonts count="4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.5"/>
      <name val="Courier New"/>
      <family val="0"/>
    </font>
    <font>
      <sz val="10"/>
      <name val="MS Sans Serif"/>
      <family val="0"/>
    </font>
    <font>
      <sz val="10"/>
      <name val="MS Sans Serif"/>
      <family val="2"/>
    </font>
    <font>
      <b val="true"/>
      <sz val="9.85"/>
      <name val="Times New Roman"/>
      <family val="0"/>
    </font>
    <font>
      <b val="true"/>
      <sz val="12"/>
      <name val="Times New Roman"/>
      <family val="0"/>
    </font>
    <font>
      <sz val="8"/>
      <name val="Times New Roman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i val="true"/>
      <sz val="16"/>
      <name val="Arial"/>
      <family val="0"/>
    </font>
    <font>
      <sz val="12"/>
      <name val="Arial"/>
      <family val="0"/>
    </font>
    <font>
      <sz val="8"/>
      <name val="Arial"/>
      <family val="0"/>
    </font>
    <font>
      <sz val="12"/>
      <name val="Arial MT"/>
      <family val="0"/>
    </font>
    <font>
      <sz val="11"/>
      <name val="Arial"/>
      <family val="0"/>
    </font>
    <font>
      <sz val="10"/>
      <name val="Times New Roman"/>
      <family val="0"/>
    </font>
    <font>
      <sz val="10"/>
      <name val="SWISS"/>
      <family val="0"/>
    </font>
    <font>
      <sz val="8"/>
      <name val="SWISS"/>
      <family val="0"/>
    </font>
    <font>
      <sz val="10"/>
      <name val="Times New Roman"/>
      <family val="1"/>
    </font>
    <font>
      <sz val="9"/>
      <name val="Arial"/>
      <family val="0"/>
    </font>
    <font>
      <sz val="12"/>
      <name val="Century Schoolbook"/>
      <family val="0"/>
    </font>
    <font>
      <sz val="10"/>
      <name val="Univers (W1)"/>
      <family val="0"/>
    </font>
    <font>
      <sz val="12"/>
      <name val="Times New Roman"/>
      <family val="0"/>
    </font>
    <font>
      <sz val="10"/>
      <name val="Geneva"/>
      <family val="0"/>
    </font>
    <font>
      <sz val="12"/>
      <name val="SWISS"/>
      <family val="0"/>
    </font>
    <font>
      <sz val="10"/>
      <name val="Courier New"/>
      <family val="0"/>
    </font>
    <font>
      <sz val="10"/>
      <color rgb="FF000000"/>
      <name val="MS Sans Serif"/>
      <family val="0"/>
    </font>
    <font>
      <sz val="7"/>
      <name val="Arial Narrow"/>
      <family val="2"/>
    </font>
    <font>
      <sz val="9.85"/>
      <name val="Times New Roman"/>
      <family val="0"/>
    </font>
    <font>
      <b val="true"/>
      <sz val="12"/>
      <color rgb="FF0000FF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008000"/>
      <name val="Arial"/>
      <family val="2"/>
    </font>
    <font>
      <sz val="10"/>
      <color rgb="FFFF9900"/>
      <name val="Arial"/>
      <family val="2"/>
    </font>
    <font>
      <sz val="10"/>
      <color rgb="FFFF6600"/>
      <name val="Arial"/>
      <family val="2"/>
    </font>
    <font>
      <sz val="10"/>
      <color rgb="FF000000"/>
      <name val="Arial"/>
      <family val="2"/>
    </font>
    <font>
      <sz val="6"/>
      <name val="Arial"/>
      <family val="2"/>
    </font>
    <font>
      <b val="true"/>
      <sz val="10"/>
      <name val="Arial"/>
      <family val="0"/>
    </font>
    <font>
      <sz val="10"/>
      <color rgb="FFFF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71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fals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1" fontId="0" fillId="0" borderId="0" applyFont="false" applyBorder="false" applyAlignment="false" applyProtection="false"/>
    <xf numFmtId="171" fontId="0" fillId="0" borderId="0" applyFont="fals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0" applyFont="false" applyBorder="false" applyAlignment="false" applyProtection="false"/>
    <xf numFmtId="171" fontId="0" fillId="0" borderId="0" applyFont="false" applyBorder="false" applyAlignment="false" applyProtection="false"/>
    <xf numFmtId="171" fontId="0" fillId="0" borderId="0" applyFont="false" applyBorder="false" applyAlignment="false" applyProtection="false"/>
    <xf numFmtId="165" fontId="6" fillId="0" borderId="0" applyFont="true" applyBorder="false" applyAlignment="false" applyProtection="false"/>
    <xf numFmtId="165" fontId="6" fillId="0" borderId="0" applyFont="true" applyBorder="false" applyAlignment="false" applyProtection="false"/>
    <xf numFmtId="165" fontId="6" fillId="0" borderId="0" applyFont="true" applyBorder="false" applyAlignment="false" applyProtection="false"/>
    <xf numFmtId="165" fontId="6" fillId="0" borderId="0" applyFont="true" applyBorder="false" applyAlignment="false" applyProtection="false"/>
    <xf numFmtId="165" fontId="6" fillId="0" borderId="0" applyFont="true" applyBorder="false" applyAlignment="false" applyProtection="false"/>
    <xf numFmtId="165" fontId="6" fillId="0" borderId="0" applyFont="true" applyBorder="false" applyAlignment="false" applyProtection="false"/>
    <xf numFmtId="165" fontId="6" fillId="0" borderId="0" applyFont="true" applyBorder="false" applyAlignment="false" applyProtection="false"/>
    <xf numFmtId="172" fontId="0" fillId="0" borderId="0" applyFont="false" applyBorder="false" applyAlignment="false" applyProtection="false"/>
    <xf numFmtId="172" fontId="0" fillId="0" borderId="0" applyFont="false" applyBorder="false" applyAlignment="false" applyProtection="false"/>
    <xf numFmtId="172" fontId="0" fillId="0" borderId="0" applyFont="false" applyBorder="false" applyAlignment="false" applyProtection="false"/>
    <xf numFmtId="171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65" fontId="6" fillId="0" borderId="0" applyFont="true" applyBorder="false" applyAlignment="false" applyProtection="false"/>
    <xf numFmtId="165" fontId="6" fillId="0" borderId="0" applyFont="true" applyBorder="false" applyAlignment="false" applyProtection="false"/>
    <xf numFmtId="165" fontId="6" fillId="0" borderId="0" applyFont="true" applyBorder="false" applyAlignment="false" applyProtection="false"/>
    <xf numFmtId="165" fontId="6" fillId="0" borderId="0" applyFont="true" applyBorder="false" applyAlignment="false" applyProtection="false"/>
    <xf numFmtId="165" fontId="6" fillId="0" borderId="0" applyFont="true" applyBorder="false" applyAlignment="false" applyProtection="false"/>
    <xf numFmtId="165" fontId="6" fillId="0" borderId="0" applyFont="true" applyBorder="false" applyAlignment="false" applyProtection="false"/>
    <xf numFmtId="165" fontId="6" fillId="0" borderId="0" applyFont="true" applyBorder="false" applyAlignment="false" applyProtection="false"/>
    <xf numFmtId="165" fontId="6" fillId="0" borderId="0" applyFont="true" applyBorder="false" applyAlignment="false" applyProtection="false"/>
    <xf numFmtId="172" fontId="0" fillId="0" borderId="0" applyFont="false" applyBorder="false" applyAlignment="false" applyProtection="false"/>
    <xf numFmtId="172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1" fontId="0" fillId="0" borderId="0" applyFont="false" applyBorder="false" applyAlignment="false" applyProtection="false"/>
    <xf numFmtId="171" fontId="0" fillId="0" borderId="0" applyFont="false" applyBorder="false" applyAlignment="false" applyProtection="false"/>
    <xf numFmtId="172" fontId="0" fillId="0" borderId="0" applyFont="false" applyBorder="false" applyAlignment="false" applyProtection="false"/>
    <xf numFmtId="172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2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1" fontId="0" fillId="0" borderId="0" applyFont="false" applyBorder="false" applyAlignment="false" applyProtection="false"/>
    <xf numFmtId="171" fontId="0" fillId="0" borderId="0" applyFont="false" applyBorder="false" applyAlignment="false" applyProtection="false"/>
    <xf numFmtId="171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2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3" fontId="0" fillId="0" borderId="0" applyFont="false" applyBorder="false" applyAlignment="false" applyProtection="false"/>
    <xf numFmtId="171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4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3" fontId="0" fillId="0" borderId="0" applyFont="false" applyBorder="false" applyAlignment="false" applyProtection="false"/>
    <xf numFmtId="174" fontId="0" fillId="0" borderId="0" applyFont="false" applyBorder="false" applyAlignment="false" applyProtection="false"/>
    <xf numFmtId="172" fontId="0" fillId="0" borderId="0" applyFont="false" applyBorder="false" applyAlignment="false" applyProtection="false"/>
    <xf numFmtId="174" fontId="0" fillId="0" borderId="0" applyFont="false" applyBorder="false" applyAlignment="false" applyProtection="false"/>
    <xf numFmtId="172" fontId="0" fillId="0" borderId="0" applyFont="false" applyBorder="false" applyAlignment="false" applyProtection="false"/>
    <xf numFmtId="172" fontId="0" fillId="0" borderId="0" applyFont="false" applyBorder="false" applyAlignment="false" applyProtection="false"/>
    <xf numFmtId="171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4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2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1" fontId="0" fillId="0" borderId="0" applyFont="false" applyBorder="false" applyAlignment="false" applyProtection="false"/>
    <xf numFmtId="175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2" fontId="0" fillId="0" borderId="0" applyFont="false" applyBorder="false" applyAlignment="false" applyProtection="false"/>
    <xf numFmtId="172" fontId="0" fillId="0" borderId="0" applyFont="false" applyBorder="false" applyAlignment="false" applyProtection="false"/>
    <xf numFmtId="172" fontId="0" fillId="0" borderId="0" applyFont="false" applyBorder="false" applyAlignment="false" applyProtection="false"/>
    <xf numFmtId="172" fontId="0" fillId="0" borderId="0" applyFont="false" applyBorder="false" applyAlignment="false" applyProtection="false"/>
    <xf numFmtId="172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2" fontId="0" fillId="0" borderId="0" applyFont="false" applyBorder="false" applyAlignment="false" applyProtection="false"/>
    <xf numFmtId="165" fontId="6" fillId="0" borderId="0" applyFont="true" applyBorder="false" applyAlignment="false" applyProtection="false"/>
    <xf numFmtId="171" fontId="0" fillId="0" borderId="0" applyFont="false" applyBorder="false" applyAlignment="false" applyProtection="false"/>
    <xf numFmtId="171" fontId="0" fillId="0" borderId="0" applyFont="false" applyBorder="false" applyAlignment="false" applyProtection="false"/>
    <xf numFmtId="171" fontId="0" fillId="0" borderId="0" applyFont="false" applyBorder="false" applyAlignment="false" applyProtection="false"/>
    <xf numFmtId="171" fontId="0" fillId="0" borderId="0" applyFont="false" applyBorder="false" applyAlignment="false" applyProtection="false"/>
    <xf numFmtId="171" fontId="0" fillId="0" borderId="0" applyFont="false" applyBorder="false" applyAlignment="false" applyProtection="false"/>
    <xf numFmtId="171" fontId="0" fillId="0" borderId="0" applyFont="false" applyBorder="false" applyAlignment="false" applyProtection="false"/>
    <xf numFmtId="172" fontId="0" fillId="0" borderId="0" applyFont="false" applyBorder="false" applyAlignment="false" applyProtection="false"/>
    <xf numFmtId="172" fontId="0" fillId="0" borderId="0" applyFont="false" applyBorder="false" applyAlignment="false" applyProtection="false"/>
    <xf numFmtId="172" fontId="0" fillId="0" borderId="0" applyFont="false" applyBorder="false" applyAlignment="false" applyProtection="false"/>
    <xf numFmtId="172" fontId="0" fillId="0" borderId="0" applyFont="false" applyBorder="false" applyAlignment="false" applyProtection="false"/>
    <xf numFmtId="172" fontId="0" fillId="0" borderId="0" applyFont="false" applyBorder="false" applyAlignment="false" applyProtection="false"/>
    <xf numFmtId="172" fontId="0" fillId="0" borderId="0" applyFont="false" applyBorder="false" applyAlignment="false" applyProtection="false"/>
    <xf numFmtId="172" fontId="0" fillId="0" borderId="0" applyFont="false" applyBorder="false" applyAlignment="false" applyProtection="false"/>
    <xf numFmtId="172" fontId="0" fillId="0" borderId="0" applyFont="false" applyBorder="false" applyAlignment="false" applyProtection="false"/>
    <xf numFmtId="171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1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1" fontId="0" fillId="0" borderId="0" applyFont="false" applyBorder="false" applyAlignment="false" applyProtection="false"/>
    <xf numFmtId="171" fontId="0" fillId="0" borderId="0" applyFont="false" applyBorder="false" applyAlignment="false" applyProtection="false"/>
    <xf numFmtId="171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1" fontId="0" fillId="0" borderId="0" applyFont="false" applyBorder="false" applyAlignment="false" applyProtection="false"/>
    <xf numFmtId="172" fontId="0" fillId="0" borderId="0" applyFont="false" applyBorder="false" applyAlignment="false" applyProtection="false"/>
    <xf numFmtId="171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2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6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78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78" fontId="0" fillId="0" borderId="0" applyFont="false" applyBorder="false" applyAlignment="false" applyProtection="false"/>
    <xf numFmtId="178" fontId="0" fillId="0" borderId="0" applyFont="false" applyBorder="false" applyAlignment="false" applyProtection="false"/>
    <xf numFmtId="178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8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8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81" fontId="0" fillId="0" borderId="0" applyFont="false" applyBorder="false" applyAlignment="false" applyProtection="false"/>
    <xf numFmtId="182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183" fontId="0" fillId="0" borderId="0" applyFont="false" applyBorder="false" applyAlignment="false" applyProtection="false"/>
    <xf numFmtId="181" fontId="0" fillId="0" borderId="0" applyFont="false" applyBorder="false" applyAlignment="false" applyProtection="false"/>
    <xf numFmtId="182" fontId="0" fillId="0" borderId="0" applyFont="false" applyBorder="false" applyAlignment="false" applyProtection="false"/>
    <xf numFmtId="181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83" fontId="0" fillId="0" borderId="0" applyFont="false" applyBorder="false" applyAlignment="false" applyProtection="false"/>
    <xf numFmtId="181" fontId="0" fillId="0" borderId="0" applyFont="false" applyBorder="false" applyAlignment="false" applyProtection="false"/>
    <xf numFmtId="178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81" fontId="0" fillId="0" borderId="0" applyFont="false" applyBorder="false" applyAlignment="false" applyProtection="false"/>
    <xf numFmtId="178" fontId="0" fillId="0" borderId="0" applyFont="false" applyBorder="false" applyAlignment="false" applyProtection="false"/>
    <xf numFmtId="178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83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8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8" fontId="0" fillId="0" borderId="0" applyFont="false" applyBorder="false" applyAlignment="false" applyProtection="false"/>
    <xf numFmtId="178" fontId="0" fillId="0" borderId="0" applyFont="false" applyBorder="false" applyAlignment="false" applyProtection="false"/>
    <xf numFmtId="178" fontId="0" fillId="0" borderId="0" applyFont="false" applyBorder="false" applyAlignment="false" applyProtection="false"/>
    <xf numFmtId="178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83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78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8" fontId="0" fillId="0" borderId="0" applyFont="false" applyBorder="false" applyAlignment="false" applyProtection="false"/>
    <xf numFmtId="178" fontId="0" fillId="0" borderId="0" applyFont="false" applyBorder="false" applyAlignment="false" applyProtection="false"/>
    <xf numFmtId="178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64" fontId="8" fillId="0" border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4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6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6" fontId="0" fillId="0" borderId="0" applyFont="false" applyBorder="false" applyAlignment="false" applyProtection="false"/>
    <xf numFmtId="186" fontId="0" fillId="0" borderId="0" applyFont="false" applyBorder="false" applyAlignment="false" applyProtection="false"/>
    <xf numFmtId="186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6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7" fontId="0" fillId="0" borderId="0" applyFont="false" applyBorder="false" applyAlignment="false" applyProtection="false"/>
    <xf numFmtId="186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8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9" fontId="0" fillId="0" borderId="0" applyFont="false" applyBorder="false" applyAlignment="false" applyProtection="false"/>
    <xf numFmtId="190" fontId="0" fillId="0" borderId="0" applyFont="false" applyBorder="false" applyAlignment="false" applyProtection="false"/>
    <xf numFmtId="188" fontId="0" fillId="0" borderId="0" applyFont="false" applyBorder="false" applyAlignment="false" applyProtection="false"/>
    <xf numFmtId="191" fontId="0" fillId="0" borderId="0" applyFont="false" applyBorder="false" applyAlignment="false" applyProtection="false"/>
    <xf numFmtId="189" fontId="0" fillId="0" borderId="0" applyFont="false" applyBorder="false" applyAlignment="false" applyProtection="false"/>
    <xf numFmtId="190" fontId="0" fillId="0" borderId="0" applyFont="false" applyBorder="false" applyAlignment="false" applyProtection="false"/>
    <xf numFmtId="189" fontId="0" fillId="0" borderId="0" applyFont="false" applyBorder="false" applyAlignment="false" applyProtection="false"/>
    <xf numFmtId="186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9" fontId="0" fillId="0" borderId="0" applyFont="false" applyBorder="false" applyAlignment="false" applyProtection="false"/>
    <xf numFmtId="186" fontId="0" fillId="0" borderId="0" applyFont="false" applyBorder="false" applyAlignment="false" applyProtection="false"/>
    <xf numFmtId="186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92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6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6" fontId="0" fillId="0" borderId="0" applyFont="false" applyBorder="false" applyAlignment="false" applyProtection="false"/>
    <xf numFmtId="186" fontId="0" fillId="0" borderId="0" applyFont="false" applyBorder="false" applyAlignment="false" applyProtection="false"/>
    <xf numFmtId="186" fontId="0" fillId="0" borderId="0" applyFont="false" applyBorder="false" applyAlignment="false" applyProtection="false"/>
    <xf numFmtId="186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91" fontId="0" fillId="0" borderId="0" applyFont="false" applyBorder="false" applyAlignment="false" applyProtection="false"/>
    <xf numFmtId="188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8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6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6" fontId="0" fillId="0" borderId="0" applyFont="false" applyBorder="false" applyAlignment="false" applyProtection="false"/>
    <xf numFmtId="186" fontId="0" fillId="0" borderId="0" applyFont="false" applyBorder="false" applyAlignment="false" applyProtection="false"/>
    <xf numFmtId="186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93" fontId="9" fillId="0" borderId="0" applyFont="true" applyBorder="false" applyAlignment="false" applyProtection="true">
      <protection locked="true" hidden="false"/>
    </xf>
    <xf numFmtId="164" fontId="10" fillId="2" borderId="0" applyFont="true" applyBorder="false" applyAlignment="false" applyProtection="false"/>
    <xf numFmtId="164" fontId="11" fillId="0" borderId="1" applyFont="true" applyBorder="true" applyAlignment="false" applyProtection="false"/>
    <xf numFmtId="164" fontId="11" fillId="0" borderId="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0" applyFont="true" applyBorder="false" applyAlignment="false" applyProtection="false"/>
    <xf numFmtId="19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false" applyBorder="false" applyAlignment="false" applyProtection="false"/>
    <xf numFmtId="196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6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6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6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6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6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6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6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6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6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6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6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6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6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6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7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7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false" applyBorder="false" applyAlignment="false" applyProtection="false"/>
    <xf numFmtId="164" fontId="0" fillId="0" borderId="0" applyFont="fals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6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7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7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7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7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8" fontId="0" fillId="0" borderId="0" applyFont="false" applyBorder="false" applyAlignment="false" applyProtection="false"/>
    <xf numFmtId="175" fontId="3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9" fontId="0" fillId="0" borderId="0" applyFont="false" applyBorder="false" applyAlignment="false" applyProtection="false"/>
  </cellStyleXfs>
  <cellXfs count="1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60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60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60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60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60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60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0" fontId="32" fillId="0" borderId="0" xfId="60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60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60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60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60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60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60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4" xfId="60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4" xfId="60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60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0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34" fillId="0" borderId="0" xfId="60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60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01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1" fillId="0" borderId="0" xfId="60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01" fontId="3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3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34" fillId="0" borderId="4" xfId="6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2" fontId="0" fillId="0" borderId="0" xfId="60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1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3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xfId="60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1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xfId="6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1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33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01" fontId="4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40" fillId="0" borderId="0" xfId="70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60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60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60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60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60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60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3" fillId="0" borderId="4" xfId="60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6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60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01" fontId="4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70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0" xfId="60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70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70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70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70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70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70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70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70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70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70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70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2" fillId="0" borderId="0" xfId="70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70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1" fillId="0" borderId="0" xfId="70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02" fontId="0" fillId="0" borderId="0" xfId="70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34" fillId="0" borderId="0" xfId="70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34" fillId="0" borderId="4" xfId="70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xfId="70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36" fillId="0" borderId="0" xfId="70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1" fillId="0" borderId="0" xfId="70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01" fontId="42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01" fontId="3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01" fontId="3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01" fontId="34" fillId="0" borderId="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02" fontId="0" fillId="0" borderId="0" xfId="70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1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70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1" fillId="0" borderId="7" xfId="70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8" xfId="70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70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1" fontId="32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70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70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10" xfId="70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02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34" fillId="0" borderId="0" xfId="70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70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70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70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9" xfId="70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0" xfId="701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202" fontId="34" fillId="0" borderId="4" xfId="70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9" xfId="701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70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2" fontId="33" fillId="0" borderId="0" xfId="70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2" fontId="1" fillId="0" borderId="0" xfId="70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02" fontId="0" fillId="0" borderId="11" xfId="70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2" fontId="1" fillId="0" borderId="11" xfId="70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2" xfId="701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4" xfId="701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4" xfId="70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02" fontId="1" fillId="0" borderId="4" xfId="70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3" xfId="70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70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70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" fillId="0" borderId="0" xfId="70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02" fontId="1" fillId="0" borderId="0" xfId="70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01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xfId="70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701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0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00091" xfId="20"/>
    <cellStyle name="Comma [0]_00091_UNITS 1-4" xfId="21"/>
    <cellStyle name="Comma [0]_00091_UNITS 5 &amp; 6" xfId="22"/>
    <cellStyle name="Comma [0]_12~3SO2" xfId="23"/>
    <cellStyle name="Comma [0]_1997" xfId="24"/>
    <cellStyle name="Comma [0]_1997C" xfId="25"/>
    <cellStyle name="Comma [0]_29" xfId="26"/>
    <cellStyle name="Comma [0]_Cash Flow Variance" xfId="27"/>
    <cellStyle name="Comma [0]_CCOCPX" xfId="28"/>
    <cellStyle name="Comma [0]_Channel Table" xfId="29"/>
    <cellStyle name="Comma [0]_Cur 5100" xfId="30"/>
    <cellStyle name="Comma [0]_D" xfId="31"/>
    <cellStyle name="Comma [0]_Deferred" xfId="32"/>
    <cellStyle name="Comma [0]_Deferred (000's)" xfId="33"/>
    <cellStyle name="Comma [0]_E&amp;ONW1" xfId="34"/>
    <cellStyle name="Comma [0]_E&amp;ONW2" xfId="35"/>
    <cellStyle name="Comma [0]_E&amp;OOCPX" xfId="36"/>
    <cellStyle name="Comma [0]_ECT_2CE" xfId="37"/>
    <cellStyle name="Comma [0]_F&amp;COCPX" xfId="38"/>
    <cellStyle name="Comma [0]_Full Year FY96" xfId="39"/>
    <cellStyle name="Comma [0]_Funds Flow - Other" xfId="40"/>
    <cellStyle name="Comma [0]_groups" xfId="41"/>
    <cellStyle name="Comma [0]_Inputs" xfId="42"/>
    <cellStyle name="Comma [0]_ITOCPX" xfId="43"/>
    <cellStyle name="Comma [0]_laroux" xfId="44"/>
    <cellStyle name="Comma [0]_laroux_1" xfId="45"/>
    <cellStyle name="Comma [0]_laroux_12~3SO2" xfId="46"/>
    <cellStyle name="Comma [0]_laroux_1_12~3SO2" xfId="47"/>
    <cellStyle name="Comma [0]_laroux_1_pldt" xfId="48"/>
    <cellStyle name="Comma [0]_laroux_2" xfId="49"/>
    <cellStyle name="Comma [0]_laroux_2_12~3SO2" xfId="50"/>
    <cellStyle name="Comma [0]_laroux_2_pldt" xfId="51"/>
    <cellStyle name="Comma [0]_laroux_3" xfId="52"/>
    <cellStyle name="Comma [0]_laroux_MATERAL2" xfId="53"/>
    <cellStyle name="Comma [0]_laroux_MATERAL2_pldt" xfId="54"/>
    <cellStyle name="Comma [0]_laroux_mud plant bolted" xfId="55"/>
    <cellStyle name="Comma [0]_LOCATION_00009" xfId="56"/>
    <cellStyle name="Comma [0]_MACRO1.XLM" xfId="57"/>
    <cellStyle name="Comma [0]_MATERAL2" xfId="58"/>
    <cellStyle name="Comma [0]_MKGOCPX" xfId="59"/>
    <cellStyle name="Comma [0]_MOBCPX" xfId="60"/>
    <cellStyle name="Comma [0]_MOBIL D LINE SALE" xfId="61"/>
    <cellStyle name="Comma [0]_mud plant bolted" xfId="62"/>
    <cellStyle name="Comma [0]_mud plant bolted_pldt" xfId="63"/>
    <cellStyle name="Comma [0]_NA (2)" xfId="64"/>
    <cellStyle name="Comma [0]_OSMOCPX" xfId="65"/>
    <cellStyle name="Comma [0]_P&amp;L" xfId="66"/>
    <cellStyle name="Comma [0]_PGMKOCPX" xfId="67"/>
    <cellStyle name="Comma [0]_PGNW1" xfId="68"/>
    <cellStyle name="Comma [0]_PGNW2" xfId="69"/>
    <cellStyle name="Comma [0]_PGNWOCPX" xfId="70"/>
    <cellStyle name="Comma [0]_PLDT" xfId="71"/>
    <cellStyle name="Comma [0]_pldt_1" xfId="72"/>
    <cellStyle name="Comma [0]_Q1 FY96" xfId="73"/>
    <cellStyle name="Comma [0]_Q2 FY96" xfId="74"/>
    <cellStyle name="Comma [0]_Q3 FY96" xfId="75"/>
    <cellStyle name="Comma [0]_Q4 FY96" xfId="76"/>
    <cellStyle name="Comma [0]_QTR94_95" xfId="77"/>
    <cellStyle name="Comma [0]_r1" xfId="78"/>
    <cellStyle name="Comma [0]_RQSTFRM" xfId="79"/>
    <cellStyle name="Comma [0]_SATOCPX" xfId="80"/>
    <cellStyle name="Comma [0]_Seagull Shoreline System" xfId="81"/>
    <cellStyle name="Comma [0]_Sheet1" xfId="82"/>
    <cellStyle name="Comma [0]_Sheet1_Format2" xfId="83"/>
    <cellStyle name="Comma [0]_Sheet1_laroux" xfId="84"/>
    <cellStyle name="Comma [0]_Sheet4" xfId="85"/>
    <cellStyle name="Comma [0]_Sheet4_pldt" xfId="86"/>
    <cellStyle name="Comma [0]_Shipped" xfId="87"/>
    <cellStyle name="Comma [0]_stats" xfId="88"/>
    <cellStyle name="Comma [0]_SYSPLN98" xfId="89"/>
    <cellStyle name="Comma [0]_SYSPLN99" xfId="90"/>
    <cellStyle name="Comma [0]_Terms Defined" xfId="91"/>
    <cellStyle name="Comma [0]_TMSNW1" xfId="92"/>
    <cellStyle name="Comma [0]_TMSNW2" xfId="93"/>
    <cellStyle name="Comma [0]_TMSOCPX" xfId="94"/>
    <cellStyle name="Comma [0]_UNITS 1-4" xfId="95"/>
    <cellStyle name="Comma [0]_UNITS 5 &amp; 6" xfId="96"/>
    <cellStyle name="Comma [0]_Variance" xfId="97"/>
    <cellStyle name="Comma [0]_WIP Chart" xfId="98"/>
    <cellStyle name="Comma_00091" xfId="99"/>
    <cellStyle name="Comma_00091_UNITS 1-4" xfId="100"/>
    <cellStyle name="Comma_00091_UNITS 5 &amp; 6" xfId="101"/>
    <cellStyle name="Comma_12~3SO2" xfId="102"/>
    <cellStyle name="Comma_1997" xfId="103"/>
    <cellStyle name="Comma_1997C" xfId="104"/>
    <cellStyle name="Comma_29" xfId="105"/>
    <cellStyle name="Comma_C-Cap intensity" xfId="106"/>
    <cellStyle name="Comma_C-Capex%rev" xfId="107"/>
    <cellStyle name="Comma_C-Line per Staff" xfId="108"/>
    <cellStyle name="Comma_C-lines distribution" xfId="109"/>
    <cellStyle name="Comma_C-Orig PLDT lines" xfId="110"/>
    <cellStyle name="Comma_C-Ret on Rev" xfId="111"/>
    <cellStyle name="Comma_C-ROACE" xfId="112"/>
    <cellStyle name="Comma_Capex" xfId="113"/>
    <cellStyle name="Comma_Capex per line" xfId="114"/>
    <cellStyle name="Comma_Capex%rev" xfId="115"/>
    <cellStyle name="Comma_Cash Flow Variance" xfId="116"/>
    <cellStyle name="Comma_CCOCPX" xfId="117"/>
    <cellStyle name="Comma_Channel Table" xfId="118"/>
    <cellStyle name="Comma_Cht-Capex per line" xfId="119"/>
    <cellStyle name="Comma_Cht-Cum Real Opr Cf" xfId="120"/>
    <cellStyle name="Comma_Cht-Dep%Rev" xfId="121"/>
    <cellStyle name="Comma_Cht-Real Opr Cf" xfId="122"/>
    <cellStyle name="Comma_Cht-Rev dist" xfId="123"/>
    <cellStyle name="Comma_Cht-Rev p line" xfId="124"/>
    <cellStyle name="Comma_Cht-Rev per Staff" xfId="125"/>
    <cellStyle name="Comma_Cht-Staff cost%revenue" xfId="126"/>
    <cellStyle name="Comma_CROCF" xfId="127"/>
    <cellStyle name="Comma_Cum Real Opr Cf" xfId="128"/>
    <cellStyle name="Comma_Cur 5100" xfId="129"/>
    <cellStyle name="Comma_D" xfId="130"/>
    <cellStyle name="Comma_Deferred" xfId="131"/>
    <cellStyle name="Comma_Deferred (000's)" xfId="132"/>
    <cellStyle name="Comma_Demand Fcst." xfId="133"/>
    <cellStyle name="Comma_Dep%Rev" xfId="134"/>
    <cellStyle name="Comma_E&amp;ONW1" xfId="135"/>
    <cellStyle name="Comma_E&amp;ONW2" xfId="136"/>
    <cellStyle name="Comma_E&amp;OOCPX" xfId="137"/>
    <cellStyle name="Comma_ECT_2CE" xfId="138"/>
    <cellStyle name="Comma_EPS" xfId="139"/>
    <cellStyle name="Comma_F&amp;COCPX" xfId="140"/>
    <cellStyle name="Comma_Full Year FY96" xfId="141"/>
    <cellStyle name="Comma_Funds Flow - Other" xfId="142"/>
    <cellStyle name="Comma_groups" xfId="143"/>
    <cellStyle name="Comma_Inputs" xfId="144"/>
    <cellStyle name="Comma_IRR" xfId="145"/>
    <cellStyle name="Comma_ITOCPX" xfId="146"/>
    <cellStyle name="Comma_laroux" xfId="147"/>
    <cellStyle name="Comma_laroux_1" xfId="148"/>
    <cellStyle name="Comma_laroux_12~3SO2" xfId="149"/>
    <cellStyle name="Comma_laroux_1_12~3SO2" xfId="150"/>
    <cellStyle name="Comma_laroux_1_pldt" xfId="151"/>
    <cellStyle name="Comma_laroux_1_pldt_1" xfId="152"/>
    <cellStyle name="Comma_laroux_2" xfId="153"/>
    <cellStyle name="Comma_laroux_2_12~3SO2" xfId="154"/>
    <cellStyle name="Comma_laroux_2_pldt" xfId="155"/>
    <cellStyle name="Comma_laroux_2_pldt_1" xfId="156"/>
    <cellStyle name="Comma_laroux_3" xfId="157"/>
    <cellStyle name="Comma_laroux_pldt" xfId="158"/>
    <cellStyle name="Comma_Line Inst." xfId="159"/>
    <cellStyle name="Comma_LOCATION_00009" xfId="160"/>
    <cellStyle name="Comma_MACRO1.XLM" xfId="161"/>
    <cellStyle name="Comma_MATERAL2" xfId="162"/>
    <cellStyle name="Comma_MKGOCPX" xfId="163"/>
    <cellStyle name="Comma_Mkt Shr" xfId="164"/>
    <cellStyle name="Comma_MOBCPX" xfId="165"/>
    <cellStyle name="Comma_MOBIL D LINE SALE" xfId="166"/>
    <cellStyle name="Comma_mud plant bolted" xfId="167"/>
    <cellStyle name="Comma_NA (2)" xfId="168"/>
    <cellStyle name="Comma_NCR-C&amp;W Val" xfId="169"/>
    <cellStyle name="Comma_NCR-Cap intensity" xfId="170"/>
    <cellStyle name="Comma_NCR-Line per Staff" xfId="171"/>
    <cellStyle name="Comma_NCR-Rev dist" xfId="172"/>
    <cellStyle name="Comma_Op Cost Break" xfId="173"/>
    <cellStyle name="Comma_OSMOCPX" xfId="174"/>
    <cellStyle name="Comma_P&amp;L" xfId="175"/>
    <cellStyle name="Comma_PGMKOCPX" xfId="176"/>
    <cellStyle name="Comma_PGNW1" xfId="177"/>
    <cellStyle name="Comma_PGNW2" xfId="178"/>
    <cellStyle name="Comma_PGNWOCPX" xfId="179"/>
    <cellStyle name="Comma_PLDT" xfId="180"/>
    <cellStyle name="Comma_pldt_1" xfId="181"/>
    <cellStyle name="Comma_pldt_2" xfId="182"/>
    <cellStyle name="Comma_Q1 FY96" xfId="183"/>
    <cellStyle name="Comma_Q2 FY96" xfId="184"/>
    <cellStyle name="Comma_Q3 FY96" xfId="185"/>
    <cellStyle name="Comma_Q4 FY96" xfId="186"/>
    <cellStyle name="Comma_QTR94_95" xfId="187"/>
    <cellStyle name="Comma_r1" xfId="188"/>
    <cellStyle name="Comma_Real Opr Cf" xfId="189"/>
    <cellStyle name="Comma_Real Rev per Staff (1)" xfId="190"/>
    <cellStyle name="Comma_Real Rev per Staff (2)" xfId="191"/>
    <cellStyle name="Comma_Region 2-C&amp;W" xfId="192"/>
    <cellStyle name="Comma_Return on Rev" xfId="193"/>
    <cellStyle name="Comma_Rev p line" xfId="194"/>
    <cellStyle name="Comma_ROACE" xfId="195"/>
    <cellStyle name="Comma_ROCF (Tot)" xfId="196"/>
    <cellStyle name="Comma_RQSTFRM" xfId="197"/>
    <cellStyle name="Comma_SATOCPX" xfId="198"/>
    <cellStyle name="Comma_Seagull Shoreline System" xfId="199"/>
    <cellStyle name="Comma_Sheet1" xfId="200"/>
    <cellStyle name="Comma_Sheet1_Format2" xfId="201"/>
    <cellStyle name="Comma_Sheet1_laroux" xfId="202"/>
    <cellStyle name="Comma_Sheet4" xfId="203"/>
    <cellStyle name="Comma_Sheet4_pldt" xfId="204"/>
    <cellStyle name="Comma_Shipped" xfId="205"/>
    <cellStyle name="Comma_Staff cost%rev" xfId="206"/>
    <cellStyle name="Comma_stats" xfId="207"/>
    <cellStyle name="Comma_SYSPLN98" xfId="208"/>
    <cellStyle name="Comma_SYSPLN99" xfId="209"/>
    <cellStyle name="Comma_Terms Defined" xfId="210"/>
    <cellStyle name="Comma_TMSNW1" xfId="211"/>
    <cellStyle name="Comma_TMSNW2" xfId="212"/>
    <cellStyle name="Comma_TMSOCPX" xfId="213"/>
    <cellStyle name="Comma_Total-Rev dist." xfId="214"/>
    <cellStyle name="Comma_UNITS 1-4" xfId="215"/>
    <cellStyle name="Comma_UNITS 5 &amp; 6" xfId="216"/>
    <cellStyle name="Comma_Variance" xfId="217"/>
    <cellStyle name="Comma_WIP Chart" xfId="218"/>
    <cellStyle name="Currency [0]_00091" xfId="219"/>
    <cellStyle name="Currency [0]_00091_UNITS 1-4" xfId="220"/>
    <cellStyle name="Currency [0]_00091_UNITS 5 &amp; 6" xfId="221"/>
    <cellStyle name="Currency [0]_12~3SO2" xfId="222"/>
    <cellStyle name="Currency [0]_1997" xfId="223"/>
    <cellStyle name="Currency [0]_1997C" xfId="224"/>
    <cellStyle name="Currency [0]_29" xfId="225"/>
    <cellStyle name="Currency [0]_Cash Flow Variance" xfId="226"/>
    <cellStyle name="Currency [0]_CCOCPX" xfId="227"/>
    <cellStyle name="Currency [0]_Channel Table" xfId="228"/>
    <cellStyle name="Currency [0]_Cur 5100" xfId="229"/>
    <cellStyle name="Currency [0]_D" xfId="230"/>
    <cellStyle name="Currency [0]_Deferred" xfId="231"/>
    <cellStyle name="Currency [0]_Deferred (000's)" xfId="232"/>
    <cellStyle name="Currency [0]_E&amp;ONW1" xfId="233"/>
    <cellStyle name="Currency [0]_E&amp;ONW2" xfId="234"/>
    <cellStyle name="Currency [0]_E&amp;OOCPX" xfId="235"/>
    <cellStyle name="Currency [0]_ECT_2CE" xfId="236"/>
    <cellStyle name="Currency [0]_F&amp;COCPX" xfId="237"/>
    <cellStyle name="Currency [0]_Full Year FY96" xfId="238"/>
    <cellStyle name="Currency [0]_Funds Flow - Other" xfId="239"/>
    <cellStyle name="Currency [0]_groups" xfId="240"/>
    <cellStyle name="Currency [0]_Inputs" xfId="241"/>
    <cellStyle name="Currency [0]_ITOCPX" xfId="242"/>
    <cellStyle name="Currency [0]_laroux" xfId="243"/>
    <cellStyle name="Currency [0]_laroux_1" xfId="244"/>
    <cellStyle name="Currency [0]_laroux_12~3SO2" xfId="245"/>
    <cellStyle name="Currency [0]_laroux_1_12~3SO2" xfId="246"/>
    <cellStyle name="Currency [0]_laroux_1_pldt" xfId="247"/>
    <cellStyle name="Currency [0]_laroux_2" xfId="248"/>
    <cellStyle name="Currency [0]_laroux_2_12~3SO2" xfId="249"/>
    <cellStyle name="Currency [0]_laroux_2_pldt" xfId="250"/>
    <cellStyle name="Currency [0]_laroux_3" xfId="251"/>
    <cellStyle name="Currency [0]_laroux_3_12~3SO2" xfId="252"/>
    <cellStyle name="Currency [0]_laroux_4" xfId="253"/>
    <cellStyle name="Currency [0]_laroux_MATERAL2" xfId="254"/>
    <cellStyle name="Currency [0]_laroux_MATERAL2_pldt" xfId="255"/>
    <cellStyle name="Currency [0]_laroux_mud plant bolted" xfId="256"/>
    <cellStyle name="Currency [0]_laroux_pldt" xfId="257"/>
    <cellStyle name="Currency [0]_LOCATION_00009" xfId="258"/>
    <cellStyle name="Currency [0]_MACRO1.XLM" xfId="259"/>
    <cellStyle name="Currency [0]_MATERAL2" xfId="260"/>
    <cellStyle name="Currency [0]_MKGOCPX" xfId="261"/>
    <cellStyle name="Currency [0]_MOBCPX" xfId="262"/>
    <cellStyle name="Currency [0]_MOBIL D LINE SALE" xfId="263"/>
    <cellStyle name="Currency [0]_mud plant bolted" xfId="264"/>
    <cellStyle name="Currency [0]_mud plant bolted_pldt" xfId="265"/>
    <cellStyle name="Currency [0]_NA (2)" xfId="266"/>
    <cellStyle name="Currency [0]_OSMOCPX" xfId="267"/>
    <cellStyle name="Currency [0]_P&amp;L" xfId="268"/>
    <cellStyle name="Currency [0]_PGMKOCPX" xfId="269"/>
    <cellStyle name="Currency [0]_PGNW1" xfId="270"/>
    <cellStyle name="Currency [0]_PGNW2" xfId="271"/>
    <cellStyle name="Currency [0]_PGNWOCPX" xfId="272"/>
    <cellStyle name="Currency [0]_PLDT" xfId="273"/>
    <cellStyle name="Currency [0]_pldt_1" xfId="274"/>
    <cellStyle name="Currency [0]_pldt_2" xfId="275"/>
    <cellStyle name="Currency [0]_Q1 FY96" xfId="276"/>
    <cellStyle name="Currency [0]_Q2 FY96" xfId="277"/>
    <cellStyle name="Currency [0]_Q3 FY96" xfId="278"/>
    <cellStyle name="Currency [0]_Q4 FY96" xfId="279"/>
    <cellStyle name="Currency [0]_QTR94_95" xfId="280"/>
    <cellStyle name="Currency [0]_r1" xfId="281"/>
    <cellStyle name="Currency [0]_RQSTFRM" xfId="282"/>
    <cellStyle name="Currency [0]_SATOCPX" xfId="283"/>
    <cellStyle name="Currency [0]_Seagull Shoreline System" xfId="284"/>
    <cellStyle name="Currency [0]_Sheet1" xfId="285"/>
    <cellStyle name="Currency [0]_Sheet1_Format2" xfId="286"/>
    <cellStyle name="Currency [0]_Sheet1_laroux" xfId="287"/>
    <cellStyle name="Currency [0]_Sheet4" xfId="288"/>
    <cellStyle name="Currency [0]_Sheet4_pldt" xfId="289"/>
    <cellStyle name="Currency [0]_Shipped" xfId="290"/>
    <cellStyle name="Currency [0]_stats" xfId="291"/>
    <cellStyle name="Currency [0]_SYSPLN98" xfId="292"/>
    <cellStyle name="Currency [0]_SYSPLN99" xfId="293"/>
    <cellStyle name="Currency [0]_Terms Defined" xfId="294"/>
    <cellStyle name="Currency [0]_TMSNW1" xfId="295"/>
    <cellStyle name="Currency [0]_TMSNW2" xfId="296"/>
    <cellStyle name="Currency [0]_TMSOCPX" xfId="297"/>
    <cellStyle name="Currency [0]_UNITS 1-4" xfId="298"/>
    <cellStyle name="Currency [0]_UNITS 5 &amp; 6" xfId="299"/>
    <cellStyle name="Currency [0]_Variance" xfId="300"/>
    <cellStyle name="Currency [0]_WIP Chart" xfId="301"/>
    <cellStyle name="Currency_00091" xfId="302"/>
    <cellStyle name="Currency_00091_UNITS 1-4" xfId="303"/>
    <cellStyle name="Currency_00091_UNITS 5 &amp; 6" xfId="304"/>
    <cellStyle name="Currency_12~3SO2" xfId="305"/>
    <cellStyle name="Currency_1997" xfId="306"/>
    <cellStyle name="Currency_1997C" xfId="307"/>
    <cellStyle name="Currency_29" xfId="308"/>
    <cellStyle name="Currency_Cash Flow Variance" xfId="309"/>
    <cellStyle name="Currency_CCOCPX" xfId="310"/>
    <cellStyle name="Currency_Channel Table" xfId="311"/>
    <cellStyle name="Currency_Cur 5100" xfId="312"/>
    <cellStyle name="Currency_D" xfId="313"/>
    <cellStyle name="Currency_Deferred" xfId="314"/>
    <cellStyle name="Currency_Deferred (000's)" xfId="315"/>
    <cellStyle name="Currency_E&amp;ONW1" xfId="316"/>
    <cellStyle name="Currency_E&amp;ONW2" xfId="317"/>
    <cellStyle name="Currency_E&amp;OOCPX" xfId="318"/>
    <cellStyle name="Currency_ECT_2CE" xfId="319"/>
    <cellStyle name="Currency_F&amp;COCPX" xfId="320"/>
    <cellStyle name="Currency_Full Year FY96" xfId="321"/>
    <cellStyle name="Currency_Funds Flow - Other" xfId="322"/>
    <cellStyle name="Currency_groups" xfId="323"/>
    <cellStyle name="Currency_Inputs" xfId="324"/>
    <cellStyle name="Currency_ITOCPX" xfId="325"/>
    <cellStyle name="Currency_laroux" xfId="326"/>
    <cellStyle name="Currency_laroux_1" xfId="327"/>
    <cellStyle name="Currency_laroux_12~3SO2" xfId="328"/>
    <cellStyle name="Currency_laroux_1_12~3SO2" xfId="329"/>
    <cellStyle name="Currency_laroux_1_pldt" xfId="330"/>
    <cellStyle name="Currency_laroux_2" xfId="331"/>
    <cellStyle name="Currency_laroux_2_12~3SO2" xfId="332"/>
    <cellStyle name="Currency_laroux_2_pldt" xfId="333"/>
    <cellStyle name="Currency_laroux_3" xfId="334"/>
    <cellStyle name="Currency_laroux_3_12~3SO2" xfId="335"/>
    <cellStyle name="Currency_laroux_4" xfId="336"/>
    <cellStyle name="Currency_laroux_pldt" xfId="337"/>
    <cellStyle name="Currency_LOCATION_00009" xfId="338"/>
    <cellStyle name="Currency_MACRO1.XLM" xfId="339"/>
    <cellStyle name="Currency_MATERAL2" xfId="340"/>
    <cellStyle name="Currency_MKGOCPX" xfId="341"/>
    <cellStyle name="Currency_MOBCPX" xfId="342"/>
    <cellStyle name="Currency_MOBIL D LINE SALE" xfId="343"/>
    <cellStyle name="Currency_mud plant bolted" xfId="344"/>
    <cellStyle name="Currency_NA (2)" xfId="345"/>
    <cellStyle name="Currency_OSMOCPX" xfId="346"/>
    <cellStyle name="Currency_P&amp;L" xfId="347"/>
    <cellStyle name="Currency_PGMKOCPX" xfId="348"/>
    <cellStyle name="Currency_PGNW1" xfId="349"/>
    <cellStyle name="Currency_PGNW2" xfId="350"/>
    <cellStyle name="Currency_PGNWOCPX" xfId="351"/>
    <cellStyle name="Currency_PLDT" xfId="352"/>
    <cellStyle name="Currency_pldt_1" xfId="353"/>
    <cellStyle name="Currency_pldt_2" xfId="354"/>
    <cellStyle name="Currency_Q1 FY96" xfId="355"/>
    <cellStyle name="Currency_Q2 FY96" xfId="356"/>
    <cellStyle name="Currency_Q3 FY96" xfId="357"/>
    <cellStyle name="Currency_Q4 FY96" xfId="358"/>
    <cellStyle name="Currency_QTR94_95" xfId="359"/>
    <cellStyle name="Currency_r1" xfId="360"/>
    <cellStyle name="Currency_RQSTFRM" xfId="361"/>
    <cellStyle name="Currency_SATOCPX" xfId="362"/>
    <cellStyle name="Currency_Seagull Shoreline System" xfId="363"/>
    <cellStyle name="Currency_Sheet1" xfId="364"/>
    <cellStyle name="Currency_Sheet1_Format2" xfId="365"/>
    <cellStyle name="Currency_Sheet1_laroux" xfId="366"/>
    <cellStyle name="Currency_Sheet4" xfId="367"/>
    <cellStyle name="Currency_Sheet4_pldt" xfId="368"/>
    <cellStyle name="Currency_Shipped" xfId="369"/>
    <cellStyle name="Currency_stats" xfId="370"/>
    <cellStyle name="Currency_SYSPLN98" xfId="371"/>
    <cellStyle name="Currency_SYSPLN99" xfId="372"/>
    <cellStyle name="Currency_Terms Defined" xfId="373"/>
    <cellStyle name="Currency_TMSNW1" xfId="374"/>
    <cellStyle name="Currency_TMSNW2" xfId="375"/>
    <cellStyle name="Currency_TMSOCPX" xfId="376"/>
    <cellStyle name="Currency_UNITS 1-4" xfId="377"/>
    <cellStyle name="Currency_UNITS 5 &amp; 6" xfId="378"/>
    <cellStyle name="Currency_Variance" xfId="379"/>
    <cellStyle name="Currency_WIP Chart" xfId="380"/>
    <cellStyle name="FIELD" xfId="381"/>
    <cellStyle name="Grey" xfId="382"/>
    <cellStyle name="Header1" xfId="383"/>
    <cellStyle name="Header2" xfId="384"/>
    <cellStyle name="Input [yellow]" xfId="385"/>
    <cellStyle name="Normal - Style1" xfId="386"/>
    <cellStyle name="Normal_      CORP OBLIG. SCHED" xfId="387"/>
    <cellStyle name="Normal_      DETAIL FOR OBLIGATIONS   " xfId="388"/>
    <cellStyle name="Normal_      ROLL FOWARD OF OBLIGATION" xfId="389"/>
    <cellStyle name="Normal_'00-02 GPG SCHDULES" xfId="390"/>
    <cellStyle name="Normal_'94-96 PLAN" xfId="391"/>
    <cellStyle name="Normal_00091" xfId="392"/>
    <cellStyle name="Normal_00091_1" xfId="393"/>
    <cellStyle name="Normal_00091_UNITS 1-4" xfId="394"/>
    <cellStyle name="Normal_00091_UNITS 5 &amp; 6" xfId="395"/>
    <cellStyle name="Normal_12" xfId="396"/>
    <cellStyle name="Normal_12~3SO2" xfId="397"/>
    <cellStyle name="Normal_1997" xfId="398"/>
    <cellStyle name="Normal_1997C" xfId="399"/>
    <cellStyle name="Normal_1997C_1" xfId="400"/>
    <cellStyle name="Normal_1997C_Cash Flow Variance" xfId="401"/>
    <cellStyle name="Normal_1997C_ECT_2CE" xfId="402"/>
    <cellStyle name="Normal_1997D" xfId="403"/>
    <cellStyle name="Normal_1997I" xfId="404"/>
    <cellStyle name="Normal_1998-2000" xfId="405"/>
    <cellStyle name="Normal_1CE_VARI" xfId="406"/>
    <cellStyle name="Normal_1CErecn" xfId="407"/>
    <cellStyle name="Normal_1st_CE" xfId="408"/>
    <cellStyle name="Normal_29" xfId="409"/>
    <cellStyle name="Normal_2CE recn" xfId="410"/>
    <cellStyle name="Normal_2Qfcst-june" xfId="411"/>
    <cellStyle name="Normal_2QfcstApr" xfId="412"/>
    <cellStyle name="Normal_2QfcstMay" xfId="413"/>
    <cellStyle name="Normal_660 Balance" xfId="414"/>
    <cellStyle name="Normal_99-1CE" xfId="415"/>
    <cellStyle name="Normal_99-2CE" xfId="416"/>
    <cellStyle name="Normal_99capplan" xfId="417"/>
    <cellStyle name="Normal_A" xfId="418"/>
    <cellStyle name="Normal_A_1" xfId="419"/>
    <cellStyle name="Normal_A_Corp Schedules" xfId="420"/>
    <cellStyle name="Normal_A_CORP_SCH" xfId="421"/>
    <cellStyle name="Normal_A_ECT_2CE" xfId="422"/>
    <cellStyle name="Normal_A_oblig monthly" xfId="423"/>
    <cellStyle name="Normal_A_obligations qtrly" xfId="424"/>
    <cellStyle name="Normal_A_obligations qtrly (2)" xfId="425"/>
    <cellStyle name="Normal_A_Plan0398" xfId="426"/>
    <cellStyle name="Normal_actuals" xfId="427"/>
    <cellStyle name="Normal_apr2Qfcst" xfId="428"/>
    <cellStyle name="Normal_Asset Direct" xfId="429"/>
    <cellStyle name="Normal_Asset Ind " xfId="430"/>
    <cellStyle name="Normal_ASSETS1CE" xfId="431"/>
    <cellStyle name="Normal_BK1 1296" xfId="432"/>
    <cellStyle name="Normal_burton" xfId="433"/>
    <cellStyle name="Normal_C-Cap intensity" xfId="434"/>
    <cellStyle name="Normal_C-Capex%rev" xfId="435"/>
    <cellStyle name="Normal_C-Line per Staff" xfId="436"/>
    <cellStyle name="Normal_C-lines distribution" xfId="437"/>
    <cellStyle name="Normal_C-Orig PLDT lines" xfId="438"/>
    <cellStyle name="Normal_C-Ret on Rev" xfId="439"/>
    <cellStyle name="Normal_C-ROACE" xfId="440"/>
    <cellStyle name="Normal_Canada Direct " xfId="441"/>
    <cellStyle name="Normal_Canada Ind  " xfId="442"/>
    <cellStyle name="Normal_cap_ch" xfId="443"/>
    <cellStyle name="Normal_Capex" xfId="444"/>
    <cellStyle name="Normal_Capex per line" xfId="445"/>
    <cellStyle name="Normal_Capex%rev" xfId="446"/>
    <cellStyle name="Normal_CAPEX_AN" xfId="447"/>
    <cellStyle name="Normal_CAPEX_RE" xfId="448"/>
    <cellStyle name="Normal_Cash Flow" xfId="449"/>
    <cellStyle name="Normal_Cash Flow Actual" xfId="450"/>
    <cellStyle name="Normal_Cash Flow Variance" xfId="451"/>
    <cellStyle name="Normal_Cash Flow_1" xfId="452"/>
    <cellStyle name="Normal_Cash Flow_Oblig Detail" xfId="453"/>
    <cellStyle name="Normal_CCOCPX" xfId="454"/>
    <cellStyle name="Normal_Certs Q2" xfId="455"/>
    <cellStyle name="Normal_Certs Q2 (2)" xfId="456"/>
    <cellStyle name="Normal_CF (2)" xfId="457"/>
    <cellStyle name="Normal_CFGPG99CE" xfId="458"/>
    <cellStyle name="Normal_Channel Table" xfId="459"/>
    <cellStyle name="Normal_Channel Table_1" xfId="460"/>
    <cellStyle name="Normal_Channel Table_1_Macro2" xfId="461"/>
    <cellStyle name="Normal_Channel Table_1_Module1" xfId="462"/>
    <cellStyle name="Normal_Channel Table_2" xfId="463"/>
    <cellStyle name="Normal_Channel Table_Channel Table" xfId="464"/>
    <cellStyle name="Normal_Channel Table_Macro2" xfId="465"/>
    <cellStyle name="Normal_Channel Table_Module1" xfId="466"/>
    <cellStyle name="Normal_Cht-Capex per line" xfId="467"/>
    <cellStyle name="Normal_Cht-Cum Real Opr Cf" xfId="468"/>
    <cellStyle name="Normal_Cht-Dep%Rev" xfId="469"/>
    <cellStyle name="Normal_Cht-Real Opr Cf" xfId="470"/>
    <cellStyle name="Normal_Cht-Rev dist" xfId="471"/>
    <cellStyle name="Normal_Cht-Rev p line" xfId="472"/>
    <cellStyle name="Normal_Cht-Rev per Staff" xfId="473"/>
    <cellStyle name="Normal_Cht-Staff cost%revenue" xfId="474"/>
    <cellStyle name="Normal_Co-wide Monthly" xfId="475"/>
    <cellStyle name="Normal_Compressor 18 Hugoton, Kansas" xfId="476"/>
    <cellStyle name="Normal_Corp Schedules" xfId="477"/>
    <cellStyle name="Normal_Corp Schedules ETS" xfId="478"/>
    <cellStyle name="Normal_CORP_REV" xfId="479"/>
    <cellStyle name="Normal_Cost Summ" xfId="480"/>
    <cellStyle name="Normal_CROCF" xfId="481"/>
    <cellStyle name="Normal_Cum Real Opr Cf" xfId="482"/>
    <cellStyle name="Normal_Cur 5100" xfId="483"/>
    <cellStyle name="Normal_D" xfId="484"/>
    <cellStyle name="Normal_D_'00-02 GPG SCHDULES" xfId="485"/>
    <cellStyle name="Normal_D_1" xfId="486"/>
    <cellStyle name="Normal_D_Corp Schedules" xfId="487"/>
    <cellStyle name="Normal_D_GPG SCHDULES" xfId="488"/>
    <cellStyle name="Normal_D_NNG1st_pass" xfId="489"/>
    <cellStyle name="Normal_D_OCT27" xfId="490"/>
    <cellStyle name="Normal_D_Sep29" xfId="491"/>
    <cellStyle name="Normal_D_TW1st_pass" xfId="492"/>
    <cellStyle name="Normal_Deferred" xfId="493"/>
    <cellStyle name="Normal_Deferred (000's)" xfId="494"/>
    <cellStyle name="Normal_Demand Fcst." xfId="495"/>
    <cellStyle name="Normal_Dep%Rev" xfId="496"/>
    <cellStyle name="Normal_DEPR" xfId="497"/>
    <cellStyle name="Normal_DETAILS" xfId="498"/>
    <cellStyle name="Normal_DIRECT - CASHFLOW_1" xfId="499"/>
    <cellStyle name="Normal_E" xfId="500"/>
    <cellStyle name="Normal_E&amp;ONW1" xfId="501"/>
    <cellStyle name="Normal_E&amp;ONW2" xfId="502"/>
    <cellStyle name="Normal_E&amp;OOCPX" xfId="503"/>
    <cellStyle name="Normal_E_1" xfId="504"/>
    <cellStyle name="Normal_E_A" xfId="505"/>
    <cellStyle name="Normal_E_D" xfId="506"/>
    <cellStyle name="Normal_ECT_2CE" xfId="507"/>
    <cellStyle name="Normal_ECT_CASH" xfId="508"/>
    <cellStyle name="Normal_ELS WIP" xfId="509"/>
    <cellStyle name="Normal_Energy Direct Cons" xfId="510"/>
    <cellStyle name="Normal_Energy Ind  Cons" xfId="511"/>
    <cellStyle name="Normal_Engin Dir" xfId="512"/>
    <cellStyle name="Normal_Engin Indir " xfId="513"/>
    <cellStyle name="Normal_EPS" xfId="514"/>
    <cellStyle name="Normal_Equity Direct" xfId="515"/>
    <cellStyle name="Normal_Equity Ind" xfId="516"/>
    <cellStyle name="Normal_ERMT BUCKET" xfId="517"/>
    <cellStyle name="Normal_F&amp;COCPX" xfId="518"/>
    <cellStyle name="Normal_Finance St Dir" xfId="519"/>
    <cellStyle name="Normal_forecast" xfId="520"/>
    <cellStyle name="Normal_FORMAT" xfId="521"/>
    <cellStyle name="Normal_Format2" xfId="522"/>
    <cellStyle name="Normal_Full Year FY96" xfId="523"/>
    <cellStyle name="Normal_FUNDS FLOW" xfId="524"/>
    <cellStyle name="Normal_Funds Flow - Other" xfId="525"/>
    <cellStyle name="Normal_FX_SENS" xfId="526"/>
    <cellStyle name="Normal_GAAPDET.XLS" xfId="527"/>
    <cellStyle name="Normal_GAIN" xfId="528"/>
    <cellStyle name="Normal_GPG SCHDULES" xfId="529"/>
    <cellStyle name="Normal_gpg_fmt" xfId="530"/>
    <cellStyle name="Normal_groups" xfId="531"/>
    <cellStyle name="Normal_HEAD_CNT" xfId="532"/>
    <cellStyle name="Normal_Income" xfId="533"/>
    <cellStyle name="Normal_Income Detail" xfId="534"/>
    <cellStyle name="Normal_Indirect" xfId="535"/>
    <cellStyle name="Normal_INFO" xfId="536"/>
    <cellStyle name="Normal_Inputs" xfId="537"/>
    <cellStyle name="Normal_IRR" xfId="538"/>
    <cellStyle name="Normal_ITOCPX" xfId="539"/>
    <cellStyle name="Normal_laroux" xfId="540"/>
    <cellStyle name="Normal_laroux_1" xfId="541"/>
    <cellStyle name="Normal_laroux_12~3SO2" xfId="542"/>
    <cellStyle name="Normal_laroux_1_12~3SO2" xfId="543"/>
    <cellStyle name="Normal_laroux_1_pldt" xfId="544"/>
    <cellStyle name="Normal_laroux_1_pldt_1" xfId="545"/>
    <cellStyle name="Normal_laroux_2" xfId="546"/>
    <cellStyle name="Normal_laroux_2_pldt" xfId="547"/>
    <cellStyle name="Normal_laroux_2_pldt_1" xfId="548"/>
    <cellStyle name="Normal_laroux_3" xfId="549"/>
    <cellStyle name="Normal_laroux_3_pldt" xfId="550"/>
    <cellStyle name="Normal_laroux_4" xfId="551"/>
    <cellStyle name="Normal_laroux_4_pldt" xfId="552"/>
    <cellStyle name="Normal_laroux_5" xfId="553"/>
    <cellStyle name="Normal_laroux_5_pldt" xfId="554"/>
    <cellStyle name="Normal_laroux_6" xfId="555"/>
    <cellStyle name="Normal_laroux_6_pldt" xfId="556"/>
    <cellStyle name="Normal_laroux_7" xfId="557"/>
    <cellStyle name="Normal_laroux_8" xfId="558"/>
    <cellStyle name="Normal_laroux_pldt" xfId="559"/>
    <cellStyle name="Normal_laroux_pldt_1" xfId="560"/>
    <cellStyle name="Normal_Line Inst." xfId="561"/>
    <cellStyle name="Normal_LOCATION_00009" xfId="562"/>
    <cellStyle name="Normal_M.A. 1st CE to F.P." xfId="563"/>
    <cellStyle name="Normal_M.A. 1st CE to F.P. (2)" xfId="564"/>
    <cellStyle name="Normal_M.A. 1st CE to F.P. (2)_1" xfId="565"/>
    <cellStyle name="Normal_M.A. 1st CE to F.P. (2)_NNG_9_14_99" xfId="566"/>
    <cellStyle name="Normal_M.A. 1st CE to F.P. (2)_Rollover" xfId="567"/>
    <cellStyle name="Normal_M.A. 1st CE to F.P. (2)_~0017638" xfId="568"/>
    <cellStyle name="Normal_MACRO1.XLM" xfId="569"/>
    <cellStyle name="Normal_Macro2" xfId="570"/>
    <cellStyle name="Normal_Macrovar" xfId="571"/>
    <cellStyle name="Normal_Macrox" xfId="572"/>
    <cellStyle name="Normal_MAJASSUM" xfId="573"/>
    <cellStyle name="Normal_MAJASSUM (2)" xfId="574"/>
    <cellStyle name="Normal_MATERAL2" xfId="575"/>
    <cellStyle name="Normal_Material List NEW" xfId="576"/>
    <cellStyle name="Normal_MayQtrfcst" xfId="577"/>
    <cellStyle name="Normal_MKGOCPX" xfId="578"/>
    <cellStyle name="Normal_Mkt Shr" xfId="579"/>
    <cellStyle name="Normal_MKTG_BKUP" xfId="580"/>
    <cellStyle name="Normal_MOBCPX" xfId="581"/>
    <cellStyle name="Normal_MOBIL D LINE SALE" xfId="582"/>
    <cellStyle name="Normal_Module1" xfId="583"/>
    <cellStyle name="Normal_Module1_1" xfId="584"/>
    <cellStyle name="Normal_Module1_1_PLDT" xfId="585"/>
    <cellStyle name="Normal_Module5" xfId="586"/>
    <cellStyle name="Normal_mud plant bolted" xfId="587"/>
    <cellStyle name="Normal_NA" xfId="588"/>
    <cellStyle name="Normal_NA (2)" xfId="589"/>
    <cellStyle name="Normal_nbv" xfId="590"/>
    <cellStyle name="Normal_NCR-C&amp;W Val" xfId="591"/>
    <cellStyle name="Normal_NCR-Cap intensity" xfId="592"/>
    <cellStyle name="Normal_NCR-Line per Staff" xfId="593"/>
    <cellStyle name="Normal_NCR-Rev dist" xfId="594"/>
    <cellStyle name="Normal_Net Tax Basis Summary" xfId="595"/>
    <cellStyle name="Normal_NEWSETL" xfId="596"/>
    <cellStyle name="Normal_NNG &amp; TW Pr.Yr. &quot;Recon&quot;" xfId="597"/>
    <cellStyle name="Normal_NNG Corp Cash Flow from Kleb" xfId="598"/>
    <cellStyle name="Normal_NNG-6" xfId="599"/>
    <cellStyle name="Normal_NNG1st_pass" xfId="600"/>
    <cellStyle name="Normal_Oblig Detail" xfId="601"/>
    <cellStyle name="Normal_oblig monthly" xfId="602"/>
    <cellStyle name="Normal_Obligations" xfId="603"/>
    <cellStyle name="Normal_obligations qtrly" xfId="604"/>
    <cellStyle name="Normal_OBLIGATIONS_1" xfId="605"/>
    <cellStyle name="Normal_OBLIGDET" xfId="606"/>
    <cellStyle name="Normal_OCT27" xfId="607"/>
    <cellStyle name="Normal_Op Cost Break" xfId="608"/>
    <cellStyle name="Normal_OSMOCPX" xfId="609"/>
    <cellStyle name="Normal_Other Direct" xfId="610"/>
    <cellStyle name="Normal_Other Ind  " xfId="611"/>
    <cellStyle name="Normal_OTHER OBLIG" xfId="612"/>
    <cellStyle name="Normal_Other Obligations" xfId="613"/>
    <cellStyle name="Normal_OTHER OBLIGATIONS (2)" xfId="614"/>
    <cellStyle name="Normal_OTHER OBLIGATIONS_Plan0398" xfId="615"/>
    <cellStyle name="Normal_P&amp;L" xfId="616"/>
    <cellStyle name="Normal_PG&amp;ETW" xfId="617"/>
    <cellStyle name="Normal_PG&amp;ETW (2)" xfId="618"/>
    <cellStyle name="Normal_PG5.XLS" xfId="619"/>
    <cellStyle name="Normal_PGMKOCPX" xfId="620"/>
    <cellStyle name="Normal_PGNW1" xfId="621"/>
    <cellStyle name="Normal_PGNW2" xfId="622"/>
    <cellStyle name="Normal_PGNWOCPX" xfId="623"/>
    <cellStyle name="Normal_PLDT" xfId="624"/>
    <cellStyle name="Normal_PLDT_1" xfId="625"/>
    <cellStyle name="Normal_PLDT_2" xfId="626"/>
    <cellStyle name="Normal_pldt_3" xfId="627"/>
    <cellStyle name="Normal_pldt_4" xfId="628"/>
    <cellStyle name="Normal_pldt_5" xfId="629"/>
    <cellStyle name="Normal_pldt_6" xfId="630"/>
    <cellStyle name="Normal_pldt_7" xfId="631"/>
    <cellStyle name="Normal_PROD SALES" xfId="632"/>
    <cellStyle name="Normal_PROD SALES by Region Pg 2" xfId="633"/>
    <cellStyle name="Normal_PRODUCT" xfId="634"/>
    <cellStyle name="Normal_Q1 FY96" xfId="635"/>
    <cellStyle name="Normal_Q2 FY96" xfId="636"/>
    <cellStyle name="Normal_Q3 FY96" xfId="637"/>
    <cellStyle name="Normal_Q4 FY96" xfId="638"/>
    <cellStyle name="Normal_QTR94_95" xfId="639"/>
    <cellStyle name="Normal_QTRCOMP" xfId="640"/>
    <cellStyle name="Normal_QUARTER" xfId="641"/>
    <cellStyle name="Normal_r1" xfId="642"/>
    <cellStyle name="Normal_Real Opr Cf" xfId="643"/>
    <cellStyle name="Normal_Real Rev per Staff (1)" xfId="644"/>
    <cellStyle name="Normal_Real Rev per Staff (2)" xfId="645"/>
    <cellStyle name="Normal_reconcilation" xfId="646"/>
    <cellStyle name="Normal_Reconciliation" xfId="647"/>
    <cellStyle name="Normal_Region 2-C&amp;W" xfId="648"/>
    <cellStyle name="Normal_Req Summ" xfId="649"/>
    <cellStyle name="Normal_Return on Rev" xfId="650"/>
    <cellStyle name="Normal_Rev p line" xfId="651"/>
    <cellStyle name="Normal_rev. gener. conc." xfId="652"/>
    <cellStyle name="Normal_RICK PRES OF 2nd QTR" xfId="653"/>
    <cellStyle name="Normal_ROACE" xfId="654"/>
    <cellStyle name="Normal_ROCF (Tot)" xfId="655"/>
    <cellStyle name="Normal_RQSTFRM" xfId="656"/>
    <cellStyle name="Normal_SATOCPX" xfId="657"/>
    <cellStyle name="Normal_schdules" xfId="658"/>
    <cellStyle name="Normal_Seagull Shoreline System" xfId="659"/>
    <cellStyle name="Normal_Sep29" xfId="660"/>
    <cellStyle name="Normal_Sheet1" xfId="661"/>
    <cellStyle name="Normal_Sheet1_'00-02 GPG SCHDULES" xfId="662"/>
    <cellStyle name="Normal_Sheet1_ASSETS1CE" xfId="663"/>
    <cellStyle name="Normal_Sheet1_burton" xfId="664"/>
    <cellStyle name="Normal_Sheet1_Format2" xfId="665"/>
    <cellStyle name="Normal_Sheet1_GAIN" xfId="666"/>
    <cellStyle name="Normal_Sheet1_GPG SCHDULES" xfId="667"/>
    <cellStyle name="Normal_Sheet1_laroux" xfId="668"/>
    <cellStyle name="Normal_Sheet1_NNG1st_pass" xfId="669"/>
    <cellStyle name="Normal_Sheet1_OCT27" xfId="670"/>
    <cellStyle name="Normal_Sheet1_Sep29" xfId="671"/>
    <cellStyle name="Normal_Sheet1_TW1st_pass" xfId="672"/>
    <cellStyle name="Normal_Sheet4" xfId="673"/>
    <cellStyle name="Normal_Sheet4_pldt" xfId="674"/>
    <cellStyle name="Normal_Shipped" xfId="675"/>
    <cellStyle name="Normal_Staff cost%rev" xfId="676"/>
    <cellStyle name="Normal_Standard" xfId="677"/>
    <cellStyle name="Normal_STATS" xfId="678"/>
    <cellStyle name="Normal_stats_Corp Schedules" xfId="679"/>
    <cellStyle name="Normal_STATS_Format2" xfId="680"/>
    <cellStyle name="Normal_stats_Obligations" xfId="681"/>
    <cellStyle name="Normal_STATS_schdules" xfId="682"/>
    <cellStyle name="Normal_stretch detail" xfId="683"/>
    <cellStyle name="Normal_Summary" xfId="684"/>
    <cellStyle name="Normal_SYSPLN98" xfId="685"/>
    <cellStyle name="Normal_SYSPLN99" xfId="686"/>
    <cellStyle name="Normal_TARGET4" xfId="687"/>
    <cellStyle name="Normal_TARGFF00" xfId="688"/>
    <cellStyle name="Normal_TARGOB00" xfId="689"/>
    <cellStyle name="Normal_Terms Defined" xfId="690"/>
    <cellStyle name="Normal_TMSNW1" xfId="691"/>
    <cellStyle name="Normal_TMSNW2" xfId="692"/>
    <cellStyle name="Normal_TMSOCPX" xfId="693"/>
    <cellStyle name="Normal_Total Obligation Format" xfId="694"/>
    <cellStyle name="Normal_Total Obligations by Company" xfId="695"/>
    <cellStyle name="Normal_Total-Rev dist." xfId="696"/>
    <cellStyle name="Normal_totalobl" xfId="697"/>
    <cellStyle name="Normal_TW" xfId="698"/>
    <cellStyle name="Normal_TW -4" xfId="699"/>
    <cellStyle name="Normal_TW Corp Cash Flow from Kleb" xfId="700"/>
    <cellStyle name="Normal_TW1st_pass" xfId="701"/>
    <cellStyle name="Normal_TW99-2CE" xfId="702"/>
    <cellStyle name="Normal_UNITS 1-4" xfId="703"/>
    <cellStyle name="Normal_UNITS 5 &amp; 6" xfId="704"/>
    <cellStyle name="Normal_Variance" xfId="705"/>
    <cellStyle name="Normal_VARIATIONS" xfId="706"/>
    <cellStyle name="Normal_WANDA" xfId="707"/>
    <cellStyle name="Normal_WGR OFFER NBV (2)" xfId="708"/>
    <cellStyle name="Normal_wilber" xfId="709"/>
    <cellStyle name="Normal_WIP Chart" xfId="710"/>
    <cellStyle name="Percent [2]" xfId="711"/>
    <cellStyle name="Percent_12~3SO2" xfId="712"/>
    <cellStyle name="Percent_laroux" xfId="71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externalLink" Target="externalLinks/externalLink2.xml"/><Relationship Id="rId10" Type="http://schemas.openxmlformats.org/officeDocument/2006/relationships/externalLink" Target="externalLinks/externalLink3.xml"/><Relationship Id="rId11" Type="http://schemas.openxmlformats.org/officeDocument/2006/relationships/externalLink" Target="externalLinks/externalLink4.xml"/><Relationship Id="rId12" Type="http://schemas.openxmlformats.org/officeDocument/2006/relationships/externalLink" Target="externalLinks/externalLink5.xml"/><Relationship Id="rId13" Type="http://schemas.openxmlformats.org/officeDocument/2006/relationships/externalLink" Target="externalLinks/externalLink6.xml"/><Relationship Id="rId14" Type="http://schemas.openxmlformats.org/officeDocument/2006/relationships/externalLink" Target="externalLinks/externalLink7.xml"/><Relationship Id="rId15" Type="http://schemas.openxmlformats.org/officeDocument/2006/relationships/externalLink" Target="externalLinks/externalLink8.xml"/><Relationship Id="rId1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CAPITAL/eXTRA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9901Plan/cap_ch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CURREST/1st98/Model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~ME173A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1999ce/3rdce/GPGSCHEDULES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APITAL/98/1stCE/TWCAPEX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2000%20Plan/&apos;00-02%20GPG%20SCHDULES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2000%20Plan/GPG%20SCHDULE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RR"/>
      <sheetName val="Peak Day"/>
      <sheetName val="Summary TW"/>
      <sheetName val="Summary NNG"/>
      <sheetName val="highlights"/>
      <sheetName val="CONTENT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ORMAT"/>
      <sheetName val="cap_ch"/>
      <sheetName val="#REF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onthly"/>
      <sheetName val="CoSumm"/>
      <sheetName val="GPG"/>
      <sheetName val="ECT"/>
      <sheetName val="EUROPE"/>
      <sheetName val="EOG"/>
      <sheetName val="EINT"/>
      <sheetName val="CFEOTT"/>
      <sheetName val="PGC"/>
      <sheetName val="EREC"/>
      <sheetName val="EES"/>
      <sheetName val="CORP"/>
      <sheetName val="ECM"/>
      <sheetName val="FIN"/>
      <sheetName val="EOGMI"/>
      <sheetName val="EESMI"/>
      <sheetName val="ERECMI"/>
      <sheetName val="MAC"/>
      <sheetName val="IndCoVariance"/>
      <sheetName val="Variance"/>
      <sheetName val="CONSOL_MOD"/>
      <sheetName val="PRINT_MOD"/>
      <sheetName val="PRINT_RESET_MOD"/>
      <sheetName val="CO_SUM_MOD"/>
      <sheetName val="MISC_MOD"/>
      <sheetName val="VARIANCE_MODU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NG-Plan Var."/>
      <sheetName val="TW-Plan Var."/>
      <sheetName val="NNG-1998 Var."/>
      <sheetName val="TW-1998 Var."/>
      <sheetName val="updown"/>
      <sheetName val="Reserves-NNG"/>
      <sheetName val="NNG-CF Var."/>
      <sheetName val="TW-CF Var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F_QTR"/>
      <sheetName val="CF"/>
      <sheetName val="TW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MAJASSUM-TW"/>
      <sheetName val="MAJASSUM-NNG"/>
      <sheetName val="STATS-TW"/>
      <sheetName val="STATS-NNG"/>
      <sheetName val="TW Detail NI "/>
      <sheetName val="NNG Detail NI "/>
      <sheetName val="NNG Other"/>
      <sheetName val="TW Other"/>
      <sheetName val="TW QTR INC"/>
      <sheetName val="NNG QTR INC"/>
      <sheetName val="TW YR-YR IBIT"/>
      <sheetName val="NNG YR-YR IBIT"/>
      <sheetName val="O&amp;M_NNG"/>
      <sheetName val="O&amp;M-TW"/>
      <sheetName val="NNG YR-YR FF"/>
      <sheetName val="TW YR-YR FF"/>
      <sheetName val="NNG YR-YR OB "/>
      <sheetName val="TW YR-YR OB "/>
      <sheetName val="NNG Exposure"/>
      <sheetName val="TW Exposure"/>
      <sheetName val="NNG Capital Sum"/>
      <sheetName val="NNG Cap Detail"/>
      <sheetName val="TW Capital Sum"/>
      <sheetName val="TW Cap Detail"/>
      <sheetName val="NNG STAFFING BY EMPLOYEE STATUS"/>
      <sheetName val="NNG STAFFING BY LOCATION"/>
      <sheetName val="TW STAFFING BY EMPLOYEE STATUS"/>
      <sheetName val="TW STAFFING BY LOC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MAJASSUM-TW"/>
      <sheetName val="MAJASSUM-NNG"/>
      <sheetName val="STATS-TW"/>
      <sheetName val="STATS-NNG"/>
      <sheetName val="TW Detail NI "/>
      <sheetName val="NNG Detail NI"/>
      <sheetName val="Income Detail"/>
      <sheetName val="QTR INC"/>
      <sheetName val="FundsFlow"/>
      <sheetName val="Obligations"/>
      <sheetName val="EXPOSURES"/>
      <sheetName val="YR-YR IBIT"/>
      <sheetName val="YR-YR FF"/>
      <sheetName val="YR-YR OB"/>
      <sheetName val="O&amp;M-TW"/>
      <sheetName val="O&amp;M_NNG"/>
      <sheetName val="O&amp;M by Process"/>
      <sheetName val="capex"/>
      <sheetName val="STAFFING"/>
      <sheetName val="CORP REQUIRED"/>
      <sheetName val="OTHER OBLIGATION"/>
      <sheetName val="PRMA"/>
      <sheetName val="Merchant"/>
      <sheetName val="CapEx &amp; Investing"/>
      <sheetName val="Investing"/>
      <sheetName val="Investing Supp"/>
      <sheetName val="ASSET S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15625" defaultRowHeight="13.2" customHeight="true" zeroHeight="false" outlineLevelRow="0" outlineLevelCol="0"/>
  <cols>
    <col collapsed="false" customWidth="true" hidden="false" outlineLevel="0" max="2" min="1" style="1" width="1.66"/>
    <col collapsed="false" customWidth="true" hidden="false" outlineLevel="0" max="3" min="3" style="1" width="35.66"/>
    <col collapsed="false" customWidth="true" hidden="false" outlineLevel="0" max="4" min="4" style="1" width="5.66"/>
    <col collapsed="false" customWidth="true" hidden="false" outlineLevel="0" max="5" min="5" style="1" width="8.66"/>
    <col collapsed="false" customWidth="true" hidden="false" outlineLevel="0" max="6" min="6" style="1" width="2.66"/>
    <col collapsed="false" customWidth="true" hidden="false" outlineLevel="0" max="7" min="7" style="1" width="8.66"/>
    <col collapsed="false" customWidth="true" hidden="false" outlineLevel="0" max="8" min="8" style="1" width="2.66"/>
    <col collapsed="false" customWidth="true" hidden="false" outlineLevel="0" max="9" min="9" style="1" width="8.66"/>
    <col collapsed="false" customWidth="true" hidden="false" outlineLevel="0" max="10" min="10" style="1" width="2.66"/>
    <col collapsed="false" customWidth="true" hidden="false" outlineLevel="0" max="11" min="11" style="1" width="8.66"/>
    <col collapsed="false" customWidth="true" hidden="false" outlineLevel="0" max="12" min="12" style="1" width="2.66"/>
    <col collapsed="false" customWidth="true" hidden="false" outlineLevel="0" max="13" min="13" style="1" width="8.66"/>
    <col collapsed="false" customWidth="true" hidden="false" outlineLevel="0" max="14" min="14" style="1" width="2.66"/>
    <col collapsed="false" customWidth="true" hidden="false" outlineLevel="0" max="15" min="15" style="1" width="8.66"/>
    <col collapsed="false" customWidth="true" hidden="false" outlineLevel="0" max="16" min="16" style="1" width="2.66"/>
    <col collapsed="false" customWidth="true" hidden="false" outlineLevel="0" max="17" min="17" style="1" width="8.66"/>
    <col collapsed="false" customWidth="true" hidden="false" outlineLevel="0" max="18" min="18" style="1" width="2.66"/>
    <col collapsed="false" customWidth="true" hidden="false" outlineLevel="0" max="19" min="19" style="1" width="8.66"/>
    <col collapsed="false" customWidth="true" hidden="false" outlineLevel="0" max="20" min="20" style="1" width="2.66"/>
    <col collapsed="false" customWidth="true" hidden="false" outlineLevel="0" max="21" min="21" style="1" width="8.66"/>
    <col collapsed="false" customWidth="true" hidden="false" outlineLevel="0" max="22" min="22" style="1" width="2.66"/>
    <col collapsed="false" customWidth="true" hidden="false" outlineLevel="0" max="23" min="23" style="1" width="8.66"/>
    <col collapsed="false" customWidth="false" hidden="false" outlineLevel="0" max="257" min="24" style="1" width="9.1"/>
  </cols>
  <sheetData>
    <row r="1" customFormat="false" ht="15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customFormat="false" ht="15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customFormat="false" ht="12.75" hidden="false" customHeight="tru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customFormat="false" ht="12.75" hidden="false" customHeight="true" outlineLevel="0" collapsed="false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6"/>
      <c r="U4" s="6"/>
    </row>
    <row r="5" customFormat="false" ht="12.75" hidden="false" customHeight="true" outlineLevel="0" collapsed="false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7"/>
      <c r="R5" s="8"/>
      <c r="S5" s="3"/>
      <c r="T5" s="6"/>
      <c r="U5" s="6"/>
    </row>
    <row r="6" customFormat="false" ht="12.75" hidden="false" customHeight="true" outlineLevel="0" collapsed="false">
      <c r="A6" s="6"/>
      <c r="B6" s="6"/>
      <c r="C6" s="6"/>
      <c r="D6" s="9"/>
      <c r="E6" s="10" t="s">
        <v>3</v>
      </c>
      <c r="F6" s="9"/>
      <c r="G6" s="10" t="s">
        <v>4</v>
      </c>
      <c r="H6" s="9"/>
      <c r="I6" s="10" t="s">
        <v>5</v>
      </c>
      <c r="J6" s="9"/>
      <c r="K6" s="10" t="s">
        <v>6</v>
      </c>
      <c r="L6" s="9"/>
      <c r="M6" s="10" t="s">
        <v>7</v>
      </c>
      <c r="N6" s="9"/>
      <c r="O6" s="10" t="s">
        <v>8</v>
      </c>
      <c r="P6" s="10"/>
      <c r="Q6" s="10" t="s">
        <v>9</v>
      </c>
      <c r="R6" s="11"/>
      <c r="S6" s="12" t="n">
        <v>2000</v>
      </c>
      <c r="T6" s="6"/>
      <c r="U6" s="12" t="n">
        <v>2001</v>
      </c>
      <c r="V6" s="11"/>
      <c r="W6" s="12" t="n">
        <v>2002</v>
      </c>
    </row>
    <row r="7" customFormat="false" ht="12.75" hidden="false" customHeight="true" outlineLevel="0" collapsed="false">
      <c r="A7" s="6"/>
      <c r="B7" s="6"/>
      <c r="C7" s="6"/>
      <c r="D7" s="13"/>
      <c r="E7" s="14" t="s">
        <v>10</v>
      </c>
      <c r="F7" s="13"/>
      <c r="G7" s="14" t="s">
        <v>10</v>
      </c>
      <c r="H7" s="13"/>
      <c r="I7" s="14" t="s">
        <v>10</v>
      </c>
      <c r="J7" s="13"/>
      <c r="K7" s="14" t="s">
        <v>10</v>
      </c>
      <c r="L7" s="13"/>
      <c r="M7" s="14" t="s">
        <v>10</v>
      </c>
      <c r="N7" s="13"/>
      <c r="O7" s="14" t="s">
        <v>10</v>
      </c>
      <c r="P7" s="11"/>
      <c r="Q7" s="14" t="s">
        <v>10</v>
      </c>
      <c r="R7" s="11"/>
      <c r="S7" s="15" t="s">
        <v>11</v>
      </c>
      <c r="T7" s="6"/>
      <c r="U7" s="15" t="s">
        <v>11</v>
      </c>
      <c r="V7" s="11"/>
      <c r="W7" s="15" t="s">
        <v>11</v>
      </c>
    </row>
    <row r="8" customFormat="false" ht="12.75" hidden="false" customHeight="true" outlineLevel="0" collapsed="false">
      <c r="A8" s="16" t="s">
        <v>12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2.75" hidden="false" customHeight="true" outlineLevel="0" collapsed="false">
      <c r="A9" s="16"/>
      <c r="B9" s="6" t="s">
        <v>13</v>
      </c>
      <c r="C9" s="6"/>
      <c r="D9" s="17"/>
      <c r="E9" s="18" t="n">
        <f aca="false">301.2-1.5-2.6-15.3-7.2</f>
        <v>274.6</v>
      </c>
      <c r="F9" s="17"/>
      <c r="G9" s="18" t="n">
        <f aca="false">344.5-1.3-2.6+0.4</f>
        <v>341</v>
      </c>
      <c r="H9" s="17"/>
      <c r="I9" s="18" t="n">
        <f aca="false">354.1-1.3-7.5+2.9</f>
        <v>348.2</v>
      </c>
      <c r="J9" s="17"/>
      <c r="K9" s="19" t="n">
        <v>351.1</v>
      </c>
      <c r="L9" s="17"/>
      <c r="M9" s="19" t="n">
        <v>353.1</v>
      </c>
      <c r="N9" s="17"/>
      <c r="O9" s="18" t="n">
        <f aca="false">(351.3+9.5)+0.3-9.5</f>
        <v>351.6</v>
      </c>
      <c r="P9" s="20"/>
      <c r="Q9" s="18" t="n">
        <f aca="false">(371.5-9.5)-16+9.5-4.4</f>
        <v>351.1</v>
      </c>
      <c r="R9" s="19"/>
      <c r="S9" s="19" t="n">
        <v>327.3</v>
      </c>
      <c r="T9" s="11"/>
      <c r="U9" s="21" t="n">
        <v>328.6</v>
      </c>
      <c r="V9" s="21"/>
      <c r="W9" s="21" t="n">
        <v>329.3</v>
      </c>
    </row>
    <row r="10" customFormat="false" ht="12.75" hidden="false" customHeight="true" outlineLevel="0" collapsed="false">
      <c r="A10" s="16"/>
      <c r="B10" s="6"/>
      <c r="C10" s="22" t="s">
        <v>14</v>
      </c>
      <c r="D10" s="17"/>
      <c r="E10" s="23" t="n">
        <f aca="false">184.4+(42.6-37.9)</f>
        <v>189.1</v>
      </c>
      <c r="F10" s="17"/>
      <c r="G10" s="23" t="n">
        <f aca="false">117.6+(36.3-37.9)</f>
        <v>116</v>
      </c>
      <c r="H10" s="17"/>
      <c r="I10" s="19" t="n">
        <v>70.8</v>
      </c>
      <c r="J10" s="17"/>
      <c r="K10" s="19" t="n">
        <v>60.5</v>
      </c>
      <c r="L10" s="17"/>
      <c r="M10" s="19" t="n">
        <v>50.2</v>
      </c>
      <c r="N10" s="17"/>
      <c r="O10" s="19" t="n">
        <v>43.6</v>
      </c>
      <c r="P10" s="19"/>
      <c r="Q10" s="19" t="n">
        <v>40.8</v>
      </c>
      <c r="R10" s="19"/>
      <c r="S10" s="19" t="n">
        <v>31.7</v>
      </c>
      <c r="T10" s="11"/>
      <c r="U10" s="21" t="n">
        <v>31.8</v>
      </c>
      <c r="V10" s="21"/>
      <c r="W10" s="21" t="n">
        <v>31.9</v>
      </c>
    </row>
    <row r="11" customFormat="false" ht="12.75" hidden="false" customHeight="true" outlineLevel="0" collapsed="false">
      <c r="A11" s="16"/>
      <c r="B11" s="6" t="s">
        <v>15</v>
      </c>
      <c r="C11" s="6"/>
      <c r="D11" s="17"/>
      <c r="E11" s="20" t="n">
        <v>22.9</v>
      </c>
      <c r="F11" s="17"/>
      <c r="G11" s="20" t="n">
        <v>30.2</v>
      </c>
      <c r="H11" s="17"/>
      <c r="I11" s="20" t="n">
        <v>29.2</v>
      </c>
      <c r="J11" s="17"/>
      <c r="K11" s="19" t="n">
        <v>29.7</v>
      </c>
      <c r="L11" s="17"/>
      <c r="M11" s="19" t="n">
        <v>33.7</v>
      </c>
      <c r="N11" s="17"/>
      <c r="O11" s="19" t="n">
        <v>36.3</v>
      </c>
      <c r="P11" s="19"/>
      <c r="Q11" s="19" t="n">
        <v>36.1</v>
      </c>
      <c r="R11" s="19"/>
      <c r="S11" s="21" t="n">
        <v>35</v>
      </c>
      <c r="T11" s="11"/>
      <c r="U11" s="21" t="n">
        <v>35</v>
      </c>
      <c r="V11" s="21"/>
      <c r="W11" s="21" t="n">
        <v>35</v>
      </c>
    </row>
    <row r="12" customFormat="false" ht="12.75" hidden="false" customHeight="true" outlineLevel="0" collapsed="false">
      <c r="A12" s="16"/>
      <c r="B12" s="22" t="s">
        <v>16</v>
      </c>
      <c r="C12" s="22"/>
      <c r="D12" s="6"/>
      <c r="E12" s="19" t="n">
        <v>0</v>
      </c>
      <c r="F12" s="6"/>
      <c r="G12" s="19" t="n">
        <v>0</v>
      </c>
      <c r="H12" s="6"/>
      <c r="I12" s="19" t="n">
        <v>0</v>
      </c>
      <c r="J12" s="6"/>
      <c r="K12" s="19" t="n">
        <v>0</v>
      </c>
      <c r="L12" s="6"/>
      <c r="M12" s="19" t="n">
        <v>0</v>
      </c>
      <c r="N12" s="6"/>
      <c r="O12" s="19" t="n">
        <v>0</v>
      </c>
      <c r="P12" s="19"/>
      <c r="Q12" s="19" t="n">
        <v>0</v>
      </c>
      <c r="R12" s="6"/>
      <c r="S12" s="19" t="n">
        <v>27.6</v>
      </c>
      <c r="T12" s="6"/>
      <c r="U12" s="19" t="n">
        <v>33.2</v>
      </c>
      <c r="V12" s="24"/>
      <c r="W12" s="19" t="n">
        <v>41.2</v>
      </c>
    </row>
    <row r="13" customFormat="false" ht="12.75" hidden="false" customHeight="true" outlineLevel="0" collapsed="false">
      <c r="A13" s="16"/>
      <c r="B13" s="22" t="s">
        <v>17</v>
      </c>
      <c r="C13" s="22"/>
      <c r="D13" s="6"/>
      <c r="E13" s="19" t="n">
        <v>0</v>
      </c>
      <c r="F13" s="6"/>
      <c r="G13" s="19" t="n">
        <v>0</v>
      </c>
      <c r="H13" s="6"/>
      <c r="I13" s="19" t="n">
        <v>0</v>
      </c>
      <c r="J13" s="6"/>
      <c r="K13" s="19" t="n">
        <v>0</v>
      </c>
      <c r="L13" s="6"/>
      <c r="M13" s="19" t="n">
        <v>0</v>
      </c>
      <c r="N13" s="6"/>
      <c r="O13" s="19" t="n">
        <v>0</v>
      </c>
      <c r="P13" s="19"/>
      <c r="Q13" s="19" t="n">
        <v>0</v>
      </c>
      <c r="R13" s="6"/>
      <c r="S13" s="19" t="n">
        <v>5</v>
      </c>
      <c r="T13" s="6"/>
      <c r="U13" s="19" t="n">
        <v>7.5</v>
      </c>
      <c r="V13" s="24"/>
      <c r="W13" s="19" t="n">
        <v>7.5</v>
      </c>
    </row>
    <row r="14" customFormat="false" ht="12.75" hidden="false" customHeight="true" outlineLevel="0" collapsed="false">
      <c r="A14" s="16"/>
      <c r="B14" s="1" t="s">
        <v>18</v>
      </c>
      <c r="C14" s="6"/>
      <c r="D14" s="17"/>
      <c r="E14" s="19" t="n">
        <v>0</v>
      </c>
      <c r="F14" s="17"/>
      <c r="G14" s="19" t="n">
        <v>0</v>
      </c>
      <c r="H14" s="17"/>
      <c r="I14" s="19" t="n">
        <v>0</v>
      </c>
      <c r="J14" s="17"/>
      <c r="K14" s="19" t="n">
        <v>0</v>
      </c>
      <c r="L14" s="17"/>
      <c r="M14" s="19" t="n">
        <v>0</v>
      </c>
      <c r="N14" s="17"/>
      <c r="O14" s="19" t="n">
        <v>0</v>
      </c>
      <c r="P14" s="19"/>
      <c r="Q14" s="19" t="n">
        <v>0</v>
      </c>
      <c r="R14" s="19"/>
      <c r="S14" s="19" t="n">
        <v>6.2</v>
      </c>
      <c r="T14" s="6"/>
      <c r="U14" s="19" t="n">
        <v>6.3</v>
      </c>
      <c r="V14" s="24"/>
      <c r="W14" s="19" t="n">
        <v>8.3</v>
      </c>
    </row>
    <row r="15" customFormat="false" ht="12.75" hidden="false" customHeight="true" outlineLevel="0" collapsed="false">
      <c r="A15" s="16"/>
      <c r="B15" s="22" t="s">
        <v>19</v>
      </c>
      <c r="C15" s="6"/>
      <c r="D15" s="17"/>
      <c r="E15" s="25" t="n">
        <f aca="false">(13.7-2.8)-7.5</f>
        <v>3.4</v>
      </c>
      <c r="F15" s="17"/>
      <c r="G15" s="25" t="n">
        <f aca="false">4.2-0.5</f>
        <v>3.7</v>
      </c>
      <c r="H15" s="17"/>
      <c r="I15" s="25" t="n">
        <f aca="false">(5.6-0.7)-2.6-0.8</f>
        <v>1.5</v>
      </c>
      <c r="J15" s="17"/>
      <c r="K15" s="26" t="n">
        <v>0</v>
      </c>
      <c r="L15" s="17"/>
      <c r="M15" s="26" t="n">
        <v>0.2</v>
      </c>
      <c r="N15" s="17"/>
      <c r="O15" s="25" t="n">
        <f aca="false">0.7-0.5</f>
        <v>0.2</v>
      </c>
      <c r="P15" s="17"/>
      <c r="Q15" s="26" t="n">
        <f aca="false">-1+0.2</f>
        <v>-0.8</v>
      </c>
      <c r="R15" s="19"/>
      <c r="S15" s="26" t="n">
        <v>1</v>
      </c>
      <c r="T15" s="11"/>
      <c r="U15" s="27" t="n">
        <v>1</v>
      </c>
      <c r="V15" s="21"/>
      <c r="W15" s="27" t="n">
        <v>1</v>
      </c>
    </row>
    <row r="16" customFormat="false" ht="3.9" hidden="false" customHeight="true" outlineLevel="0" collapsed="false">
      <c r="A16" s="16"/>
      <c r="B16" s="22"/>
      <c r="C16" s="6"/>
      <c r="D16" s="17"/>
      <c r="E16" s="19"/>
      <c r="F16" s="17"/>
      <c r="G16" s="19"/>
      <c r="H16" s="17"/>
      <c r="I16" s="19"/>
      <c r="J16" s="17"/>
      <c r="K16" s="19"/>
      <c r="L16" s="17"/>
      <c r="M16" s="19"/>
      <c r="N16" s="17"/>
      <c r="O16" s="19"/>
      <c r="P16" s="17"/>
      <c r="Q16" s="19"/>
      <c r="R16" s="19"/>
      <c r="S16" s="17"/>
      <c r="T16" s="6"/>
      <c r="U16" s="28"/>
      <c r="V16" s="24"/>
      <c r="W16" s="24"/>
    </row>
    <row r="17" customFormat="false" ht="12.75" hidden="false" customHeight="true" outlineLevel="0" collapsed="false">
      <c r="A17" s="16"/>
      <c r="B17" s="6"/>
      <c r="C17" s="16" t="s">
        <v>20</v>
      </c>
      <c r="D17" s="29"/>
      <c r="E17" s="29" t="n">
        <f aca="false">SUM(E9:E15)</f>
        <v>490</v>
      </c>
      <c r="F17" s="29"/>
      <c r="G17" s="29" t="n">
        <f aca="false">SUM(G9:G15)</f>
        <v>490.9</v>
      </c>
      <c r="H17" s="29"/>
      <c r="I17" s="29" t="n">
        <f aca="false">SUM(I9:I15)</f>
        <v>449.7</v>
      </c>
      <c r="J17" s="29"/>
      <c r="K17" s="29" t="n">
        <f aca="false">SUM(K9:K15)</f>
        <v>441.3</v>
      </c>
      <c r="L17" s="29"/>
      <c r="M17" s="29" t="n">
        <f aca="false">SUM(M9:M15)</f>
        <v>437.2</v>
      </c>
      <c r="N17" s="29"/>
      <c r="O17" s="29" t="n">
        <f aca="false">SUM(O9:O15)</f>
        <v>431.7</v>
      </c>
      <c r="P17" s="29"/>
      <c r="Q17" s="29" t="n">
        <f aca="false">SUM(Q9:Q15)</f>
        <v>427.2</v>
      </c>
      <c r="R17" s="29"/>
      <c r="S17" s="29" t="n">
        <f aca="false">SUM(S9:S15)</f>
        <v>433.8</v>
      </c>
      <c r="T17" s="28"/>
      <c r="U17" s="30" t="n">
        <f aca="false">SUM(U9:U15)</f>
        <v>443.4</v>
      </c>
      <c r="V17" s="24"/>
      <c r="W17" s="30" t="n">
        <f aca="false">SUM(W9:W15)</f>
        <v>454.2</v>
      </c>
    </row>
    <row r="18" customFormat="false" ht="3.9" hidden="false" customHeight="true" outlineLevel="0" collapsed="false">
      <c r="A18" s="16"/>
      <c r="B18" s="6"/>
      <c r="C18" s="22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28"/>
      <c r="U18" s="28"/>
      <c r="V18" s="24"/>
      <c r="W18" s="24"/>
    </row>
    <row r="19" customFormat="false" ht="12.75" hidden="false" customHeight="true" outlineLevel="0" collapsed="false">
      <c r="A19" s="16"/>
      <c r="B19" s="22" t="s">
        <v>21</v>
      </c>
      <c r="C19" s="22"/>
      <c r="D19" s="17"/>
      <c r="E19" s="19" t="n">
        <v>0</v>
      </c>
      <c r="F19" s="17"/>
      <c r="G19" s="19" t="n">
        <v>0</v>
      </c>
      <c r="H19" s="17"/>
      <c r="I19" s="19" t="n">
        <v>0</v>
      </c>
      <c r="J19" s="17"/>
      <c r="K19" s="19" t="n">
        <v>0</v>
      </c>
      <c r="L19" s="17"/>
      <c r="M19" s="19" t="n">
        <v>0</v>
      </c>
      <c r="N19" s="17"/>
      <c r="O19" s="19" t="n">
        <v>0</v>
      </c>
      <c r="P19" s="17"/>
      <c r="Q19" s="19" t="n">
        <v>2.2</v>
      </c>
      <c r="R19" s="17"/>
      <c r="S19" s="19" t="n">
        <v>2.3</v>
      </c>
      <c r="T19" s="6"/>
      <c r="U19" s="21" t="n">
        <v>2.3</v>
      </c>
      <c r="V19" s="21"/>
      <c r="W19" s="21" t="n">
        <v>2.3</v>
      </c>
    </row>
    <row r="20" customFormat="false" ht="12.75" hidden="false" customHeight="true" outlineLevel="0" collapsed="false">
      <c r="A20" s="16"/>
      <c r="B20" s="6" t="s">
        <v>22</v>
      </c>
      <c r="C20" s="22"/>
      <c r="D20" s="17"/>
      <c r="E20" s="31" t="n">
        <f aca="false">25.8-22.9-5.2</f>
        <v>-2.3</v>
      </c>
      <c r="F20" s="17"/>
      <c r="G20" s="31" t="n">
        <f aca="false">38.3-30.2-5.2-2.4</f>
        <v>0.499999999999998</v>
      </c>
      <c r="H20" s="17"/>
      <c r="I20" s="25" t="n">
        <f aca="false">33.3-29.2-4.1</f>
        <v>0</v>
      </c>
      <c r="J20" s="17"/>
      <c r="K20" s="26" t="n">
        <v>3.5</v>
      </c>
      <c r="L20" s="17"/>
      <c r="M20" s="25" t="n">
        <f aca="false">5.9-2.5-1.1-0.3</f>
        <v>2</v>
      </c>
      <c r="N20" s="17"/>
      <c r="O20" s="25" t="n">
        <f aca="false">2.8-1.5-0.3</f>
        <v>1</v>
      </c>
      <c r="P20" s="17"/>
      <c r="Q20" s="25" t="n">
        <f aca="false">1-0.2+0.2</f>
        <v>1</v>
      </c>
      <c r="R20" s="17"/>
      <c r="S20" s="25" t="n">
        <f aca="false">0.3+0.3</f>
        <v>0.6</v>
      </c>
      <c r="T20" s="6"/>
      <c r="U20" s="27" t="n">
        <v>0.3</v>
      </c>
      <c r="V20" s="21"/>
      <c r="W20" s="27" t="n">
        <v>0.3</v>
      </c>
    </row>
    <row r="21" customFormat="false" ht="3.9" hidden="false" customHeight="true" outlineLevel="0" collapsed="false">
      <c r="A21" s="16"/>
      <c r="B21" s="6"/>
      <c r="C21" s="22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6"/>
      <c r="U21" s="28"/>
      <c r="V21" s="24"/>
      <c r="W21" s="24"/>
    </row>
    <row r="22" customFormat="false" ht="12.75" hidden="false" customHeight="true" outlineLevel="0" collapsed="false">
      <c r="A22" s="16"/>
      <c r="B22" s="6"/>
      <c r="C22" s="22" t="s">
        <v>23</v>
      </c>
      <c r="D22" s="17"/>
      <c r="E22" s="17" t="n">
        <f aca="false">SUM(E17:E20)</f>
        <v>487.7</v>
      </c>
      <c r="F22" s="17"/>
      <c r="G22" s="17" t="n">
        <f aca="false">SUM(G17:G20)</f>
        <v>491.4</v>
      </c>
      <c r="H22" s="17"/>
      <c r="I22" s="17" t="n">
        <f aca="false">SUM(I17:I20)</f>
        <v>449.7</v>
      </c>
      <c r="J22" s="17"/>
      <c r="K22" s="17" t="n">
        <f aca="false">SUM(K17:K20)</f>
        <v>444.8</v>
      </c>
      <c r="L22" s="17"/>
      <c r="M22" s="17" t="n">
        <f aca="false">SUM(M17:M20)</f>
        <v>439.2</v>
      </c>
      <c r="N22" s="17"/>
      <c r="O22" s="17" t="n">
        <f aca="false">SUM(O17:O20)</f>
        <v>432.7</v>
      </c>
      <c r="P22" s="17"/>
      <c r="Q22" s="17" t="n">
        <f aca="false">SUM(Q17:Q20)</f>
        <v>430.4</v>
      </c>
      <c r="R22" s="17"/>
      <c r="S22" s="17" t="n">
        <f aca="false">SUM(S17:S20)</f>
        <v>436.7</v>
      </c>
      <c r="T22" s="28"/>
      <c r="U22" s="32" t="n">
        <f aca="false">SUM(U17:U20)</f>
        <v>446</v>
      </c>
      <c r="V22" s="28"/>
      <c r="W22" s="32" t="n">
        <f aca="false">SUM(W17:W20)</f>
        <v>456.8</v>
      </c>
    </row>
    <row r="23" customFormat="false" ht="6" hidden="false" customHeight="true" outlineLevel="0" collapsed="false">
      <c r="A23" s="16"/>
      <c r="B23" s="6"/>
      <c r="C23" s="22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6"/>
      <c r="U23" s="28"/>
      <c r="V23" s="24"/>
      <c r="W23" s="24"/>
    </row>
    <row r="24" customFormat="false" ht="12.75" hidden="false" customHeight="true" outlineLevel="0" collapsed="false">
      <c r="A24" s="33" t="s">
        <v>24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28"/>
      <c r="V24" s="24"/>
      <c r="W24" s="24"/>
    </row>
    <row r="25" customFormat="false" ht="12.75" hidden="false" customHeight="true" outlineLevel="0" collapsed="false">
      <c r="A25" s="6"/>
      <c r="B25" s="22" t="s">
        <v>25</v>
      </c>
      <c r="C25" s="6"/>
      <c r="D25" s="17"/>
      <c r="E25" s="18" t="n">
        <f aca="false">-125-11.7+15.5+8.6+7.7</f>
        <v>-104.9</v>
      </c>
      <c r="F25" s="17"/>
      <c r="G25" s="18" t="n">
        <f aca="false">-145.3-0.3+15.5+8.6</f>
        <v>-121.5</v>
      </c>
      <c r="H25" s="17"/>
      <c r="I25" s="18" t="n">
        <f aca="false">-143.7-1.1-0.3+2.1+4.8+5+15.5</f>
        <v>-117.7</v>
      </c>
      <c r="J25" s="17"/>
      <c r="K25" s="18" t="n">
        <f aca="false">-125.1-2.5-1.4</f>
        <v>-129</v>
      </c>
      <c r="L25" s="17"/>
      <c r="M25" s="18" t="n">
        <f aca="false">-113.9-7</f>
        <v>-120.9</v>
      </c>
      <c r="N25" s="17"/>
      <c r="O25" s="18" t="n">
        <f aca="false">-101.7-2.5-1.7-1.1-1.3-0.5-2.4-5.4</f>
        <v>-116.6</v>
      </c>
      <c r="P25" s="17"/>
      <c r="Q25" s="18" t="n">
        <f aca="false">-125-3.5+3.5-2+1.1+0.8+0.2+0.1</f>
        <v>-124.8</v>
      </c>
      <c r="R25" s="19"/>
      <c r="S25" s="19" t="n">
        <v>-121.2</v>
      </c>
      <c r="T25" s="6"/>
      <c r="U25" s="19" t="n">
        <v>-121.2</v>
      </c>
      <c r="V25" s="24"/>
      <c r="W25" s="19" t="n">
        <v>-121.2</v>
      </c>
    </row>
    <row r="26" customFormat="false" ht="12.75" hidden="false" customHeight="true" outlineLevel="0" collapsed="false">
      <c r="A26" s="33"/>
      <c r="B26" s="6"/>
      <c r="C26" s="22" t="s">
        <v>26</v>
      </c>
      <c r="D26" s="17"/>
      <c r="E26" s="19" t="n">
        <v>-54.7</v>
      </c>
      <c r="F26" s="17"/>
      <c r="G26" s="19" t="n">
        <v>-49</v>
      </c>
      <c r="H26" s="17"/>
      <c r="I26" s="19" t="n">
        <v>-45.3</v>
      </c>
      <c r="J26" s="17"/>
      <c r="K26" s="19" t="n">
        <v>-44.1</v>
      </c>
      <c r="L26" s="17"/>
      <c r="M26" s="18" t="n">
        <f aca="false">-45.5-1.4-0.3</f>
        <v>-47.2</v>
      </c>
      <c r="N26" s="17"/>
      <c r="O26" s="19" t="n">
        <v>-43.3</v>
      </c>
      <c r="P26" s="17"/>
      <c r="Q26" s="18" t="n">
        <f aca="false">-42.5+0.3</f>
        <v>-42.2</v>
      </c>
      <c r="R26" s="19"/>
      <c r="S26" s="19" t="n">
        <v>-42.8</v>
      </c>
      <c r="T26" s="6"/>
      <c r="U26" s="19" t="n">
        <v>-42.8</v>
      </c>
      <c r="V26" s="24"/>
      <c r="W26" s="19" t="n">
        <v>-42.8</v>
      </c>
    </row>
    <row r="27" customFormat="false" ht="12.75" hidden="false" customHeight="true" outlineLevel="0" collapsed="false">
      <c r="A27" s="6"/>
      <c r="B27" s="22" t="s">
        <v>27</v>
      </c>
      <c r="C27" s="6"/>
      <c r="D27" s="17"/>
      <c r="E27" s="19" t="n">
        <v>-16.3</v>
      </c>
      <c r="F27" s="17"/>
      <c r="G27" s="19" t="n">
        <v>-15.4</v>
      </c>
      <c r="H27" s="17"/>
      <c r="I27" s="19" t="n">
        <v>-13.3</v>
      </c>
      <c r="J27" s="17"/>
      <c r="K27" s="19" t="n">
        <v>-16.4</v>
      </c>
      <c r="L27" s="17"/>
      <c r="M27" s="19" t="n">
        <v>-16.4</v>
      </c>
      <c r="N27" s="17"/>
      <c r="O27" s="19" t="n">
        <f aca="false">-15.9</f>
        <v>-15.9</v>
      </c>
      <c r="P27" s="17"/>
      <c r="Q27" s="19" t="n">
        <v>-13</v>
      </c>
      <c r="R27" s="19"/>
      <c r="S27" s="19" t="n">
        <v>-12.9</v>
      </c>
      <c r="T27" s="6"/>
      <c r="U27" s="19" t="n">
        <v>-13.3</v>
      </c>
      <c r="V27" s="24"/>
      <c r="W27" s="19" t="n">
        <v>-13.7</v>
      </c>
    </row>
    <row r="28" customFormat="false" ht="12.75" hidden="false" customHeight="true" outlineLevel="0" collapsed="false">
      <c r="A28" s="6"/>
      <c r="B28" s="22"/>
      <c r="C28" s="6" t="s">
        <v>28</v>
      </c>
      <c r="D28" s="17"/>
      <c r="E28" s="19" t="n">
        <f aca="false">-85.7</f>
        <v>-85.7</v>
      </c>
      <c r="F28" s="17"/>
      <c r="G28" s="18" t="n">
        <f aca="false">-85.7+0.6</f>
        <v>-85.1</v>
      </c>
      <c r="H28" s="17"/>
      <c r="I28" s="19" t="n">
        <v>-22.3</v>
      </c>
      <c r="J28" s="17"/>
      <c r="K28" s="19" t="n">
        <v>-6.5</v>
      </c>
      <c r="L28" s="17"/>
      <c r="M28" s="19" t="n">
        <v>0</v>
      </c>
      <c r="N28" s="17"/>
      <c r="O28" s="19" t="n">
        <v>0</v>
      </c>
      <c r="P28" s="17"/>
      <c r="Q28" s="19" t="n">
        <v>0</v>
      </c>
      <c r="R28" s="19"/>
      <c r="S28" s="19" t="n">
        <v>0</v>
      </c>
      <c r="T28" s="6"/>
      <c r="U28" s="19" t="n">
        <v>0</v>
      </c>
      <c r="V28" s="24"/>
      <c r="W28" s="19" t="n">
        <v>0</v>
      </c>
    </row>
    <row r="29" customFormat="false" ht="12.75" hidden="false" customHeight="true" outlineLevel="0" collapsed="false">
      <c r="A29" s="6"/>
      <c r="B29" s="22" t="s">
        <v>29</v>
      </c>
      <c r="C29" s="6"/>
      <c r="D29" s="17"/>
      <c r="E29" s="19" t="n">
        <v>-2.2</v>
      </c>
      <c r="F29" s="17"/>
      <c r="G29" s="18" t="n">
        <f aca="false">-2.2+2</f>
        <v>-0.2</v>
      </c>
      <c r="H29" s="17"/>
      <c r="I29" s="18" t="n">
        <f aca="false">0.5+0.7</f>
        <v>1.2</v>
      </c>
      <c r="J29" s="17"/>
      <c r="K29" s="19" t="n">
        <f aca="false">-0.6-0.2</f>
        <v>-0.8</v>
      </c>
      <c r="L29" s="17"/>
      <c r="M29" s="19" t="n">
        <v>-0.2</v>
      </c>
      <c r="N29" s="17"/>
      <c r="O29" s="19" t="n">
        <v>-0.1</v>
      </c>
      <c r="P29" s="17"/>
      <c r="Q29" s="19" t="n">
        <v>0</v>
      </c>
      <c r="R29" s="19"/>
      <c r="S29" s="19" t="n">
        <v>0</v>
      </c>
      <c r="T29" s="6"/>
      <c r="U29" s="19" t="n">
        <v>0</v>
      </c>
      <c r="V29" s="24"/>
      <c r="W29" s="19" t="n">
        <v>0</v>
      </c>
    </row>
    <row r="30" customFormat="false" ht="12.75" hidden="false" customHeight="true" outlineLevel="0" collapsed="false">
      <c r="A30" s="6"/>
      <c r="B30" s="22" t="s">
        <v>30</v>
      </c>
      <c r="D30" s="6"/>
      <c r="E30" s="19" t="n">
        <v>-1.4</v>
      </c>
      <c r="F30" s="6"/>
      <c r="G30" s="19" t="n">
        <v>-1.2</v>
      </c>
      <c r="H30" s="6"/>
      <c r="I30" s="19" t="n">
        <v>-1.7</v>
      </c>
      <c r="J30" s="6"/>
      <c r="K30" s="19" t="n">
        <v>-1.4</v>
      </c>
      <c r="L30" s="6"/>
      <c r="M30" s="19" t="n">
        <v>-1.4</v>
      </c>
      <c r="N30" s="6"/>
      <c r="O30" s="18" t="n">
        <f aca="false">-0.3-1.1</f>
        <v>-1.4</v>
      </c>
      <c r="P30" s="17"/>
      <c r="Q30" s="19" t="n">
        <v>-0.6</v>
      </c>
      <c r="R30" s="19"/>
      <c r="S30" s="19" t="n">
        <v>-0.7</v>
      </c>
      <c r="T30" s="6"/>
      <c r="U30" s="19" t="n">
        <v>-0.5</v>
      </c>
      <c r="V30" s="24"/>
      <c r="W30" s="19" t="n">
        <v>-0.4</v>
      </c>
    </row>
    <row r="31" customFormat="false" ht="12.75" hidden="false" customHeight="true" outlineLevel="0" collapsed="false">
      <c r="A31" s="6"/>
      <c r="B31" s="22" t="s">
        <v>31</v>
      </c>
      <c r="D31" s="6"/>
      <c r="E31" s="19" t="n">
        <v>0</v>
      </c>
      <c r="F31" s="6"/>
      <c r="G31" s="19" t="n">
        <v>0</v>
      </c>
      <c r="H31" s="6"/>
      <c r="I31" s="19" t="n">
        <v>0</v>
      </c>
      <c r="J31" s="6"/>
      <c r="K31" s="19" t="n">
        <v>0</v>
      </c>
      <c r="L31" s="6"/>
      <c r="M31" s="19" t="n">
        <v>0</v>
      </c>
      <c r="N31" s="6"/>
      <c r="O31" s="19" t="n">
        <v>-0.2</v>
      </c>
      <c r="P31" s="17"/>
      <c r="Q31" s="19" t="n">
        <v>-1.9</v>
      </c>
      <c r="R31" s="19"/>
      <c r="S31" s="19" t="n">
        <v>-5.8</v>
      </c>
      <c r="T31" s="6"/>
      <c r="U31" s="19" t="n">
        <v>-5.9</v>
      </c>
      <c r="V31" s="24"/>
      <c r="W31" s="19" t="n">
        <v>-5.9</v>
      </c>
    </row>
    <row r="32" customFormat="false" ht="12.75" hidden="false" customHeight="true" outlineLevel="0" collapsed="false">
      <c r="A32" s="33"/>
      <c r="B32" s="22" t="s">
        <v>32</v>
      </c>
      <c r="D32" s="17"/>
      <c r="E32" s="19" t="n">
        <v>15.8</v>
      </c>
      <c r="F32" s="17"/>
      <c r="G32" s="19" t="n">
        <v>9.5</v>
      </c>
      <c r="H32" s="17"/>
      <c r="I32" s="19" t="n">
        <v>9.4</v>
      </c>
      <c r="J32" s="17"/>
      <c r="K32" s="19" t="n">
        <f aca="false">4.9+4.4</f>
        <v>9.3</v>
      </c>
      <c r="L32" s="17"/>
      <c r="M32" s="19" t="n">
        <f aca="false">4.7+4.4</f>
        <v>9.1</v>
      </c>
      <c r="N32" s="17"/>
      <c r="O32" s="19" t="n">
        <f aca="false">4.5+4.4</f>
        <v>8.9</v>
      </c>
      <c r="P32" s="17"/>
      <c r="Q32" s="18" t="n">
        <f aca="false">3.9+3.7-1.2</f>
        <v>6.4</v>
      </c>
      <c r="R32" s="19"/>
      <c r="S32" s="19" t="n">
        <v>1.7</v>
      </c>
      <c r="T32" s="6"/>
      <c r="U32" s="19" t="n">
        <v>0.7</v>
      </c>
      <c r="V32" s="24"/>
      <c r="W32" s="19" t="n">
        <v>-4.2</v>
      </c>
    </row>
    <row r="33" customFormat="false" ht="12.75" hidden="false" customHeight="true" outlineLevel="0" collapsed="false">
      <c r="A33" s="33"/>
      <c r="B33" s="22" t="s">
        <v>33</v>
      </c>
      <c r="C33" s="6"/>
      <c r="D33" s="17"/>
      <c r="E33" s="19" t="n">
        <v>0</v>
      </c>
      <c r="F33" s="17"/>
      <c r="G33" s="19" t="n">
        <v>0</v>
      </c>
      <c r="H33" s="17"/>
      <c r="I33" s="19" t="n">
        <v>0</v>
      </c>
      <c r="J33" s="17"/>
      <c r="K33" s="19" t="n">
        <v>-1.5</v>
      </c>
      <c r="L33" s="17"/>
      <c r="M33" s="19" t="n">
        <v>-1.5</v>
      </c>
      <c r="N33" s="17"/>
      <c r="O33" s="19" t="n">
        <v>-1.5</v>
      </c>
      <c r="P33" s="17"/>
      <c r="Q33" s="19" t="n">
        <v>-1.5</v>
      </c>
      <c r="R33" s="19"/>
      <c r="S33" s="19" t="n">
        <v>-1.5</v>
      </c>
      <c r="T33" s="6"/>
      <c r="U33" s="19" t="n">
        <v>-1.5</v>
      </c>
      <c r="V33" s="24"/>
      <c r="W33" s="19" t="n">
        <v>0</v>
      </c>
    </row>
    <row r="34" customFormat="false" ht="12.75" hidden="false" customHeight="true" outlineLevel="0" collapsed="false">
      <c r="A34" s="33"/>
      <c r="B34" s="22"/>
      <c r="C34" s="22" t="s">
        <v>34</v>
      </c>
      <c r="D34" s="17"/>
      <c r="E34" s="19" t="n">
        <v>-11.9</v>
      </c>
      <c r="F34" s="17"/>
      <c r="G34" s="19" t="n">
        <v>-1.3</v>
      </c>
      <c r="H34" s="17"/>
      <c r="I34" s="19" t="n">
        <v>-0.2</v>
      </c>
      <c r="J34" s="17"/>
      <c r="K34" s="19" t="n">
        <v>0.1</v>
      </c>
      <c r="L34" s="17"/>
      <c r="M34" s="19" t="n">
        <v>0.6</v>
      </c>
      <c r="N34" s="17"/>
      <c r="O34" s="19" t="n">
        <f aca="false">-1.1+0.2</f>
        <v>-0.9</v>
      </c>
      <c r="P34" s="17"/>
      <c r="Q34" s="19" t="n">
        <v>-0.7</v>
      </c>
      <c r="R34" s="19"/>
      <c r="S34" s="19" t="n">
        <v>-0.6</v>
      </c>
      <c r="T34" s="6"/>
      <c r="U34" s="19" t="n">
        <v>-0.6</v>
      </c>
      <c r="V34" s="24"/>
      <c r="W34" s="19" t="n">
        <v>-0.6</v>
      </c>
    </row>
    <row r="35" customFormat="false" ht="12.75" hidden="false" customHeight="true" outlineLevel="0" collapsed="false">
      <c r="A35" s="33"/>
      <c r="B35" s="6"/>
      <c r="C35" s="22" t="s">
        <v>35</v>
      </c>
      <c r="D35" s="17"/>
      <c r="E35" s="19" t="n">
        <v>0</v>
      </c>
      <c r="F35" s="17"/>
      <c r="G35" s="19" t="n">
        <v>0</v>
      </c>
      <c r="H35" s="17"/>
      <c r="I35" s="19" t="n">
        <v>0</v>
      </c>
      <c r="J35" s="17"/>
      <c r="K35" s="19" t="n">
        <v>0</v>
      </c>
      <c r="L35" s="17"/>
      <c r="M35" s="19" t="n">
        <v>0</v>
      </c>
      <c r="N35" s="17"/>
      <c r="O35" s="19" t="n">
        <v>0</v>
      </c>
      <c r="P35" s="17"/>
      <c r="Q35" s="19" t="n">
        <f aca="false">-1.4-0.1</f>
        <v>-1.5</v>
      </c>
      <c r="R35" s="19"/>
      <c r="S35" s="19" t="n">
        <v>-3</v>
      </c>
      <c r="T35" s="6"/>
      <c r="U35" s="19" t="n">
        <v>-3</v>
      </c>
      <c r="V35" s="24"/>
      <c r="W35" s="19" t="n">
        <v>-1.2</v>
      </c>
    </row>
    <row r="36" customFormat="false" ht="12.75" hidden="false" customHeight="true" outlineLevel="0" collapsed="false">
      <c r="A36" s="33"/>
      <c r="B36" s="22" t="s">
        <v>36</v>
      </c>
      <c r="C36" s="6"/>
      <c r="D36" s="17"/>
      <c r="E36" s="34" t="n">
        <f aca="false">(-39.4+36.9)+1.1+8.8</f>
        <v>7.4</v>
      </c>
      <c r="F36" s="17"/>
      <c r="G36" s="18" t="n">
        <f aca="false">-5.8+1.1+8.8</f>
        <v>4.1</v>
      </c>
      <c r="H36" s="17"/>
      <c r="I36" s="18" t="n">
        <f aca="false">-1.8+1.1</f>
        <v>-0.7</v>
      </c>
      <c r="J36" s="17"/>
      <c r="K36" s="19" t="n">
        <f aca="false">-3.8</f>
        <v>-3.8</v>
      </c>
      <c r="L36" s="17"/>
      <c r="M36" s="19" t="n">
        <v>-2.8</v>
      </c>
      <c r="N36" s="17"/>
      <c r="O36" s="19" t="n">
        <v>0</v>
      </c>
      <c r="P36" s="19"/>
      <c r="Q36" s="19" t="n">
        <v>-0.5</v>
      </c>
      <c r="R36" s="35"/>
      <c r="S36" s="19" t="n">
        <v>0</v>
      </c>
      <c r="T36" s="6"/>
      <c r="U36" s="19" t="n">
        <v>0</v>
      </c>
      <c r="W36" s="19" t="n">
        <v>0</v>
      </c>
    </row>
    <row r="37" customFormat="false" ht="12.75" hidden="false" customHeight="true" outlineLevel="0" collapsed="false">
      <c r="A37" s="6"/>
      <c r="B37" s="6" t="s">
        <v>37</v>
      </c>
      <c r="C37" s="6"/>
      <c r="D37" s="17"/>
      <c r="E37" s="18" t="n">
        <f aca="false">-63.9+11.7+1.6</f>
        <v>-50.6</v>
      </c>
      <c r="F37" s="17"/>
      <c r="G37" s="18" t="n">
        <f aca="false">-55.7-1.4+11.7+1.6</f>
        <v>-43.8</v>
      </c>
      <c r="H37" s="17"/>
      <c r="I37" s="18" t="n">
        <f aca="false">-56.9+11.7</f>
        <v>-45.2</v>
      </c>
      <c r="J37" s="17"/>
      <c r="K37" s="19" t="n">
        <v>-45.3</v>
      </c>
      <c r="L37" s="17"/>
      <c r="M37" s="18" t="n">
        <f aca="false">-47.9+1.5</f>
        <v>-46.4</v>
      </c>
      <c r="N37" s="17"/>
      <c r="O37" s="19" t="n">
        <v>-48.9</v>
      </c>
      <c r="P37" s="17"/>
      <c r="Q37" s="18" t="n">
        <f aca="false">-45.6-0.8+0.4</f>
        <v>-46</v>
      </c>
      <c r="R37" s="19"/>
      <c r="S37" s="19" t="n">
        <v>-44.2</v>
      </c>
      <c r="T37" s="6"/>
      <c r="U37" s="19" t="n">
        <v>-45.6</v>
      </c>
      <c r="V37" s="24"/>
      <c r="W37" s="19" t="n">
        <v>-42.9</v>
      </c>
    </row>
    <row r="38" customFormat="false" ht="12.75" hidden="false" customHeight="true" outlineLevel="0" collapsed="false">
      <c r="A38" s="6"/>
      <c r="B38" s="6"/>
      <c r="C38" s="22" t="s">
        <v>38</v>
      </c>
      <c r="D38" s="17"/>
      <c r="E38" s="19" t="n">
        <v>0</v>
      </c>
      <c r="F38" s="17"/>
      <c r="G38" s="19" t="n">
        <v>0</v>
      </c>
      <c r="H38" s="17"/>
      <c r="I38" s="19" t="n">
        <v>0</v>
      </c>
      <c r="J38" s="17"/>
      <c r="K38" s="19" t="n">
        <v>0</v>
      </c>
      <c r="L38" s="17"/>
      <c r="M38" s="19" t="n">
        <v>0</v>
      </c>
      <c r="N38" s="17"/>
      <c r="O38" s="19" t="n">
        <v>0</v>
      </c>
      <c r="P38" s="17"/>
      <c r="Q38" s="19" t="n">
        <v>-1.2</v>
      </c>
      <c r="R38" s="19"/>
      <c r="S38" s="19" t="n">
        <v>-1.2</v>
      </c>
      <c r="T38" s="6"/>
      <c r="U38" s="19" t="n">
        <v>-1.2</v>
      </c>
      <c r="V38" s="24"/>
      <c r="W38" s="19" t="n">
        <v>-1.2</v>
      </c>
    </row>
    <row r="39" customFormat="false" ht="12.75" hidden="false" customHeight="true" outlineLevel="0" collapsed="false">
      <c r="A39" s="6"/>
      <c r="B39" s="22" t="s">
        <v>39</v>
      </c>
      <c r="C39" s="6"/>
      <c r="D39" s="6"/>
      <c r="E39" s="18" t="n">
        <f aca="false">-27.7+3.4+0.8</f>
        <v>-23.5</v>
      </c>
      <c r="F39" s="6"/>
      <c r="G39" s="18" t="n">
        <f aca="false">-24.6-3.1+3.4+0.8</f>
        <v>-23.5</v>
      </c>
      <c r="H39" s="6"/>
      <c r="I39" s="18" t="n">
        <f aca="false">-27+0.7-2+3.4</f>
        <v>-24.9</v>
      </c>
      <c r="J39" s="6"/>
      <c r="K39" s="18" t="n">
        <f aca="false">-26-1.6+0.6</f>
        <v>-27</v>
      </c>
      <c r="L39" s="6"/>
      <c r="M39" s="18" t="n">
        <f aca="false">-26-0.8-0.6</f>
        <v>-27.4</v>
      </c>
      <c r="N39" s="6"/>
      <c r="O39" s="18" t="n">
        <f aca="false">-25.9+(-0.4-1)</f>
        <v>-27.3</v>
      </c>
      <c r="P39" s="17"/>
      <c r="Q39" s="18" t="n">
        <f aca="false">-26.5-1.7+0.3</f>
        <v>-27.9</v>
      </c>
      <c r="R39" s="19"/>
      <c r="S39" s="18" t="n">
        <f aca="false">-27.5+0.2+0.4</f>
        <v>-26.9</v>
      </c>
      <c r="T39" s="6"/>
      <c r="U39" s="19" t="n">
        <v>-27.5</v>
      </c>
      <c r="V39" s="24"/>
      <c r="W39" s="19" t="n">
        <v>-27.5</v>
      </c>
    </row>
    <row r="40" customFormat="false" ht="12.75" hidden="false" customHeight="true" outlineLevel="0" collapsed="false">
      <c r="A40" s="6"/>
      <c r="B40" s="6"/>
      <c r="C40" s="22" t="s">
        <v>40</v>
      </c>
      <c r="D40" s="6"/>
      <c r="E40" s="26" t="n">
        <v>-6.1</v>
      </c>
      <c r="F40" s="6"/>
      <c r="G40" s="26" t="n">
        <v>-6.2</v>
      </c>
      <c r="H40" s="6"/>
      <c r="I40" s="25" t="n">
        <f aca="false">-6+0.7</f>
        <v>-5.3</v>
      </c>
      <c r="J40" s="6"/>
      <c r="K40" s="25" t="n">
        <f aca="false">(-5.9+0.6)+0.2</f>
        <v>-5.1</v>
      </c>
      <c r="L40" s="6"/>
      <c r="M40" s="25" t="n">
        <f aca="false">-2.8-2</f>
        <v>-4.8</v>
      </c>
      <c r="N40" s="6"/>
      <c r="O40" s="26" t="n">
        <v>-4.6</v>
      </c>
      <c r="P40" s="17"/>
      <c r="Q40" s="26" t="n">
        <v>-5.3</v>
      </c>
      <c r="R40" s="19"/>
      <c r="S40" s="26" t="n">
        <v>-6.5</v>
      </c>
      <c r="T40" s="6"/>
      <c r="U40" s="26" t="n">
        <v>-6.8</v>
      </c>
      <c r="V40" s="24"/>
      <c r="W40" s="26" t="n">
        <v>-7</v>
      </c>
    </row>
    <row r="41" customFormat="false" ht="3.9" hidden="false" customHeight="true" outlineLevel="0" collapsed="false">
      <c r="A41" s="16"/>
      <c r="B41" s="6"/>
      <c r="C41" s="6"/>
      <c r="D41" s="17"/>
      <c r="E41" s="19"/>
      <c r="F41" s="17"/>
      <c r="G41" s="19"/>
      <c r="H41" s="17"/>
      <c r="I41" s="19"/>
      <c r="J41" s="17"/>
      <c r="K41" s="19"/>
      <c r="L41" s="17"/>
      <c r="M41" s="19"/>
      <c r="N41" s="17"/>
      <c r="O41" s="19"/>
      <c r="P41" s="17"/>
      <c r="Q41" s="17"/>
      <c r="R41" s="17"/>
      <c r="S41" s="17"/>
      <c r="T41" s="6"/>
      <c r="U41" s="17"/>
      <c r="V41" s="24"/>
      <c r="W41" s="17"/>
    </row>
    <row r="42" customFormat="false" ht="12.75" hidden="false" customHeight="true" outlineLevel="0" collapsed="false">
      <c r="A42" s="16"/>
      <c r="B42" s="6"/>
      <c r="C42" s="22" t="s">
        <v>41</v>
      </c>
      <c r="D42" s="17"/>
      <c r="E42" s="17" t="n">
        <f aca="false">SUM(E25:E40)</f>
        <v>-334.1</v>
      </c>
      <c r="F42" s="17"/>
      <c r="G42" s="17" t="n">
        <f aca="false">SUM(G25:G40)</f>
        <v>-333.6</v>
      </c>
      <c r="H42" s="17"/>
      <c r="I42" s="17" t="n">
        <f aca="false">SUM(I25:I40)</f>
        <v>-266</v>
      </c>
      <c r="J42" s="17"/>
      <c r="K42" s="17" t="n">
        <f aca="false">SUM(K25:K40)</f>
        <v>-271.5</v>
      </c>
      <c r="L42" s="17"/>
      <c r="M42" s="17" t="n">
        <f aca="false">SUM(M25:M40)</f>
        <v>-259.3</v>
      </c>
      <c r="N42" s="17"/>
      <c r="O42" s="17" t="n">
        <f aca="false">SUM(O25:O40)</f>
        <v>-251.8</v>
      </c>
      <c r="P42" s="6"/>
      <c r="Q42" s="17" t="n">
        <f aca="false">SUM(Q25:Q40)</f>
        <v>-260.7</v>
      </c>
      <c r="R42" s="6"/>
      <c r="S42" s="17" t="n">
        <f aca="false">SUM(S25:S40)</f>
        <v>-265.6</v>
      </c>
      <c r="T42" s="28"/>
      <c r="U42" s="17" t="n">
        <f aca="false">SUM(U25:U40)</f>
        <v>-269.2</v>
      </c>
      <c r="V42" s="24"/>
      <c r="W42" s="17" t="n">
        <f aca="false">SUM(W25:W40)</f>
        <v>-268.6</v>
      </c>
    </row>
    <row r="43" customFormat="false" ht="6" hidden="false" customHeight="true" outlineLevel="0" collapsed="false">
      <c r="A43" s="33"/>
      <c r="B43" s="6"/>
      <c r="C43" s="6"/>
      <c r="D43" s="17"/>
      <c r="E43" s="17"/>
      <c r="F43" s="17"/>
      <c r="G43" s="17"/>
      <c r="H43" s="17"/>
      <c r="I43" s="17"/>
      <c r="J43" s="17"/>
      <c r="K43" s="19"/>
      <c r="L43" s="17"/>
      <c r="M43" s="19"/>
      <c r="N43" s="17"/>
      <c r="O43" s="19"/>
      <c r="P43" s="17"/>
      <c r="Q43" s="17"/>
      <c r="R43" s="17"/>
      <c r="S43" s="17"/>
      <c r="T43" s="6"/>
      <c r="U43" s="17"/>
      <c r="V43" s="24"/>
      <c r="W43" s="17"/>
    </row>
    <row r="44" customFormat="false" ht="12.75" hidden="false" customHeight="true" outlineLevel="0" collapsed="false">
      <c r="A44" s="16" t="s">
        <v>42</v>
      </c>
      <c r="B44" s="6"/>
      <c r="C44" s="6"/>
      <c r="D44" s="17"/>
      <c r="E44" s="17"/>
      <c r="F44" s="17"/>
      <c r="G44" s="17"/>
      <c r="H44" s="17"/>
      <c r="I44" s="17"/>
      <c r="J44" s="17"/>
      <c r="K44" s="19"/>
      <c r="L44" s="17"/>
      <c r="M44" s="19"/>
      <c r="N44" s="17"/>
      <c r="O44" s="19"/>
      <c r="P44" s="17"/>
      <c r="Q44" s="17"/>
      <c r="R44" s="17"/>
      <c r="S44" s="17"/>
      <c r="T44" s="6"/>
      <c r="U44" s="17"/>
      <c r="V44" s="24"/>
      <c r="W44" s="17"/>
    </row>
    <row r="45" customFormat="false" ht="12.75" hidden="false" customHeight="true" outlineLevel="0" collapsed="false">
      <c r="A45" s="33"/>
      <c r="B45" s="6" t="s">
        <v>43</v>
      </c>
      <c r="C45" s="6"/>
      <c r="D45" s="17"/>
      <c r="E45" s="19" t="n">
        <v>3.5</v>
      </c>
      <c r="F45" s="17"/>
      <c r="G45" s="19" t="n">
        <v>4.6</v>
      </c>
      <c r="H45" s="17"/>
      <c r="I45" s="18" t="n">
        <f aca="false">9.2-5.7</f>
        <v>3.5</v>
      </c>
      <c r="J45" s="17"/>
      <c r="K45" s="19" t="n">
        <v>4.5</v>
      </c>
      <c r="L45" s="17"/>
      <c r="M45" s="19" t="n">
        <v>5.9</v>
      </c>
      <c r="N45" s="17"/>
      <c r="O45" s="19" t="n">
        <v>4.8</v>
      </c>
      <c r="P45" s="17"/>
      <c r="Q45" s="18" t="n">
        <f aca="false">1.6+0.3</f>
        <v>1.9</v>
      </c>
      <c r="R45" s="19"/>
      <c r="S45" s="19" t="n">
        <v>4.8</v>
      </c>
      <c r="T45" s="6"/>
      <c r="U45" s="19" t="n">
        <v>5.2</v>
      </c>
      <c r="V45" s="24"/>
      <c r="W45" s="19" t="n">
        <v>5.6</v>
      </c>
    </row>
    <row r="46" customFormat="false" ht="12.75" hidden="false" customHeight="true" outlineLevel="0" collapsed="false">
      <c r="A46" s="33"/>
      <c r="B46" s="22" t="s">
        <v>44</v>
      </c>
      <c r="C46" s="6"/>
      <c r="D46" s="17"/>
      <c r="E46" s="19" t="n">
        <v>0.1</v>
      </c>
      <c r="F46" s="17"/>
      <c r="G46" s="19" t="n">
        <v>0.3</v>
      </c>
      <c r="H46" s="17"/>
      <c r="I46" s="18" t="n">
        <f aca="false">1.2-0.9</f>
        <v>0.3</v>
      </c>
      <c r="J46" s="17"/>
      <c r="K46" s="19" t="n">
        <v>0.3</v>
      </c>
      <c r="L46" s="17"/>
      <c r="M46" s="19" t="n">
        <v>0.1</v>
      </c>
      <c r="N46" s="17"/>
      <c r="O46" s="19" t="n">
        <v>0.4</v>
      </c>
      <c r="P46" s="17"/>
      <c r="Q46" s="19" t="n">
        <v>0.3</v>
      </c>
      <c r="R46" s="19"/>
      <c r="S46" s="19" t="n">
        <v>0.3</v>
      </c>
      <c r="T46" s="6"/>
      <c r="U46" s="19" t="n">
        <v>0.4</v>
      </c>
      <c r="V46" s="24"/>
      <c r="W46" s="19" t="n">
        <v>0.4</v>
      </c>
    </row>
    <row r="47" customFormat="false" ht="12.75" hidden="false" customHeight="true" outlineLevel="0" collapsed="false">
      <c r="A47" s="33"/>
      <c r="B47" s="22" t="s">
        <v>45</v>
      </c>
      <c r="C47" s="6"/>
      <c r="D47" s="17"/>
      <c r="E47" s="19" t="n">
        <v>2.9</v>
      </c>
      <c r="F47" s="17"/>
      <c r="G47" s="19" t="n">
        <v>6.9</v>
      </c>
      <c r="H47" s="17"/>
      <c r="I47" s="19" t="n">
        <v>4.9</v>
      </c>
      <c r="J47" s="17"/>
      <c r="K47" s="19" t="n">
        <v>3.4</v>
      </c>
      <c r="L47" s="17"/>
      <c r="M47" s="19" t="n">
        <v>2.1</v>
      </c>
      <c r="N47" s="17"/>
      <c r="O47" s="18" t="n">
        <f aca="false">1.9-1.2</f>
        <v>0.7</v>
      </c>
      <c r="P47" s="17"/>
      <c r="Q47" s="19" t="n">
        <v>0.2</v>
      </c>
      <c r="R47" s="19"/>
      <c r="S47" s="19" t="n">
        <v>0.3</v>
      </c>
      <c r="T47" s="6"/>
      <c r="U47" s="19" t="n">
        <v>0.3</v>
      </c>
      <c r="V47" s="24"/>
      <c r="W47" s="19" t="n">
        <v>0.3</v>
      </c>
    </row>
    <row r="48" customFormat="false" ht="12.75" hidden="false" customHeight="true" outlineLevel="0" collapsed="false">
      <c r="A48" s="33"/>
      <c r="B48" s="22" t="s">
        <v>42</v>
      </c>
      <c r="C48" s="6"/>
      <c r="D48" s="17"/>
      <c r="E48" s="25" t="n">
        <f aca="false">(0.9)-(9.7-13.5)</f>
        <v>4.7</v>
      </c>
      <c r="F48" s="17"/>
      <c r="G48" s="25" t="n">
        <f aca="false">(1.2)-(11.2-1.4-11.9-0.6)</f>
        <v>3.9</v>
      </c>
      <c r="H48" s="17"/>
      <c r="I48" s="25" t="n">
        <f aca="false">(5.2+3.5-1.8-2.3-4.1-0.4)-(-28.4+21+8.4+2)</f>
        <v>-2.9</v>
      </c>
      <c r="J48" s="17"/>
      <c r="K48" s="25" t="n">
        <f aca="false">(2.1-0.8)-(-27.8+10+18)</f>
        <v>1.1</v>
      </c>
      <c r="L48" s="17"/>
      <c r="M48" s="25" t="n">
        <f aca="false">+(2.7-0.6)-(-2+3)</f>
        <v>1.1</v>
      </c>
      <c r="N48" s="17"/>
      <c r="O48" s="25" t="n">
        <f aca="false">+(33-2.4-2.8-20.5-2-2.5)-((12.2-10-(2.2-2)-0.2-0.3))</f>
        <v>1.3</v>
      </c>
      <c r="P48" s="17"/>
      <c r="Q48" s="25" t="n">
        <f aca="false">+(10.8-9-0.8)-(-5.5+9-2.9+0.6-0.3-0.6)</f>
        <v>0.700000000000001</v>
      </c>
      <c r="R48" s="19"/>
      <c r="S48" s="26" t="n">
        <v>-0.4</v>
      </c>
      <c r="T48" s="6"/>
      <c r="U48" s="26" t="n">
        <v>-0.4</v>
      </c>
      <c r="V48" s="24"/>
      <c r="W48" s="26" t="n">
        <v>-0.5</v>
      </c>
    </row>
    <row r="49" customFormat="false" ht="3.9" hidden="false" customHeight="true" outlineLevel="0" collapsed="false">
      <c r="A49" s="33"/>
      <c r="B49" s="22"/>
      <c r="C49" s="6"/>
      <c r="D49" s="17"/>
      <c r="E49" s="19"/>
      <c r="F49" s="17"/>
      <c r="G49" s="19"/>
      <c r="H49" s="17"/>
      <c r="I49" s="19"/>
      <c r="J49" s="17"/>
      <c r="K49" s="19"/>
      <c r="L49" s="17"/>
      <c r="M49" s="19"/>
      <c r="N49" s="17"/>
      <c r="O49" s="19"/>
      <c r="P49" s="17"/>
      <c r="Q49" s="36"/>
      <c r="R49" s="17"/>
      <c r="S49" s="17"/>
      <c r="T49" s="6"/>
      <c r="U49" s="17"/>
      <c r="V49" s="24"/>
      <c r="W49" s="17"/>
    </row>
    <row r="50" customFormat="false" ht="12.75" hidden="false" customHeight="true" outlineLevel="0" collapsed="false">
      <c r="A50" s="6"/>
      <c r="B50" s="6"/>
      <c r="C50" s="22" t="s">
        <v>46</v>
      </c>
      <c r="D50" s="17"/>
      <c r="E50" s="17" t="n">
        <f aca="false">SUM(E45:E48)</f>
        <v>11.2</v>
      </c>
      <c r="F50" s="17"/>
      <c r="G50" s="17" t="n">
        <f aca="false">SUM(G45:G48)</f>
        <v>15.7</v>
      </c>
      <c r="H50" s="17"/>
      <c r="I50" s="17" t="n">
        <f aca="false">SUM(I45:I48)</f>
        <v>5.8</v>
      </c>
      <c r="J50" s="17"/>
      <c r="K50" s="17" t="n">
        <f aca="false">SUM(K45:K48)</f>
        <v>9.3</v>
      </c>
      <c r="L50" s="17"/>
      <c r="M50" s="17" t="n">
        <f aca="false">SUM(M45:M48)</f>
        <v>9.2</v>
      </c>
      <c r="N50" s="17"/>
      <c r="O50" s="17" t="n">
        <f aca="false">SUM(O45:O48)</f>
        <v>7.2</v>
      </c>
      <c r="P50" s="17"/>
      <c r="Q50" s="17" t="n">
        <f aca="false">SUM(Q45:Q48)</f>
        <v>3.1</v>
      </c>
      <c r="R50" s="17"/>
      <c r="S50" s="17" t="n">
        <f aca="false">SUM(S45:S48)</f>
        <v>5</v>
      </c>
      <c r="T50" s="6"/>
      <c r="U50" s="17" t="n">
        <f aca="false">SUM(U45:U48)</f>
        <v>5.5</v>
      </c>
      <c r="V50" s="24"/>
      <c r="W50" s="17" t="n">
        <f aca="false">SUM(W45:W48)</f>
        <v>5.8</v>
      </c>
    </row>
    <row r="51" customFormat="false" ht="7.5" hidden="false" customHeight="true" outlineLevel="0" collapsed="false">
      <c r="A51" s="33"/>
      <c r="B51" s="6"/>
      <c r="C51" s="6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6"/>
      <c r="U51" s="17"/>
      <c r="V51" s="24"/>
      <c r="W51" s="17"/>
    </row>
    <row r="52" customFormat="false" ht="12.75" hidden="false" customHeight="true" outlineLevel="0" collapsed="false">
      <c r="A52" s="16" t="s">
        <v>47</v>
      </c>
      <c r="B52" s="6"/>
      <c r="C52" s="6"/>
      <c r="D52" s="17"/>
      <c r="E52" s="29" t="n">
        <f aca="false">+E22+E42+E50</f>
        <v>164.8</v>
      </c>
      <c r="F52" s="17"/>
      <c r="G52" s="29" t="n">
        <f aca="false">+G22+G42+G50</f>
        <v>173.5</v>
      </c>
      <c r="H52" s="17"/>
      <c r="I52" s="29" t="n">
        <f aca="false">+I22+I42+I50</f>
        <v>189.5</v>
      </c>
      <c r="J52" s="17"/>
      <c r="K52" s="29" t="n">
        <f aca="false">+K22+K42+K50</f>
        <v>182.6</v>
      </c>
      <c r="L52" s="17"/>
      <c r="M52" s="29" t="n">
        <f aca="false">+M22+M42+M50</f>
        <v>189.1</v>
      </c>
      <c r="N52" s="17"/>
      <c r="O52" s="29" t="n">
        <f aca="false">+O22+O42+O50</f>
        <v>188.1</v>
      </c>
      <c r="P52" s="17"/>
      <c r="Q52" s="29" t="n">
        <f aca="false">+Q22+Q42+Q50</f>
        <v>172.8</v>
      </c>
      <c r="R52" s="17"/>
      <c r="S52" s="29" t="n">
        <f aca="false">+S22+S42+S50</f>
        <v>176.1</v>
      </c>
      <c r="T52" s="28"/>
      <c r="U52" s="29" t="n">
        <f aca="false">+U22+U42+U50</f>
        <v>182.3</v>
      </c>
      <c r="V52" s="24"/>
      <c r="W52" s="29" t="n">
        <f aca="false">+W22+W42+W50</f>
        <v>194</v>
      </c>
    </row>
    <row r="53" customFormat="false" ht="7.5" hidden="false" customHeight="true" outlineLevel="0" collapsed="false">
      <c r="A53" s="33"/>
      <c r="B53" s="6"/>
      <c r="C53" s="6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6"/>
      <c r="U53" s="17"/>
      <c r="V53" s="24"/>
      <c r="W53" s="17"/>
    </row>
    <row r="54" customFormat="false" ht="12.75" hidden="false" customHeight="true" outlineLevel="0" collapsed="false">
      <c r="A54" s="16" t="s">
        <v>48</v>
      </c>
      <c r="B54" s="6"/>
      <c r="C54" s="6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6"/>
      <c r="U54" s="17"/>
      <c r="V54" s="24"/>
      <c r="W54" s="17"/>
    </row>
    <row r="55" customFormat="false" ht="12.75" hidden="false" customHeight="true" outlineLevel="0" collapsed="false">
      <c r="A55" s="16"/>
      <c r="B55" s="22" t="s">
        <v>49</v>
      </c>
      <c r="C55" s="6"/>
      <c r="D55" s="17"/>
      <c r="E55" s="17" t="n">
        <f aca="false">+'NNG-Disc.,Assets,Reserves'!E15</f>
        <v>30.2</v>
      </c>
      <c r="F55" s="17"/>
      <c r="G55" s="17" t="n">
        <f aca="false">+'NNG-Disc.,Assets,Reserves'!G15</f>
        <v>15.6</v>
      </c>
      <c r="H55" s="17"/>
      <c r="I55" s="17" t="n">
        <f aca="false">+'NNG-Disc.,Assets,Reserves'!I15</f>
        <v>13.2</v>
      </c>
      <c r="J55" s="17"/>
      <c r="K55" s="17" t="n">
        <f aca="false">+'NNG-Disc.,Assets,Reserves'!K15</f>
        <v>5.1</v>
      </c>
      <c r="L55" s="17"/>
      <c r="M55" s="17" t="n">
        <f aca="false">+'NNG-Disc.,Assets,Reserves'!M15</f>
        <v>3.4</v>
      </c>
      <c r="N55" s="17"/>
      <c r="O55" s="17" t="n">
        <f aca="false">+'NNG-Disc.,Assets,Reserves'!O15</f>
        <v>-0.1</v>
      </c>
      <c r="P55" s="17"/>
      <c r="Q55" s="17" t="n">
        <f aca="false">+'NNG-Disc.,Assets,Reserves'!Q15</f>
        <v>0</v>
      </c>
      <c r="R55" s="17"/>
      <c r="S55" s="17" t="n">
        <f aca="false">+'NNG-Disc.,Assets,Reserves'!S15</f>
        <v>0</v>
      </c>
      <c r="T55" s="6"/>
      <c r="U55" s="17" t="n">
        <f aca="false">+'NNG-Disc.,Assets,Reserves'!U15</f>
        <v>0</v>
      </c>
      <c r="V55" s="17"/>
      <c r="W55" s="17" t="n">
        <f aca="false">+'NNG-Disc.,Assets,Reserves'!W15</f>
        <v>0</v>
      </c>
    </row>
    <row r="56" customFormat="false" ht="12.75" hidden="false" customHeight="true" outlineLevel="0" collapsed="false">
      <c r="A56" s="33"/>
      <c r="B56" s="22" t="s">
        <v>50</v>
      </c>
      <c r="C56" s="6"/>
      <c r="D56" s="17"/>
      <c r="E56" s="17" t="n">
        <f aca="false">+'NNG-Disc.,Assets,Reserves'!E35</f>
        <v>0</v>
      </c>
      <c r="F56" s="17"/>
      <c r="G56" s="17" t="n">
        <f aca="false">+'NNG-Disc.,Assets,Reserves'!G35</f>
        <v>0</v>
      </c>
      <c r="H56" s="17"/>
      <c r="I56" s="17" t="n">
        <f aca="false">+'NNG-Disc.,Assets,Reserves'!I35</f>
        <v>6.8</v>
      </c>
      <c r="J56" s="17"/>
      <c r="K56" s="17" t="n">
        <f aca="false">+'NNG-Disc.,Assets,Reserves'!K35</f>
        <v>0.8</v>
      </c>
      <c r="L56" s="17"/>
      <c r="M56" s="17" t="n">
        <f aca="false">+'NNG-Disc.,Assets,Reserves'!M35</f>
        <v>0.6</v>
      </c>
      <c r="N56" s="17"/>
      <c r="O56" s="17" t="n">
        <f aca="false">+'NNG-Disc.,Assets,Reserves'!O35</f>
        <v>25.7</v>
      </c>
      <c r="P56" s="17"/>
      <c r="Q56" s="17" t="n">
        <f aca="false">+'NNG-Disc.,Assets,Reserves'!Q35</f>
        <v>23.4</v>
      </c>
      <c r="R56" s="19"/>
      <c r="S56" s="17" t="n">
        <f aca="false">+'NNG-Disc.,Assets,Reserves'!S35</f>
        <v>24.6</v>
      </c>
      <c r="T56" s="6"/>
      <c r="U56" s="17" t="n">
        <f aca="false">+'NNG-Disc.,Assets,Reserves'!U35</f>
        <v>24.2</v>
      </c>
      <c r="V56" s="24"/>
      <c r="W56" s="17" t="n">
        <f aca="false">+'NNG-Disc.,Assets,Reserves'!W35</f>
        <v>19.2</v>
      </c>
    </row>
    <row r="57" customFormat="false" ht="12.75" hidden="false" customHeight="true" outlineLevel="0" collapsed="false">
      <c r="A57" s="33"/>
      <c r="B57" s="22" t="s">
        <v>51</v>
      </c>
      <c r="C57" s="6"/>
      <c r="D57" s="17"/>
      <c r="E57" s="17" t="n">
        <f aca="false">+'NNG-Disc.,Assets,Reserves'!E53</f>
        <v>-13.5</v>
      </c>
      <c r="F57" s="17"/>
      <c r="G57" s="17" t="n">
        <f aca="false">+'NNG-Disc.,Assets,Reserves'!G53</f>
        <v>9.9</v>
      </c>
      <c r="H57" s="17"/>
      <c r="I57" s="17" t="n">
        <f aca="false">+'NNG-Disc.,Assets,Reserves'!I53</f>
        <v>-33.8</v>
      </c>
      <c r="J57" s="17"/>
      <c r="K57" s="17" t="n">
        <f aca="false">+'NNG-Disc.,Assets,Reserves'!K53</f>
        <v>26.7</v>
      </c>
      <c r="L57" s="17"/>
      <c r="M57" s="17" t="n">
        <f aca="false">+'NNG-Disc.,Assets,Reserves'!M53</f>
        <v>8.5</v>
      </c>
      <c r="N57" s="17"/>
      <c r="O57" s="17" t="n">
        <f aca="false">+'NNG-Disc.,Assets,Reserves'!O53</f>
        <v>-12.4</v>
      </c>
      <c r="P57" s="17"/>
      <c r="Q57" s="17" t="n">
        <f aca="false">+'NNG-Disc.,Assets,Reserves'!Q53</f>
        <v>14.3</v>
      </c>
      <c r="R57" s="19"/>
      <c r="S57" s="17" t="n">
        <f aca="false">+'NNG-Disc.,Assets,Reserves'!S53</f>
        <v>7.3</v>
      </c>
      <c r="T57" s="6"/>
      <c r="U57" s="17" t="n">
        <f aca="false">+'NNG-Disc.,Assets,Reserves'!U53</f>
        <v>0</v>
      </c>
      <c r="V57" s="24"/>
      <c r="W57" s="17" t="n">
        <f aca="false">+'NNG-Disc.,Assets,Reserves'!W53</f>
        <v>0</v>
      </c>
    </row>
    <row r="58" customFormat="false" ht="12.75" hidden="false" customHeight="true" outlineLevel="0" collapsed="false">
      <c r="A58" s="33"/>
      <c r="B58" s="22" t="s">
        <v>52</v>
      </c>
      <c r="C58" s="6"/>
      <c r="D58" s="17"/>
      <c r="E58" s="37" t="n">
        <f aca="false">+'NNG-Other'!E70</f>
        <v>34</v>
      </c>
      <c r="F58" s="17"/>
      <c r="G58" s="37" t="n">
        <f aca="false">+'NNG-Other'!G70</f>
        <v>5.8</v>
      </c>
      <c r="H58" s="17"/>
      <c r="I58" s="37" t="n">
        <f aca="false">+'NNG-Other'!I70</f>
        <v>10.4</v>
      </c>
      <c r="J58" s="17"/>
      <c r="K58" s="37" t="n">
        <f aca="false">+'NNG-Other'!K70</f>
        <v>3.2</v>
      </c>
      <c r="L58" s="17"/>
      <c r="M58" s="37" t="n">
        <f aca="false">+'NNG-Other'!M70</f>
        <v>13.5</v>
      </c>
      <c r="N58" s="17"/>
      <c r="O58" s="37" t="n">
        <f aca="false">+'NNG-Other'!O70</f>
        <v>27.8</v>
      </c>
      <c r="P58" s="17"/>
      <c r="Q58" s="37" t="n">
        <f aca="false">+'NNG-Other'!Q70</f>
        <v>19.1</v>
      </c>
      <c r="R58" s="19"/>
      <c r="S58" s="37" t="n">
        <f aca="false">+'NNG-Other'!S70</f>
        <v>7</v>
      </c>
      <c r="T58" s="6"/>
      <c r="U58" s="37" t="n">
        <f aca="false">+'NNG-Other'!U70</f>
        <v>9.5</v>
      </c>
      <c r="V58" s="24"/>
      <c r="W58" s="37" t="n">
        <f aca="false">+'NNG-Other'!W70</f>
        <v>9.5</v>
      </c>
    </row>
    <row r="59" customFormat="false" ht="3.9" hidden="false" customHeight="true" outlineLevel="0" collapsed="false">
      <c r="A59" s="33"/>
      <c r="B59" s="6"/>
      <c r="C59" s="6"/>
      <c r="D59" s="17"/>
      <c r="E59" s="19"/>
      <c r="F59" s="17"/>
      <c r="G59" s="19"/>
      <c r="H59" s="17"/>
      <c r="I59" s="19"/>
      <c r="J59" s="17"/>
      <c r="K59" s="19"/>
      <c r="L59" s="17"/>
      <c r="M59" s="19"/>
      <c r="N59" s="17"/>
      <c r="O59" s="19"/>
      <c r="P59" s="17"/>
      <c r="Q59" s="17"/>
      <c r="R59" s="17"/>
      <c r="S59" s="17"/>
      <c r="T59" s="6"/>
      <c r="U59" s="17"/>
      <c r="V59" s="24"/>
      <c r="W59" s="17"/>
    </row>
    <row r="60" customFormat="false" ht="12.75" hidden="false" customHeight="true" outlineLevel="0" collapsed="false">
      <c r="A60" s="33"/>
      <c r="B60" s="6"/>
      <c r="C60" s="16" t="s">
        <v>53</v>
      </c>
      <c r="D60" s="17"/>
      <c r="E60" s="29" t="n">
        <f aca="false">SUM(E55:E58)</f>
        <v>50.7</v>
      </c>
      <c r="F60" s="17"/>
      <c r="G60" s="29" t="n">
        <f aca="false">SUM(G55:G58)</f>
        <v>31.3</v>
      </c>
      <c r="H60" s="17"/>
      <c r="I60" s="29" t="n">
        <f aca="false">SUM(I55:I58)</f>
        <v>-3.4</v>
      </c>
      <c r="J60" s="17"/>
      <c r="K60" s="29" t="n">
        <f aca="false">SUM(K55:K58)</f>
        <v>35.8</v>
      </c>
      <c r="L60" s="17"/>
      <c r="M60" s="29" t="n">
        <f aca="false">SUM(M55:M58)</f>
        <v>26</v>
      </c>
      <c r="N60" s="17"/>
      <c r="O60" s="29" t="n">
        <f aca="false">SUM(O55:O58)</f>
        <v>41</v>
      </c>
      <c r="P60" s="17"/>
      <c r="Q60" s="29" t="n">
        <f aca="false">SUM(Q55:Q58)</f>
        <v>56.8</v>
      </c>
      <c r="R60" s="17"/>
      <c r="S60" s="29" t="n">
        <f aca="false">SUM(S55:S58)</f>
        <v>38.9</v>
      </c>
      <c r="T60" s="6"/>
      <c r="U60" s="29" t="n">
        <f aca="false">SUM(U55:U58)</f>
        <v>33.7</v>
      </c>
      <c r="V60" s="24"/>
      <c r="W60" s="29" t="n">
        <f aca="false">SUM(W55:W58)</f>
        <v>28.7</v>
      </c>
    </row>
    <row r="61" customFormat="false" ht="7.5" hidden="false" customHeight="true" outlineLevel="0" collapsed="false">
      <c r="A61" s="33"/>
      <c r="B61" s="6"/>
      <c r="C61" s="6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6"/>
      <c r="U61" s="17"/>
      <c r="V61" s="24"/>
      <c r="W61" s="17"/>
    </row>
    <row r="62" customFormat="false" ht="12.75" hidden="false" customHeight="true" outlineLevel="0" collapsed="false">
      <c r="A62" s="33" t="s">
        <v>54</v>
      </c>
      <c r="B62" s="6"/>
      <c r="C62" s="6"/>
      <c r="D62" s="17"/>
      <c r="E62" s="38" t="n">
        <f aca="false">+E52+E60</f>
        <v>215.5</v>
      </c>
      <c r="F62" s="17"/>
      <c r="G62" s="38" t="n">
        <f aca="false">+G52+G60</f>
        <v>204.8</v>
      </c>
      <c r="H62" s="17"/>
      <c r="I62" s="38" t="n">
        <f aca="false">+I52+I60</f>
        <v>186.1</v>
      </c>
      <c r="J62" s="17"/>
      <c r="K62" s="38" t="n">
        <f aca="false">+K52+K60</f>
        <v>218.4</v>
      </c>
      <c r="L62" s="17"/>
      <c r="M62" s="38" t="n">
        <f aca="false">+M52+M60</f>
        <v>215.1</v>
      </c>
      <c r="N62" s="17"/>
      <c r="O62" s="38" t="n">
        <f aca="false">+O52+O60</f>
        <v>229.1</v>
      </c>
      <c r="P62" s="17"/>
      <c r="Q62" s="38" t="n">
        <f aca="false">+Q52+Q60</f>
        <v>229.6</v>
      </c>
      <c r="R62" s="17"/>
      <c r="S62" s="38" t="n">
        <f aca="false">+S52+S60</f>
        <v>215</v>
      </c>
      <c r="T62" s="28"/>
      <c r="U62" s="38" t="n">
        <f aca="false">+U52+U60</f>
        <v>216</v>
      </c>
      <c r="V62" s="24"/>
      <c r="W62" s="38" t="n">
        <f aca="false">+W52+W60</f>
        <v>222.7</v>
      </c>
    </row>
    <row r="63" customFormat="false" ht="6.75" hidden="false" customHeight="true" outlineLevel="0" collapsed="false">
      <c r="A63" s="33"/>
      <c r="B63" s="6"/>
      <c r="C63" s="6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6"/>
      <c r="U63" s="17"/>
      <c r="V63" s="24"/>
      <c r="W63" s="17"/>
    </row>
    <row r="64" customFormat="false" ht="12.75" hidden="false" customHeight="true" outlineLevel="0" collapsed="false">
      <c r="A64" s="16" t="s">
        <v>55</v>
      </c>
      <c r="B64" s="6"/>
      <c r="C64" s="6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6"/>
      <c r="U64" s="17"/>
      <c r="V64" s="24"/>
      <c r="W64" s="17"/>
    </row>
    <row r="65" customFormat="false" ht="12.75" hidden="false" customHeight="true" outlineLevel="0" collapsed="false">
      <c r="A65" s="6"/>
      <c r="B65" s="22" t="s">
        <v>55</v>
      </c>
      <c r="C65" s="6"/>
      <c r="D65" s="17"/>
      <c r="E65" s="18" t="n">
        <f aca="false">-6.8+1.1</f>
        <v>-5.7</v>
      </c>
      <c r="F65" s="17"/>
      <c r="G65" s="19" t="n">
        <v>-3.4</v>
      </c>
      <c r="H65" s="17"/>
      <c r="I65" s="19" t="n">
        <v>-2.3</v>
      </c>
      <c r="J65" s="17"/>
      <c r="K65" s="19" t="n">
        <v>-3</v>
      </c>
      <c r="L65" s="17"/>
      <c r="M65" s="19" t="n">
        <v>-2.8</v>
      </c>
      <c r="N65" s="17"/>
      <c r="O65" s="19" t="n">
        <v>-3.5</v>
      </c>
      <c r="P65" s="17"/>
      <c r="Q65" s="19" t="n">
        <v>-4</v>
      </c>
      <c r="R65" s="19"/>
      <c r="S65" s="19" t="n">
        <v>-1.6</v>
      </c>
      <c r="T65" s="6"/>
      <c r="U65" s="19" t="n">
        <v>-0.8</v>
      </c>
      <c r="V65" s="24"/>
      <c r="W65" s="19" t="n">
        <v>-0.2</v>
      </c>
    </row>
    <row r="66" customFormat="false" ht="12.75" hidden="false" customHeight="true" outlineLevel="0" collapsed="false">
      <c r="A66" s="6"/>
      <c r="B66" s="22" t="s">
        <v>56</v>
      </c>
      <c r="C66" s="6"/>
      <c r="D66" s="17"/>
      <c r="E66" s="19" t="n">
        <v>0</v>
      </c>
      <c r="F66" s="17"/>
      <c r="G66" s="19" t="n">
        <v>0</v>
      </c>
      <c r="H66" s="17"/>
      <c r="I66" s="19" t="n">
        <v>0</v>
      </c>
      <c r="J66" s="17"/>
      <c r="K66" s="19" t="n">
        <v>0</v>
      </c>
      <c r="L66" s="17"/>
      <c r="M66" s="19" t="n">
        <v>0</v>
      </c>
      <c r="N66" s="17"/>
      <c r="O66" s="19" t="n">
        <v>-3.3</v>
      </c>
      <c r="P66" s="17"/>
      <c r="Q66" s="19" t="n">
        <v>-10.3</v>
      </c>
      <c r="R66" s="19"/>
      <c r="S66" s="19" t="n">
        <v>-10.3</v>
      </c>
      <c r="T66" s="6"/>
      <c r="U66" s="19" t="n">
        <v>-10.3</v>
      </c>
      <c r="V66" s="24"/>
      <c r="W66" s="19" t="n">
        <v>-10.3</v>
      </c>
    </row>
    <row r="67" customFormat="false" ht="12.75" hidden="false" customHeight="true" outlineLevel="0" collapsed="false">
      <c r="A67" s="6"/>
      <c r="B67" s="22" t="s">
        <v>57</v>
      </c>
      <c r="C67" s="6"/>
      <c r="D67" s="17"/>
      <c r="E67" s="19" t="n">
        <v>0</v>
      </c>
      <c r="F67" s="17"/>
      <c r="G67" s="19" t="n">
        <v>0</v>
      </c>
      <c r="H67" s="17"/>
      <c r="I67" s="19" t="n">
        <v>0</v>
      </c>
      <c r="J67" s="17"/>
      <c r="K67" s="19" t="n">
        <v>0</v>
      </c>
      <c r="L67" s="17"/>
      <c r="M67" s="19" t="n">
        <v>0</v>
      </c>
      <c r="N67" s="17"/>
      <c r="O67" s="19" t="n">
        <v>6.1</v>
      </c>
      <c r="P67" s="17"/>
      <c r="Q67" s="19" t="n">
        <v>16.2</v>
      </c>
      <c r="R67" s="19"/>
      <c r="S67" s="19" t="n">
        <v>9.8</v>
      </c>
      <c r="T67" s="6"/>
      <c r="U67" s="19" t="n">
        <v>10.1</v>
      </c>
      <c r="V67" s="24"/>
      <c r="W67" s="19" t="n">
        <v>16.1</v>
      </c>
    </row>
    <row r="68" customFormat="false" ht="12.75" hidden="false" customHeight="true" outlineLevel="0" collapsed="false">
      <c r="A68" s="6"/>
      <c r="B68" s="22" t="s">
        <v>58</v>
      </c>
      <c r="C68" s="6"/>
      <c r="D68" s="17"/>
      <c r="E68" s="19" t="n">
        <v>0.7</v>
      </c>
      <c r="F68" s="17"/>
      <c r="G68" s="19" t="n">
        <v>1.5</v>
      </c>
      <c r="H68" s="17"/>
      <c r="I68" s="19" t="n">
        <v>1.1</v>
      </c>
      <c r="J68" s="17"/>
      <c r="K68" s="19" t="n">
        <v>1.2</v>
      </c>
      <c r="L68" s="17"/>
      <c r="M68" s="19" t="n">
        <v>2.7</v>
      </c>
      <c r="N68" s="17"/>
      <c r="O68" s="19" t="n">
        <v>3.1</v>
      </c>
      <c r="P68" s="17"/>
      <c r="Q68" s="19" t="n">
        <v>1.2</v>
      </c>
      <c r="R68" s="19"/>
      <c r="S68" s="19" t="n">
        <v>0.7</v>
      </c>
      <c r="T68" s="6"/>
      <c r="U68" s="19" t="n">
        <v>0.4</v>
      </c>
      <c r="V68" s="24"/>
      <c r="W68" s="19" t="n">
        <v>0.4</v>
      </c>
    </row>
    <row r="69" customFormat="false" ht="6" hidden="false" customHeight="true" outlineLevel="0" collapsed="false">
      <c r="A69" s="6"/>
      <c r="B69" s="22"/>
      <c r="C69" s="6"/>
      <c r="D69" s="17"/>
      <c r="E69" s="19"/>
      <c r="F69" s="17"/>
      <c r="G69" s="19"/>
      <c r="H69" s="17"/>
      <c r="I69" s="19"/>
      <c r="J69" s="17"/>
      <c r="K69" s="19"/>
      <c r="L69" s="17"/>
      <c r="M69" s="19"/>
      <c r="N69" s="17"/>
      <c r="O69" s="19"/>
      <c r="P69" s="17"/>
      <c r="Q69" s="19"/>
      <c r="R69" s="19"/>
      <c r="S69" s="19"/>
      <c r="T69" s="6"/>
      <c r="U69" s="19"/>
      <c r="V69" s="24"/>
      <c r="W69" s="19"/>
    </row>
    <row r="70" customFormat="false" ht="12.75" hidden="false" customHeight="true" outlineLevel="0" collapsed="false">
      <c r="A70" s="33" t="s">
        <v>59</v>
      </c>
      <c r="B70" s="6"/>
      <c r="C70" s="6"/>
      <c r="D70" s="39"/>
      <c r="E70" s="18" t="n">
        <f aca="false">-86.8+4</f>
        <v>-82.8</v>
      </c>
      <c r="F70" s="39"/>
      <c r="G70" s="18" t="n">
        <f aca="false">-79.5-1.5</f>
        <v>-81</v>
      </c>
      <c r="H70" s="39"/>
      <c r="I70" s="18" t="n">
        <f aca="false">-72.5-1.2</f>
        <v>-73.7</v>
      </c>
      <c r="J70" s="39"/>
      <c r="K70" s="18" t="n">
        <f aca="false">-86.3-0.3</f>
        <v>-86.6</v>
      </c>
      <c r="L70" s="39"/>
      <c r="M70" s="18" t="n">
        <f aca="false">-82.2-2.6-0.9</f>
        <v>-85.7</v>
      </c>
      <c r="N70" s="39"/>
      <c r="O70" s="18" t="n">
        <f aca="false">-89.9-0.6-0.4</f>
        <v>-90.9</v>
      </c>
      <c r="P70" s="17"/>
      <c r="Q70" s="19" t="n">
        <v>-92.1</v>
      </c>
      <c r="R70" s="19"/>
      <c r="S70" s="17" t="n">
        <f aca="false">-ROUND((SUM(S62:S68)-0.5)*0.3947,1)-0.4</f>
        <v>-84.5</v>
      </c>
      <c r="T70" s="6"/>
      <c r="U70" s="17" t="n">
        <f aca="false">-ROUND((SUM(U62:U68)-0.5)*0.3947,1)-0.4</f>
        <v>-85.2</v>
      </c>
      <c r="V70" s="24"/>
      <c r="W70" s="17" t="n">
        <f aca="false">-ROUND((SUM(W62:W68)-0.5)*0.3947,1)-0.4</f>
        <v>-90.5</v>
      </c>
    </row>
    <row r="71" customFormat="false" ht="6" hidden="false" customHeight="true" outlineLevel="0" collapsed="false">
      <c r="A71" s="33"/>
      <c r="B71" s="6"/>
      <c r="C71" s="6"/>
      <c r="D71" s="39"/>
      <c r="E71" s="19"/>
      <c r="F71" s="39"/>
      <c r="G71" s="19"/>
      <c r="H71" s="39"/>
      <c r="I71" s="19"/>
      <c r="J71" s="39"/>
      <c r="K71" s="19"/>
      <c r="L71" s="39"/>
      <c r="M71" s="19"/>
      <c r="N71" s="39"/>
      <c r="O71" s="19"/>
      <c r="P71" s="17"/>
      <c r="Q71" s="19"/>
      <c r="R71" s="19"/>
      <c r="S71" s="19"/>
      <c r="T71" s="6"/>
      <c r="U71" s="19"/>
      <c r="V71" s="24"/>
      <c r="W71" s="19"/>
    </row>
    <row r="72" customFormat="false" ht="12.75" hidden="false" customHeight="true" outlineLevel="0" collapsed="false">
      <c r="A72" s="16" t="s">
        <v>60</v>
      </c>
      <c r="B72" s="6"/>
      <c r="C72" s="6"/>
      <c r="D72" s="39"/>
      <c r="E72" s="19"/>
      <c r="F72" s="39"/>
      <c r="G72" s="19"/>
      <c r="H72" s="39"/>
      <c r="I72" s="19"/>
      <c r="J72" s="39"/>
      <c r="K72" s="19"/>
      <c r="L72" s="39"/>
      <c r="M72" s="19"/>
      <c r="N72" s="39"/>
      <c r="O72" s="19"/>
      <c r="P72" s="17"/>
      <c r="Q72" s="19"/>
      <c r="R72" s="19"/>
      <c r="S72" s="19"/>
      <c r="T72" s="6"/>
      <c r="U72" s="19"/>
      <c r="V72" s="24"/>
      <c r="W72" s="19"/>
    </row>
    <row r="73" customFormat="false" ht="12.75" hidden="false" customHeight="true" outlineLevel="0" collapsed="false">
      <c r="A73" s="16"/>
      <c r="B73" s="22" t="s">
        <v>61</v>
      </c>
      <c r="C73" s="6"/>
      <c r="D73" s="39"/>
      <c r="E73" s="19" t="n">
        <v>0</v>
      </c>
      <c r="F73" s="39"/>
      <c r="G73" s="19" t="n">
        <v>0</v>
      </c>
      <c r="H73" s="39"/>
      <c r="I73" s="19" t="n">
        <v>0</v>
      </c>
      <c r="J73" s="39"/>
      <c r="K73" s="19" t="n">
        <v>0</v>
      </c>
      <c r="L73" s="39"/>
      <c r="M73" s="19" t="n">
        <v>2.6</v>
      </c>
      <c r="N73" s="39"/>
      <c r="O73" s="19" t="n">
        <v>0.6</v>
      </c>
      <c r="P73" s="17"/>
      <c r="Q73" s="19" t="n">
        <v>0</v>
      </c>
      <c r="R73" s="19"/>
      <c r="S73" s="19" t="n">
        <v>0</v>
      </c>
      <c r="T73" s="6"/>
      <c r="U73" s="19" t="n">
        <v>0</v>
      </c>
      <c r="V73" s="24"/>
      <c r="W73" s="19" t="n">
        <v>0</v>
      </c>
    </row>
    <row r="74" customFormat="false" ht="12.75" hidden="false" customHeight="true" outlineLevel="0" collapsed="false">
      <c r="A74" s="16"/>
      <c r="B74" s="22" t="s">
        <v>62</v>
      </c>
      <c r="C74" s="6"/>
      <c r="D74" s="39"/>
      <c r="E74" s="26" t="n">
        <f aca="false">-1.1-4</f>
        <v>-5.1</v>
      </c>
      <c r="F74" s="39"/>
      <c r="G74" s="26" t="n">
        <v>1.5</v>
      </c>
      <c r="H74" s="39"/>
      <c r="I74" s="26" t="n">
        <v>1.2</v>
      </c>
      <c r="J74" s="39"/>
      <c r="K74" s="26" t="n">
        <v>0.3</v>
      </c>
      <c r="L74" s="39"/>
      <c r="M74" s="26" t="n">
        <v>0.9</v>
      </c>
      <c r="N74" s="39"/>
      <c r="O74" s="26" t="n">
        <v>0.4</v>
      </c>
      <c r="P74" s="17"/>
      <c r="Q74" s="26" t="n">
        <v>0</v>
      </c>
      <c r="R74" s="19"/>
      <c r="S74" s="26" t="n">
        <v>0</v>
      </c>
      <c r="T74" s="6"/>
      <c r="U74" s="26" t="n">
        <v>0</v>
      </c>
      <c r="V74" s="24"/>
      <c r="W74" s="26" t="n">
        <v>0</v>
      </c>
    </row>
    <row r="75" customFormat="false" ht="6.75" hidden="false" customHeight="true" outlineLevel="0" collapsed="false">
      <c r="A75" s="33"/>
      <c r="B75" s="6"/>
      <c r="C75" s="6"/>
      <c r="D75" s="39"/>
      <c r="E75" s="17"/>
      <c r="F75" s="39"/>
      <c r="G75" s="17"/>
      <c r="H75" s="39"/>
      <c r="I75" s="17"/>
      <c r="J75" s="39"/>
      <c r="K75" s="17"/>
      <c r="L75" s="39"/>
      <c r="M75" s="17"/>
      <c r="N75" s="39"/>
      <c r="O75" s="17"/>
      <c r="P75" s="17"/>
      <c r="Q75" s="17"/>
      <c r="R75" s="17"/>
      <c r="S75" s="17"/>
      <c r="T75" s="6"/>
      <c r="U75" s="17"/>
      <c r="V75" s="24"/>
      <c r="W75" s="17"/>
    </row>
    <row r="76" customFormat="false" ht="12.75" hidden="false" customHeight="true" outlineLevel="0" collapsed="false">
      <c r="A76" s="16" t="s">
        <v>63</v>
      </c>
      <c r="B76" s="6"/>
      <c r="C76" s="6"/>
      <c r="D76" s="17"/>
      <c r="E76" s="38" t="n">
        <f aca="false">SUM(E62:E74)</f>
        <v>122.6</v>
      </c>
      <c r="F76" s="17"/>
      <c r="G76" s="38" t="n">
        <f aca="false">SUM(G62:G74)</f>
        <v>123.4</v>
      </c>
      <c r="H76" s="17"/>
      <c r="I76" s="38" t="n">
        <f aca="false">SUM(I62:I74)</f>
        <v>112.4</v>
      </c>
      <c r="J76" s="17"/>
      <c r="K76" s="38" t="n">
        <f aca="false">SUM(K62:K74)</f>
        <v>130.3</v>
      </c>
      <c r="L76" s="17"/>
      <c r="M76" s="38" t="n">
        <f aca="false">SUM(M62:M74)</f>
        <v>132.8</v>
      </c>
      <c r="N76" s="17"/>
      <c r="O76" s="38" t="n">
        <f aca="false">SUM(O62:O74)</f>
        <v>141.6</v>
      </c>
      <c r="P76" s="17"/>
      <c r="Q76" s="38" t="n">
        <f aca="false">SUM(Q62:Q74)</f>
        <v>140.6</v>
      </c>
      <c r="R76" s="17"/>
      <c r="S76" s="38" t="n">
        <f aca="false">SUM(S62:S74)</f>
        <v>129.1</v>
      </c>
      <c r="T76" s="28"/>
      <c r="U76" s="38" t="n">
        <f aca="false">SUM(U62:U74)</f>
        <v>130.2</v>
      </c>
      <c r="V76" s="24"/>
      <c r="W76" s="38" t="n">
        <f aca="false">SUM(W62:W74)</f>
        <v>138.2</v>
      </c>
    </row>
    <row r="77" customFormat="false" ht="12.75" hidden="false" customHeight="true" outlineLevel="0" collapsed="false">
      <c r="A77" s="33"/>
      <c r="B77" s="6"/>
      <c r="C77" s="6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6"/>
      <c r="U77" s="28"/>
      <c r="V77" s="24"/>
      <c r="W77" s="24"/>
    </row>
    <row r="78" customFormat="false" ht="12.75" hidden="false" customHeight="true" outlineLevel="0" collapsed="false">
      <c r="A78" s="33"/>
      <c r="B78" s="6"/>
      <c r="C78" s="6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6"/>
      <c r="U78" s="28"/>
      <c r="V78" s="24"/>
      <c r="W78" s="24"/>
    </row>
    <row r="79" customFormat="false" ht="12.75" hidden="false" customHeight="true" outlineLevel="0" collapsed="false">
      <c r="A79" s="40" t="str">
        <f aca="true">CELL("Filename")</f>
        <v>'file:///mnt/12tb/@roms/datasets/enron/EDRM Enron Email Data Set v2 XML/filtered-attachments/xls/DetailInc.xls'#$NNG Detail NI</v>
      </c>
      <c r="B79" s="6"/>
      <c r="C79" s="6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6"/>
      <c r="U79" s="28"/>
      <c r="V79" s="24"/>
      <c r="W79" s="41" t="n">
        <f aca="true">NOW()</f>
        <v>45926.9500904888</v>
      </c>
    </row>
    <row r="80" customFormat="false" ht="13.2" hidden="false" customHeight="false" outlineLevel="0" collapsed="false">
      <c r="A80" s="42"/>
      <c r="U80" s="24"/>
      <c r="V80" s="24"/>
      <c r="W80" s="24"/>
    </row>
    <row r="81" customFormat="false" ht="13.2" hidden="false" customHeight="false" outlineLevel="0" collapsed="false">
      <c r="A81" s="42"/>
      <c r="U81" s="24"/>
      <c r="V81" s="24"/>
      <c r="W81" s="24"/>
    </row>
    <row r="82" customFormat="false" ht="13.2" hidden="false" customHeight="false" outlineLevel="0" collapsed="false">
      <c r="A82" s="42"/>
      <c r="U82" s="24"/>
      <c r="V82" s="24"/>
      <c r="W82" s="24"/>
    </row>
    <row r="83" customFormat="false" ht="13.2" hidden="false" customHeight="false" outlineLevel="0" collapsed="false">
      <c r="A83" s="42"/>
      <c r="U83" s="24"/>
      <c r="V83" s="24"/>
      <c r="W83" s="24"/>
    </row>
    <row r="84" customFormat="false" ht="13.2" hidden="false" customHeight="false" outlineLevel="0" collapsed="false">
      <c r="U84" s="24"/>
      <c r="V84" s="24"/>
      <c r="W84" s="24"/>
    </row>
    <row r="85" customFormat="false" ht="13.2" hidden="false" customHeight="false" outlineLevel="0" collapsed="false">
      <c r="U85" s="24"/>
      <c r="V85" s="24"/>
      <c r="W85" s="24"/>
    </row>
    <row r="86" customFormat="false" ht="13.2" hidden="false" customHeight="false" outlineLevel="0" collapsed="false">
      <c r="U86" s="24"/>
      <c r="V86" s="24"/>
      <c r="W86" s="24"/>
    </row>
    <row r="87" customFormat="false" ht="13.2" hidden="false" customHeight="false" outlineLevel="0" collapsed="false">
      <c r="U87" s="24"/>
      <c r="V87" s="24"/>
      <c r="W87" s="24"/>
    </row>
  </sheetData>
  <mergeCells count="3">
    <mergeCell ref="A1:W1"/>
    <mergeCell ref="A2:W2"/>
    <mergeCell ref="A3:W3"/>
  </mergeCells>
  <printOptions headings="false" gridLines="false" gridLinesSet="true" horizontalCentered="true" verticalCentered="false"/>
  <pageMargins left="0.5" right="0.5" top="0.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6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pane xSplit="4" ySplit="2" topLeftCell="E8" activePane="bottomRight" state="frozen"/>
      <selection pane="topLeft" activeCell="A6" activeCellId="0" sqref="A6"/>
      <selection pane="topRight" activeCell="E6" activeCellId="0" sqref="E6"/>
      <selection pane="bottomLeft" activeCell="A8" activeCellId="0" sqref="A8"/>
      <selection pane="bottomRight" activeCell="E8" activeCellId="0" sqref="E8"/>
    </sheetView>
  </sheetViews>
  <sheetFormatPr defaultColWidth="9.1015625" defaultRowHeight="13.2" customHeight="true" zeroHeight="false" outlineLevelRow="0" outlineLevelCol="0"/>
  <cols>
    <col collapsed="false" customWidth="true" hidden="false" outlineLevel="0" max="2" min="1" style="1" width="1.66"/>
    <col collapsed="false" customWidth="true" hidden="false" outlineLevel="0" max="3" min="3" style="1" width="30.66"/>
    <col collapsed="false" customWidth="true" hidden="false" outlineLevel="0" max="4" min="4" style="1" width="5.66"/>
    <col collapsed="false" customWidth="true" hidden="false" outlineLevel="0" max="5" min="5" style="1" width="8.66"/>
    <col collapsed="false" customWidth="true" hidden="false" outlineLevel="0" max="6" min="6" style="1" width="2.66"/>
    <col collapsed="false" customWidth="true" hidden="false" outlineLevel="0" max="7" min="7" style="1" width="8.66"/>
    <col collapsed="false" customWidth="true" hidden="false" outlineLevel="0" max="8" min="8" style="1" width="2.66"/>
    <col collapsed="false" customWidth="true" hidden="false" outlineLevel="0" max="9" min="9" style="1" width="8.66"/>
    <col collapsed="false" customWidth="true" hidden="false" outlineLevel="0" max="10" min="10" style="1" width="2.66"/>
    <col collapsed="false" customWidth="true" hidden="false" outlineLevel="0" max="11" min="11" style="1" width="8.66"/>
    <col collapsed="false" customWidth="true" hidden="false" outlineLevel="0" max="12" min="12" style="1" width="2.66"/>
    <col collapsed="false" customWidth="true" hidden="false" outlineLevel="0" max="13" min="13" style="1" width="8.66"/>
    <col collapsed="false" customWidth="true" hidden="false" outlineLevel="0" max="14" min="14" style="1" width="2.66"/>
    <col collapsed="false" customWidth="true" hidden="false" outlineLevel="0" max="15" min="15" style="1" width="8.66"/>
    <col collapsed="false" customWidth="true" hidden="false" outlineLevel="0" max="16" min="16" style="1" width="2.66"/>
    <col collapsed="false" customWidth="true" hidden="false" outlineLevel="0" max="17" min="17" style="1" width="8.66"/>
    <col collapsed="false" customWidth="true" hidden="false" outlineLevel="0" max="18" min="18" style="1" width="2.66"/>
    <col collapsed="false" customWidth="true" hidden="false" outlineLevel="0" max="19" min="19" style="1" width="8.66"/>
    <col collapsed="false" customWidth="true" hidden="false" outlineLevel="0" max="20" min="20" style="1" width="2.66"/>
    <col collapsed="false" customWidth="true" hidden="false" outlineLevel="0" max="21" min="21" style="1" width="8.66"/>
    <col collapsed="false" customWidth="true" hidden="false" outlineLevel="0" max="22" min="22" style="1" width="2.66"/>
    <col collapsed="false" customWidth="true" hidden="false" outlineLevel="0" max="23" min="23" style="1" width="8.66"/>
    <col collapsed="false" customWidth="false" hidden="false" outlineLevel="0" max="257" min="24" style="1" width="9.1"/>
  </cols>
  <sheetData>
    <row r="1" customFormat="false" ht="15.6" hidden="false" customHeight="false" outlineLevel="0" collapsed="false">
      <c r="A1" s="43" t="str">
        <f aca="false">+'NNG Detail NI'!A1</f>
        <v>NORTHERN NATURAL GAS GROUP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  <c r="EM1" s="44"/>
      <c r="EN1" s="44"/>
      <c r="EO1" s="44"/>
      <c r="EP1" s="44"/>
      <c r="EQ1" s="44"/>
      <c r="ER1" s="44"/>
      <c r="ES1" s="44"/>
      <c r="ET1" s="44"/>
      <c r="EU1" s="44"/>
      <c r="EV1" s="44"/>
      <c r="EW1" s="44"/>
      <c r="EX1" s="44"/>
      <c r="EY1" s="44"/>
      <c r="EZ1" s="44"/>
      <c r="FA1" s="44"/>
      <c r="FB1" s="44"/>
      <c r="FC1" s="44"/>
      <c r="FD1" s="44"/>
      <c r="FE1" s="44"/>
      <c r="FF1" s="44"/>
      <c r="FG1" s="44"/>
      <c r="FH1" s="44"/>
      <c r="FI1" s="44"/>
      <c r="FJ1" s="44"/>
      <c r="FK1" s="44"/>
      <c r="FL1" s="44"/>
      <c r="FM1" s="44"/>
      <c r="FN1" s="44"/>
      <c r="FO1" s="44"/>
      <c r="FP1" s="44"/>
      <c r="FQ1" s="44"/>
      <c r="FR1" s="44"/>
      <c r="FS1" s="44"/>
      <c r="FT1" s="44"/>
      <c r="FU1" s="44"/>
      <c r="FV1" s="44"/>
      <c r="FW1" s="44"/>
      <c r="FX1" s="44"/>
      <c r="FY1" s="44"/>
      <c r="FZ1" s="44"/>
      <c r="GA1" s="44"/>
      <c r="GB1" s="44"/>
      <c r="GC1" s="44"/>
      <c r="GD1" s="44"/>
      <c r="GE1" s="44"/>
      <c r="GF1" s="44"/>
      <c r="GG1" s="44"/>
      <c r="GH1" s="44"/>
      <c r="GI1" s="44"/>
      <c r="GJ1" s="44"/>
      <c r="GK1" s="44"/>
      <c r="GL1" s="44"/>
      <c r="GM1" s="44"/>
      <c r="GN1" s="44"/>
      <c r="GO1" s="44"/>
      <c r="GP1" s="44"/>
      <c r="GQ1" s="44"/>
      <c r="GR1" s="44"/>
      <c r="GS1" s="44"/>
      <c r="GT1" s="44"/>
      <c r="GU1" s="44"/>
      <c r="GV1" s="44"/>
      <c r="GW1" s="44"/>
      <c r="GX1" s="44"/>
      <c r="GY1" s="44"/>
      <c r="GZ1" s="44"/>
      <c r="HA1" s="44"/>
      <c r="HB1" s="44"/>
      <c r="HC1" s="44"/>
      <c r="HD1" s="44"/>
      <c r="HE1" s="44"/>
      <c r="HF1" s="44"/>
      <c r="HG1" s="44"/>
      <c r="HH1" s="44"/>
      <c r="HI1" s="44"/>
      <c r="HJ1" s="44"/>
      <c r="HK1" s="44"/>
      <c r="HL1" s="44"/>
      <c r="HM1" s="44"/>
      <c r="HN1" s="44"/>
      <c r="HO1" s="44"/>
      <c r="HP1" s="44"/>
      <c r="HQ1" s="44"/>
      <c r="HR1" s="44"/>
      <c r="HS1" s="44"/>
      <c r="HT1" s="44"/>
      <c r="HU1" s="44"/>
      <c r="HV1" s="44"/>
      <c r="HW1" s="44"/>
      <c r="HX1" s="44"/>
      <c r="HY1" s="44"/>
      <c r="HZ1" s="44"/>
      <c r="IA1" s="44"/>
      <c r="IB1" s="44"/>
      <c r="IC1" s="44"/>
      <c r="ID1" s="44"/>
      <c r="IE1" s="44"/>
      <c r="IF1" s="44"/>
      <c r="IG1" s="44"/>
      <c r="IH1" s="44"/>
      <c r="II1" s="44"/>
      <c r="IJ1" s="44"/>
      <c r="IK1" s="44"/>
      <c r="IL1" s="44"/>
      <c r="IM1" s="44"/>
      <c r="IN1" s="44"/>
      <c r="IO1" s="44"/>
      <c r="IP1" s="44"/>
      <c r="IQ1" s="44"/>
      <c r="IR1" s="44"/>
      <c r="IS1" s="44"/>
      <c r="IT1" s="44"/>
      <c r="IU1" s="44"/>
      <c r="IV1" s="44"/>
      <c r="IW1" s="44"/>
    </row>
    <row r="2" customFormat="false" ht="15.6" hidden="false" customHeight="false" outlineLevel="0" collapsed="false">
      <c r="A2" s="2" t="s">
        <v>64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44"/>
      <c r="DT2" s="44"/>
      <c r="DU2" s="44"/>
      <c r="DV2" s="44"/>
      <c r="DW2" s="44"/>
      <c r="DX2" s="44"/>
      <c r="DY2" s="44"/>
      <c r="DZ2" s="44"/>
      <c r="EA2" s="44"/>
      <c r="EB2" s="44"/>
      <c r="EC2" s="44"/>
      <c r="ED2" s="44"/>
      <c r="EE2" s="44"/>
      <c r="EF2" s="44"/>
      <c r="EG2" s="44"/>
      <c r="EH2" s="44"/>
      <c r="EI2" s="44"/>
      <c r="EJ2" s="44"/>
      <c r="EK2" s="44"/>
      <c r="EL2" s="44"/>
      <c r="EM2" s="44"/>
      <c r="EN2" s="44"/>
      <c r="EO2" s="44"/>
      <c r="EP2" s="44"/>
      <c r="EQ2" s="44"/>
      <c r="ER2" s="44"/>
      <c r="ES2" s="44"/>
      <c r="ET2" s="44"/>
      <c r="EU2" s="44"/>
      <c r="EV2" s="44"/>
      <c r="EW2" s="44"/>
      <c r="EX2" s="44"/>
      <c r="EY2" s="44"/>
      <c r="EZ2" s="44"/>
      <c r="FA2" s="44"/>
      <c r="FB2" s="44"/>
      <c r="FC2" s="44"/>
      <c r="FD2" s="44"/>
      <c r="FE2" s="44"/>
      <c r="FF2" s="44"/>
      <c r="FG2" s="44"/>
      <c r="FH2" s="44"/>
      <c r="FI2" s="44"/>
      <c r="FJ2" s="44"/>
      <c r="FK2" s="44"/>
      <c r="FL2" s="44"/>
      <c r="FM2" s="44"/>
      <c r="FN2" s="44"/>
      <c r="FO2" s="44"/>
      <c r="FP2" s="44"/>
      <c r="FQ2" s="44"/>
      <c r="FR2" s="44"/>
      <c r="FS2" s="44"/>
      <c r="FT2" s="44"/>
      <c r="FU2" s="44"/>
      <c r="FV2" s="44"/>
      <c r="FW2" s="44"/>
      <c r="FX2" s="44"/>
      <c r="FY2" s="44"/>
      <c r="FZ2" s="44"/>
      <c r="GA2" s="44"/>
      <c r="GB2" s="44"/>
      <c r="GC2" s="44"/>
      <c r="GD2" s="44"/>
      <c r="GE2" s="44"/>
      <c r="GF2" s="44"/>
      <c r="GG2" s="44"/>
      <c r="GH2" s="44"/>
      <c r="GI2" s="44"/>
      <c r="GJ2" s="44"/>
      <c r="GK2" s="44"/>
      <c r="GL2" s="44"/>
      <c r="GM2" s="44"/>
      <c r="GN2" s="44"/>
      <c r="GO2" s="44"/>
      <c r="GP2" s="44"/>
      <c r="GQ2" s="44"/>
      <c r="GR2" s="44"/>
      <c r="GS2" s="44"/>
      <c r="GT2" s="44"/>
      <c r="GU2" s="44"/>
      <c r="GV2" s="44"/>
      <c r="GW2" s="44"/>
      <c r="GX2" s="44"/>
      <c r="GY2" s="44"/>
      <c r="GZ2" s="44"/>
      <c r="HA2" s="44"/>
      <c r="HB2" s="44"/>
      <c r="HC2" s="44"/>
      <c r="HD2" s="44"/>
      <c r="HE2" s="44"/>
      <c r="HF2" s="44"/>
      <c r="HG2" s="44"/>
      <c r="HH2" s="44"/>
      <c r="HI2" s="44"/>
      <c r="HJ2" s="44"/>
      <c r="HK2" s="44"/>
      <c r="HL2" s="44"/>
      <c r="HM2" s="44"/>
      <c r="HN2" s="44"/>
      <c r="HO2" s="44"/>
      <c r="HP2" s="44"/>
      <c r="HQ2" s="44"/>
      <c r="HR2" s="44"/>
      <c r="HS2" s="44"/>
      <c r="HT2" s="44"/>
      <c r="HU2" s="44"/>
      <c r="HV2" s="44"/>
      <c r="HW2" s="44"/>
      <c r="HX2" s="44"/>
      <c r="HY2" s="44"/>
      <c r="HZ2" s="44"/>
      <c r="IA2" s="44"/>
      <c r="IB2" s="44"/>
      <c r="IC2" s="44"/>
      <c r="ID2" s="44"/>
      <c r="IE2" s="44"/>
      <c r="IF2" s="44"/>
      <c r="IG2" s="44"/>
      <c r="IH2" s="44"/>
      <c r="II2" s="44"/>
      <c r="IJ2" s="44"/>
      <c r="IK2" s="44"/>
      <c r="IL2" s="44"/>
      <c r="IM2" s="44"/>
      <c r="IN2" s="44"/>
      <c r="IO2" s="44"/>
      <c r="IP2" s="44"/>
      <c r="IQ2" s="44"/>
      <c r="IR2" s="44"/>
      <c r="IS2" s="44"/>
      <c r="IT2" s="44"/>
      <c r="IU2" s="44"/>
      <c r="IV2" s="44"/>
      <c r="IW2" s="44"/>
    </row>
    <row r="3" customFormat="false" ht="13.2" hidden="false" customHeight="false" outlineLevel="0" collapsed="false">
      <c r="A3" s="45" t="str">
        <f aca="false">+'NNG Detail NI'!A3</f>
        <v>($ Millions)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</row>
    <row r="4" customFormat="false" ht="12.75" hidden="false" customHeight="true" outlineLevel="0" collapsed="false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46"/>
      <c r="V4" s="46"/>
      <c r="W4" s="46"/>
    </row>
    <row r="5" customFormat="false" ht="12.75" hidden="false" customHeight="true" outlineLevel="0" collapsed="false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4"/>
      <c r="R5" s="47"/>
      <c r="S5" s="45"/>
      <c r="T5" s="6"/>
    </row>
    <row r="6" customFormat="false" ht="12.75" hidden="false" customHeight="true" outlineLevel="0" collapsed="false">
      <c r="A6" s="5"/>
      <c r="B6" s="5"/>
      <c r="C6" s="5"/>
      <c r="D6" s="5"/>
      <c r="E6" s="4" t="str">
        <f aca="false">+'NNG Detail NI'!E6</f>
        <v>1993</v>
      </c>
      <c r="F6" s="5"/>
      <c r="G6" s="4" t="str">
        <f aca="false">+'NNG Detail NI'!G6</f>
        <v>1994</v>
      </c>
      <c r="H6" s="5"/>
      <c r="I6" s="4" t="str">
        <f aca="false">+'NNG Detail NI'!I6</f>
        <v>1995</v>
      </c>
      <c r="J6" s="5"/>
      <c r="K6" s="4" t="str">
        <f aca="false">+'NNG Detail NI'!K6</f>
        <v>1996</v>
      </c>
      <c r="L6" s="5"/>
      <c r="M6" s="4" t="str">
        <f aca="false">+'NNG Detail NI'!M6</f>
        <v>1997</v>
      </c>
      <c r="N6" s="5"/>
      <c r="O6" s="4" t="str">
        <f aca="false">+'NNG Detail NI'!O6</f>
        <v>1998</v>
      </c>
      <c r="P6" s="4"/>
      <c r="Q6" s="4" t="str">
        <f aca="false">+'NNG Detail NI'!Q6</f>
        <v>1999</v>
      </c>
      <c r="R6" s="47"/>
      <c r="S6" s="4" t="n">
        <f aca="false">+'NNG Detail NI'!S6</f>
        <v>2000</v>
      </c>
      <c r="T6" s="6"/>
      <c r="U6" s="4" t="n">
        <f aca="false">+'NNG Detail NI'!U6</f>
        <v>2001</v>
      </c>
      <c r="W6" s="4" t="n">
        <f aca="false">+'NNG Detail NI'!W6</f>
        <v>2002</v>
      </c>
    </row>
    <row r="7" customFormat="false" ht="12.75" hidden="false" customHeight="true" outlineLevel="0" collapsed="false">
      <c r="A7" s="6"/>
      <c r="B7" s="6"/>
      <c r="C7" s="6"/>
      <c r="D7" s="13"/>
      <c r="E7" s="48" t="str">
        <f aca="false">+'NNG Detail NI'!E7</f>
        <v>Actual</v>
      </c>
      <c r="F7" s="13"/>
      <c r="G7" s="48" t="str">
        <f aca="false">+'NNG Detail NI'!G7</f>
        <v>Actual</v>
      </c>
      <c r="H7" s="13"/>
      <c r="I7" s="48" t="str">
        <f aca="false">+'NNG Detail NI'!I7</f>
        <v>Actual</v>
      </c>
      <c r="J7" s="13"/>
      <c r="K7" s="48" t="str">
        <f aca="false">+'NNG Detail NI'!K7</f>
        <v>Actual</v>
      </c>
      <c r="L7" s="13"/>
      <c r="M7" s="48" t="str">
        <f aca="false">+'NNG Detail NI'!M7</f>
        <v>Actual</v>
      </c>
      <c r="N7" s="13"/>
      <c r="O7" s="48" t="str">
        <f aca="false">+'NNG Detail NI'!O7</f>
        <v>Actual</v>
      </c>
      <c r="P7" s="45"/>
      <c r="Q7" s="48" t="str">
        <f aca="false">+'NNG Detail NI'!Q7</f>
        <v>Actual</v>
      </c>
      <c r="R7" s="6"/>
      <c r="S7" s="48" t="str">
        <f aca="false">+'NNG Detail NI'!S7</f>
        <v>Plan</v>
      </c>
      <c r="T7" s="6"/>
      <c r="U7" s="48" t="str">
        <f aca="false">+'NNG Detail NI'!U7</f>
        <v>Plan</v>
      </c>
      <c r="W7" s="48" t="str">
        <f aca="false">+'NNG Detail NI'!W7</f>
        <v>Plan</v>
      </c>
    </row>
    <row r="8" customFormat="false" ht="12.75" hidden="false" customHeight="true" outlineLevel="0" collapsed="false">
      <c r="A8" s="33" t="s">
        <v>65</v>
      </c>
      <c r="B8" s="6"/>
      <c r="C8" s="6"/>
      <c r="D8" s="13"/>
      <c r="E8" s="45"/>
      <c r="F8" s="13"/>
      <c r="G8" s="45"/>
      <c r="H8" s="13"/>
      <c r="I8" s="45"/>
      <c r="J8" s="13"/>
      <c r="K8" s="45"/>
      <c r="L8" s="13"/>
      <c r="M8" s="45"/>
      <c r="N8" s="13"/>
      <c r="O8" s="45"/>
      <c r="P8" s="45"/>
      <c r="Q8" s="45"/>
      <c r="R8" s="6"/>
      <c r="S8" s="45"/>
      <c r="T8" s="6"/>
      <c r="U8" s="45"/>
      <c r="W8" s="45"/>
    </row>
    <row r="9" customFormat="false" ht="12.75" hidden="false" customHeight="true" outlineLevel="0" collapsed="false">
      <c r="A9" s="6"/>
      <c r="B9" s="22" t="s">
        <v>66</v>
      </c>
      <c r="C9" s="22"/>
      <c r="D9" s="17"/>
      <c r="E9" s="34" t="n">
        <f aca="false">(92.4-36.9)-28.7</f>
        <v>26.8</v>
      </c>
      <c r="F9" s="17"/>
      <c r="G9" s="19" t="n">
        <f aca="false">6.8</f>
        <v>6.8</v>
      </c>
      <c r="H9" s="17"/>
      <c r="I9" s="19" t="n">
        <v>0.8</v>
      </c>
      <c r="J9" s="17"/>
      <c r="K9" s="19" t="n">
        <v>0.1</v>
      </c>
      <c r="L9" s="17"/>
      <c r="M9" s="19" t="n">
        <v>-0.1</v>
      </c>
      <c r="N9" s="17"/>
      <c r="O9" s="19" t="n">
        <v>-0.1</v>
      </c>
      <c r="P9" s="19"/>
      <c r="Q9" s="19" t="n">
        <v>0</v>
      </c>
      <c r="R9" s="6"/>
      <c r="S9" s="19" t="n">
        <v>0</v>
      </c>
      <c r="T9" s="11"/>
      <c r="U9" s="19" t="n">
        <v>0</v>
      </c>
      <c r="W9" s="19" t="n">
        <v>0</v>
      </c>
    </row>
    <row r="10" customFormat="false" ht="12.75" hidden="false" customHeight="true" outlineLevel="0" collapsed="false">
      <c r="A10" s="6"/>
      <c r="B10" s="22" t="s">
        <v>67</v>
      </c>
      <c r="C10" s="22"/>
      <c r="D10" s="17"/>
      <c r="E10" s="20" t="n">
        <f aca="false">37.9+2.1-15.5-11.6-3.4-1.1</f>
        <v>8.4</v>
      </c>
      <c r="F10" s="17"/>
      <c r="G10" s="20" t="n">
        <f aca="false">37.9+2.1-15.5-11.6-3.4-1.1</f>
        <v>8.4</v>
      </c>
      <c r="H10" s="17"/>
      <c r="I10" s="20" t="n">
        <f aca="false">37.9+2.1-15.5-11.6-3.4-1.1</f>
        <v>8.4</v>
      </c>
      <c r="J10" s="17"/>
      <c r="K10" s="19" t="n">
        <v>0</v>
      </c>
      <c r="L10" s="17"/>
      <c r="M10" s="19" t="n">
        <v>0</v>
      </c>
      <c r="N10" s="17"/>
      <c r="O10" s="19" t="n">
        <v>0</v>
      </c>
      <c r="P10" s="19"/>
      <c r="Q10" s="19" t="n">
        <v>0</v>
      </c>
      <c r="R10" s="6"/>
      <c r="S10" s="19" t="n">
        <v>0</v>
      </c>
      <c r="T10" s="11"/>
      <c r="U10" s="19" t="n">
        <v>0</v>
      </c>
      <c r="W10" s="19" t="n">
        <v>0</v>
      </c>
    </row>
    <row r="11" customFormat="false" ht="12.75" hidden="false" customHeight="true" outlineLevel="0" collapsed="false">
      <c r="A11" s="6"/>
      <c r="B11" s="22" t="s">
        <v>68</v>
      </c>
      <c r="C11" s="22"/>
      <c r="D11" s="17"/>
      <c r="E11" s="19" t="n">
        <v>1.3</v>
      </c>
      <c r="F11" s="17"/>
      <c r="G11" s="19" t="n">
        <v>1.3</v>
      </c>
      <c r="H11" s="17"/>
      <c r="I11" s="19" t="n">
        <v>1.3</v>
      </c>
      <c r="J11" s="17"/>
      <c r="K11" s="19" t="n">
        <v>0</v>
      </c>
      <c r="L11" s="17"/>
      <c r="M11" s="19" t="n">
        <v>0</v>
      </c>
      <c r="N11" s="17"/>
      <c r="O11" s="19" t="n">
        <v>0</v>
      </c>
      <c r="P11" s="19"/>
      <c r="Q11" s="19" t="n">
        <v>0</v>
      </c>
      <c r="R11" s="6"/>
      <c r="S11" s="19" t="n">
        <v>0</v>
      </c>
      <c r="T11" s="11"/>
      <c r="U11" s="19" t="n">
        <v>0</v>
      </c>
      <c r="W11" s="19" t="n">
        <v>0</v>
      </c>
    </row>
    <row r="12" customFormat="false" ht="12.75" hidden="false" customHeight="true" outlineLevel="0" collapsed="false">
      <c r="A12" s="6"/>
      <c r="B12" s="22" t="s">
        <v>69</v>
      </c>
      <c r="C12" s="22"/>
      <c r="D12" s="17"/>
      <c r="E12" s="20" t="n">
        <f aca="false">8.1+5.2+2.6-8.8-1.6-8.6-0.8</f>
        <v>-3.9</v>
      </c>
      <c r="F12" s="17"/>
      <c r="G12" s="20" t="n">
        <f aca="false">8.1+5.2+2.6-8.8-1.6-8.6-0.8</f>
        <v>-3.9</v>
      </c>
      <c r="H12" s="17"/>
      <c r="I12" s="19" t="n">
        <v>0</v>
      </c>
      <c r="J12" s="17"/>
      <c r="K12" s="19" t="n">
        <v>0</v>
      </c>
      <c r="L12" s="17"/>
      <c r="M12" s="19" t="n">
        <v>0</v>
      </c>
      <c r="N12" s="17"/>
      <c r="O12" s="19" t="n">
        <v>0</v>
      </c>
      <c r="P12" s="19"/>
      <c r="Q12" s="19" t="n">
        <v>0</v>
      </c>
      <c r="R12" s="6"/>
      <c r="S12" s="19" t="n">
        <v>0</v>
      </c>
      <c r="T12" s="11"/>
      <c r="U12" s="19" t="n">
        <v>0</v>
      </c>
      <c r="W12" s="19" t="n">
        <v>0</v>
      </c>
    </row>
    <row r="13" customFormat="false" ht="12.75" hidden="false" customHeight="true" outlineLevel="0" collapsed="false">
      <c r="A13" s="6"/>
      <c r="B13" s="22" t="s">
        <v>70</v>
      </c>
      <c r="C13" s="22"/>
      <c r="D13" s="17"/>
      <c r="E13" s="31" t="n">
        <f aca="false">7.8-2.1-8.1</f>
        <v>-2.4</v>
      </c>
      <c r="F13" s="17"/>
      <c r="G13" s="31" t="n">
        <f aca="false">13.2-2.1-8.1</f>
        <v>3</v>
      </c>
      <c r="H13" s="17"/>
      <c r="I13" s="31" t="n">
        <f aca="false">4.8-2.1</f>
        <v>2.7</v>
      </c>
      <c r="J13" s="17"/>
      <c r="K13" s="26" t="n">
        <v>5</v>
      </c>
      <c r="L13" s="17"/>
      <c r="M13" s="26" t="n">
        <v>3.5</v>
      </c>
      <c r="N13" s="17"/>
      <c r="O13" s="26" t="n">
        <v>0</v>
      </c>
      <c r="P13" s="19"/>
      <c r="Q13" s="26" t="n">
        <v>0</v>
      </c>
      <c r="R13" s="6"/>
      <c r="S13" s="26" t="n">
        <v>0</v>
      </c>
      <c r="T13" s="11"/>
      <c r="U13" s="26" t="n">
        <v>0</v>
      </c>
      <c r="W13" s="26" t="n">
        <v>0</v>
      </c>
    </row>
    <row r="14" customFormat="false" ht="3.9" hidden="false" customHeight="true" outlineLevel="0" collapsed="false">
      <c r="A14" s="6"/>
      <c r="B14" s="6"/>
      <c r="C14" s="6"/>
      <c r="D14" s="13"/>
      <c r="E14" s="45"/>
      <c r="F14" s="13"/>
      <c r="G14" s="45"/>
      <c r="H14" s="13"/>
      <c r="I14" s="45"/>
      <c r="J14" s="13"/>
      <c r="K14" s="45"/>
      <c r="L14" s="13"/>
      <c r="M14" s="45"/>
      <c r="N14" s="13"/>
      <c r="O14" s="45"/>
      <c r="P14" s="45"/>
      <c r="Q14" s="45"/>
      <c r="R14" s="6"/>
      <c r="S14" s="45"/>
      <c r="T14" s="6"/>
      <c r="U14" s="45"/>
      <c r="W14" s="45"/>
    </row>
    <row r="15" customFormat="false" ht="12.75" hidden="false" customHeight="true" outlineLevel="0" collapsed="false">
      <c r="A15" s="6"/>
      <c r="B15" s="6"/>
      <c r="C15" s="16" t="s">
        <v>71</v>
      </c>
      <c r="D15" s="29"/>
      <c r="E15" s="38" t="n">
        <f aca="false">SUM(E9:E13)</f>
        <v>30.2</v>
      </c>
      <c r="F15" s="29"/>
      <c r="G15" s="38" t="n">
        <f aca="false">SUM(G9:G13)</f>
        <v>15.6</v>
      </c>
      <c r="H15" s="29"/>
      <c r="I15" s="38" t="n">
        <f aca="false">SUM(I9:I13)</f>
        <v>13.2</v>
      </c>
      <c r="J15" s="29"/>
      <c r="K15" s="38" t="n">
        <f aca="false">SUM(K9:K13)</f>
        <v>5.1</v>
      </c>
      <c r="L15" s="29"/>
      <c r="M15" s="38" t="n">
        <f aca="false">SUM(M9:M13)</f>
        <v>3.4</v>
      </c>
      <c r="N15" s="29"/>
      <c r="O15" s="38" t="n">
        <f aca="false">SUM(O9:O13)</f>
        <v>-0.1</v>
      </c>
      <c r="P15" s="29"/>
      <c r="Q15" s="38" t="n">
        <f aca="false">SUM(Q9:Q13)</f>
        <v>0</v>
      </c>
      <c r="R15" s="6"/>
      <c r="S15" s="38" t="n">
        <f aca="false">SUM(S9:S13)</f>
        <v>0</v>
      </c>
      <c r="T15" s="28"/>
      <c r="U15" s="38" t="n">
        <f aca="false">SUM(U9:U13)</f>
        <v>0</v>
      </c>
      <c r="W15" s="38" t="n">
        <f aca="false">SUM(W9:W13)</f>
        <v>0</v>
      </c>
    </row>
    <row r="16" customFormat="false" ht="12.75" hidden="false" customHeight="true" outlineLevel="0" collapsed="false">
      <c r="A16" s="6"/>
      <c r="B16" s="6"/>
      <c r="C16" s="6"/>
      <c r="D16" s="13"/>
      <c r="E16" s="45"/>
      <c r="F16" s="13"/>
      <c r="G16" s="45"/>
      <c r="H16" s="13"/>
      <c r="I16" s="45"/>
      <c r="J16" s="13"/>
      <c r="K16" s="45"/>
      <c r="L16" s="13"/>
      <c r="M16" s="45"/>
      <c r="N16" s="13"/>
      <c r="O16" s="45"/>
      <c r="P16" s="45"/>
      <c r="Q16" s="45"/>
      <c r="R16" s="6"/>
      <c r="S16" s="45"/>
      <c r="T16" s="6"/>
      <c r="U16" s="45"/>
      <c r="W16" s="45"/>
    </row>
    <row r="17" customFormat="false" ht="12.75" hidden="false" customHeight="true" outlineLevel="0" collapsed="false">
      <c r="A17" s="33" t="s">
        <v>72</v>
      </c>
      <c r="B17" s="6"/>
      <c r="C17" s="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6"/>
      <c r="S17" s="17"/>
      <c r="T17" s="6"/>
    </row>
    <row r="18" customFormat="false" ht="13.2" hidden="false" customHeight="false" outlineLevel="0" collapsed="false">
      <c r="A18" s="6"/>
      <c r="B18" s="22" t="s">
        <v>73</v>
      </c>
      <c r="C18" s="6"/>
      <c r="D18" s="17"/>
      <c r="E18" s="19" t="n">
        <v>0</v>
      </c>
      <c r="F18" s="17"/>
      <c r="G18" s="19" t="n">
        <v>0</v>
      </c>
      <c r="H18" s="17"/>
      <c r="I18" s="19" t="n">
        <v>0</v>
      </c>
      <c r="J18" s="17"/>
      <c r="K18" s="19" t="n">
        <v>0</v>
      </c>
      <c r="L18" s="17"/>
      <c r="M18" s="19" t="n">
        <v>0</v>
      </c>
      <c r="N18" s="17"/>
      <c r="O18" s="19" t="n">
        <v>0</v>
      </c>
      <c r="P18" s="19"/>
      <c r="Q18" s="19" t="n">
        <v>22.6</v>
      </c>
      <c r="R18" s="11"/>
      <c r="S18" s="19" t="n">
        <v>10</v>
      </c>
      <c r="T18" s="6"/>
      <c r="U18" s="19" t="n">
        <v>0</v>
      </c>
      <c r="W18" s="19" t="n">
        <v>0</v>
      </c>
    </row>
    <row r="19" customFormat="false" ht="13.2" hidden="false" customHeight="false" outlineLevel="0" collapsed="false">
      <c r="A19" s="6"/>
      <c r="B19" s="22" t="s">
        <v>74</v>
      </c>
      <c r="C19" s="6"/>
      <c r="D19" s="17"/>
      <c r="E19" s="19" t="n">
        <v>0</v>
      </c>
      <c r="F19" s="17"/>
      <c r="G19" s="19" t="n">
        <v>0</v>
      </c>
      <c r="H19" s="17"/>
      <c r="I19" s="19" t="n">
        <v>0</v>
      </c>
      <c r="J19" s="17"/>
      <c r="K19" s="19" t="n">
        <v>0</v>
      </c>
      <c r="L19" s="17"/>
      <c r="M19" s="19" t="n">
        <v>0</v>
      </c>
      <c r="N19" s="17"/>
      <c r="O19" s="19" t="n">
        <v>0</v>
      </c>
      <c r="P19" s="19"/>
      <c r="Q19" s="19" t="n">
        <v>0.7</v>
      </c>
      <c r="R19" s="11"/>
      <c r="S19" s="19" t="n">
        <v>0</v>
      </c>
      <c r="T19" s="6"/>
      <c r="U19" s="19" t="n">
        <v>0</v>
      </c>
      <c r="W19" s="19" t="n">
        <v>0</v>
      </c>
    </row>
    <row r="20" customFormat="false" ht="13.2" hidden="false" customHeight="false" outlineLevel="0" collapsed="false">
      <c r="A20" s="6"/>
      <c r="B20" s="22" t="s">
        <v>75</v>
      </c>
      <c r="C20" s="6"/>
      <c r="D20" s="17"/>
      <c r="E20" s="19" t="n">
        <v>0</v>
      </c>
      <c r="F20" s="17"/>
      <c r="G20" s="19" t="n">
        <v>0</v>
      </c>
      <c r="H20" s="17"/>
      <c r="I20" s="19" t="n">
        <v>0</v>
      </c>
      <c r="J20" s="17"/>
      <c r="K20" s="19" t="n">
        <v>0</v>
      </c>
      <c r="L20" s="17"/>
      <c r="M20" s="19" t="n">
        <v>0</v>
      </c>
      <c r="N20" s="17"/>
      <c r="O20" s="19" t="n">
        <v>2.4</v>
      </c>
      <c r="P20" s="19"/>
      <c r="Q20" s="19" t="n">
        <v>0.1</v>
      </c>
      <c r="R20" s="11"/>
      <c r="S20" s="19" t="n">
        <v>0</v>
      </c>
      <c r="T20" s="6"/>
      <c r="U20" s="19" t="n">
        <v>0</v>
      </c>
      <c r="W20" s="19" t="n">
        <v>0</v>
      </c>
    </row>
    <row r="21" customFormat="false" ht="13.2" hidden="false" customHeight="false" outlineLevel="0" collapsed="false">
      <c r="A21" s="6"/>
      <c r="B21" s="22" t="s">
        <v>76</v>
      </c>
      <c r="C21" s="6"/>
      <c r="D21" s="17"/>
      <c r="E21" s="19" t="n">
        <v>0</v>
      </c>
      <c r="F21" s="17"/>
      <c r="G21" s="19" t="n">
        <v>0</v>
      </c>
      <c r="H21" s="17"/>
      <c r="I21" s="19" t="n">
        <v>0</v>
      </c>
      <c r="J21" s="17"/>
      <c r="K21" s="19" t="n">
        <v>0</v>
      </c>
      <c r="L21" s="17"/>
      <c r="M21" s="19" t="n">
        <v>0</v>
      </c>
      <c r="N21" s="17"/>
      <c r="O21" s="19" t="n">
        <v>2.8</v>
      </c>
      <c r="P21" s="19"/>
      <c r="Q21" s="19" t="n">
        <v>0</v>
      </c>
      <c r="R21" s="11"/>
      <c r="S21" s="19" t="n">
        <v>0</v>
      </c>
      <c r="T21" s="6"/>
      <c r="U21" s="19" t="n">
        <v>0</v>
      </c>
      <c r="W21" s="19" t="n">
        <v>0</v>
      </c>
    </row>
    <row r="22" customFormat="false" ht="13.2" hidden="false" customHeight="false" outlineLevel="0" collapsed="false">
      <c r="A22" s="6"/>
      <c r="B22" s="22" t="s">
        <v>77</v>
      </c>
      <c r="C22" s="6"/>
      <c r="D22" s="17"/>
      <c r="E22" s="19" t="n">
        <v>0</v>
      </c>
      <c r="F22" s="17"/>
      <c r="G22" s="19" t="n">
        <v>0</v>
      </c>
      <c r="H22" s="17"/>
      <c r="I22" s="19" t="n">
        <v>0</v>
      </c>
      <c r="J22" s="17"/>
      <c r="K22" s="19" t="n">
        <v>0</v>
      </c>
      <c r="L22" s="17"/>
      <c r="M22" s="19" t="n">
        <v>0</v>
      </c>
      <c r="N22" s="17"/>
      <c r="O22" s="19" t="n">
        <v>20.5</v>
      </c>
      <c r="P22" s="19"/>
      <c r="Q22" s="19" t="n">
        <v>0</v>
      </c>
      <c r="R22" s="11"/>
      <c r="S22" s="19" t="n">
        <v>0</v>
      </c>
      <c r="T22" s="6"/>
      <c r="U22" s="19" t="n">
        <v>0</v>
      </c>
      <c r="W22" s="19" t="n">
        <v>0</v>
      </c>
    </row>
    <row r="23" customFormat="false" ht="13.2" hidden="false" customHeight="false" outlineLevel="0" collapsed="false">
      <c r="A23" s="6"/>
      <c r="B23" s="22" t="s">
        <v>78</v>
      </c>
      <c r="C23" s="6"/>
      <c r="D23" s="17"/>
      <c r="E23" s="19" t="n">
        <v>0</v>
      </c>
      <c r="F23" s="17"/>
      <c r="G23" s="19" t="n">
        <v>0</v>
      </c>
      <c r="H23" s="17"/>
      <c r="I23" s="19" t="n">
        <v>0</v>
      </c>
      <c r="J23" s="17"/>
      <c r="K23" s="19" t="n">
        <v>0.8</v>
      </c>
      <c r="L23" s="17"/>
      <c r="M23" s="19" t="n">
        <v>0</v>
      </c>
      <c r="N23" s="17"/>
      <c r="O23" s="19" t="n">
        <v>0</v>
      </c>
      <c r="P23" s="19"/>
      <c r="Q23" s="19" t="n">
        <v>0</v>
      </c>
      <c r="R23" s="11"/>
      <c r="S23" s="19" t="n">
        <v>0</v>
      </c>
      <c r="T23" s="6"/>
      <c r="U23" s="19" t="n">
        <v>0</v>
      </c>
      <c r="W23" s="19" t="n">
        <v>0</v>
      </c>
    </row>
    <row r="24" customFormat="false" ht="13.2" hidden="false" customHeight="false" outlineLevel="0" collapsed="false">
      <c r="A24" s="6"/>
      <c r="B24" s="22" t="s">
        <v>79</v>
      </c>
      <c r="C24" s="6"/>
      <c r="D24" s="17"/>
      <c r="E24" s="19" t="n">
        <v>0</v>
      </c>
      <c r="F24" s="17"/>
      <c r="G24" s="19" t="n">
        <v>0</v>
      </c>
      <c r="H24" s="17"/>
      <c r="I24" s="19" t="n">
        <v>0</v>
      </c>
      <c r="J24" s="17"/>
      <c r="K24" s="19" t="n">
        <v>0</v>
      </c>
      <c r="L24" s="17"/>
      <c r="M24" s="19" t="n">
        <v>0</v>
      </c>
      <c r="N24" s="17"/>
      <c r="O24" s="19" t="n">
        <v>0</v>
      </c>
      <c r="P24" s="19"/>
      <c r="Q24" s="19" t="n">
        <v>0</v>
      </c>
      <c r="R24" s="11"/>
      <c r="S24" s="19" t="n">
        <f aca="false">0.5+0.6</f>
        <v>1.1</v>
      </c>
      <c r="T24" s="6"/>
      <c r="U24" s="19" t="n">
        <v>0</v>
      </c>
      <c r="W24" s="19" t="n">
        <v>0</v>
      </c>
    </row>
    <row r="25" customFormat="false" ht="13.2" hidden="false" customHeight="false" outlineLevel="0" collapsed="false">
      <c r="A25" s="6"/>
      <c r="B25" s="22" t="s">
        <v>80</v>
      </c>
      <c r="C25" s="6"/>
      <c r="D25" s="17"/>
      <c r="E25" s="19" t="n">
        <v>0</v>
      </c>
      <c r="F25" s="17"/>
      <c r="G25" s="19" t="n">
        <v>0</v>
      </c>
      <c r="H25" s="17"/>
      <c r="I25" s="19" t="n">
        <v>0</v>
      </c>
      <c r="J25" s="17"/>
      <c r="K25" s="19" t="n">
        <v>0</v>
      </c>
      <c r="L25" s="17"/>
      <c r="M25" s="19" t="n">
        <v>0.6</v>
      </c>
      <c r="N25" s="17"/>
      <c r="O25" s="19" t="n">
        <v>0</v>
      </c>
      <c r="P25" s="19"/>
      <c r="Q25" s="19" t="n">
        <v>0</v>
      </c>
      <c r="R25" s="11"/>
      <c r="S25" s="19" t="n">
        <v>0</v>
      </c>
      <c r="T25" s="6"/>
      <c r="U25" s="19" t="n">
        <v>0</v>
      </c>
      <c r="W25" s="19" t="n">
        <v>0</v>
      </c>
    </row>
    <row r="26" customFormat="false" ht="13.2" hidden="false" customHeight="false" outlineLevel="0" collapsed="false">
      <c r="A26" s="6"/>
      <c r="B26" s="22" t="s">
        <v>81</v>
      </c>
      <c r="C26" s="6"/>
      <c r="D26" s="17"/>
      <c r="E26" s="19" t="n">
        <v>0</v>
      </c>
      <c r="F26" s="17"/>
      <c r="G26" s="19" t="n">
        <v>0</v>
      </c>
      <c r="H26" s="17"/>
      <c r="I26" s="19" t="n">
        <v>2.3</v>
      </c>
      <c r="J26" s="17"/>
      <c r="K26" s="19" t="n">
        <v>0</v>
      </c>
      <c r="L26" s="17"/>
      <c r="M26" s="19" t="n">
        <v>0</v>
      </c>
      <c r="N26" s="17"/>
      <c r="O26" s="19" t="n">
        <v>0</v>
      </c>
      <c r="P26" s="19"/>
      <c r="Q26" s="19" t="n">
        <v>0</v>
      </c>
      <c r="R26" s="11"/>
      <c r="S26" s="19" t="n">
        <v>0</v>
      </c>
      <c r="T26" s="6"/>
      <c r="U26" s="19" t="n">
        <v>0</v>
      </c>
      <c r="W26" s="19" t="n">
        <v>0</v>
      </c>
    </row>
    <row r="27" customFormat="false" ht="13.2" hidden="false" customHeight="false" outlineLevel="0" collapsed="false">
      <c r="A27" s="6"/>
      <c r="B27" s="22" t="s">
        <v>82</v>
      </c>
      <c r="C27" s="6"/>
      <c r="D27" s="17"/>
      <c r="E27" s="19" t="n">
        <v>0</v>
      </c>
      <c r="F27" s="17"/>
      <c r="G27" s="19" t="n">
        <v>0</v>
      </c>
      <c r="H27" s="17"/>
      <c r="I27" s="19" t="n">
        <v>4.1</v>
      </c>
      <c r="J27" s="17"/>
      <c r="K27" s="19" t="n">
        <v>0</v>
      </c>
      <c r="L27" s="17"/>
      <c r="M27" s="19" t="n">
        <v>0</v>
      </c>
      <c r="N27" s="17"/>
      <c r="O27" s="19" t="n">
        <v>0</v>
      </c>
      <c r="P27" s="19"/>
      <c r="Q27" s="19" t="n">
        <v>0</v>
      </c>
      <c r="R27" s="11"/>
      <c r="S27" s="19" t="n">
        <v>0</v>
      </c>
      <c r="T27" s="6"/>
      <c r="U27" s="19" t="n">
        <v>0</v>
      </c>
      <c r="W27" s="19" t="n">
        <v>0</v>
      </c>
    </row>
    <row r="28" customFormat="false" ht="13.2" hidden="false" customHeight="false" outlineLevel="0" collapsed="false">
      <c r="A28" s="6"/>
      <c r="B28" s="22" t="s">
        <v>83</v>
      </c>
      <c r="C28" s="6"/>
      <c r="D28" s="17"/>
      <c r="E28" s="19" t="n">
        <v>0</v>
      </c>
      <c r="F28" s="17"/>
      <c r="G28" s="19" t="n">
        <v>0</v>
      </c>
      <c r="H28" s="17"/>
      <c r="I28" s="19" t="n">
        <v>0.4</v>
      </c>
      <c r="J28" s="17"/>
      <c r="K28" s="19" t="n">
        <v>0</v>
      </c>
      <c r="L28" s="17"/>
      <c r="M28" s="19" t="n">
        <v>0</v>
      </c>
      <c r="N28" s="17"/>
      <c r="O28" s="19" t="n">
        <v>0</v>
      </c>
      <c r="P28" s="19"/>
      <c r="Q28" s="19" t="n">
        <v>0</v>
      </c>
      <c r="R28" s="11"/>
      <c r="S28" s="19" t="n">
        <v>0</v>
      </c>
      <c r="T28" s="6"/>
      <c r="U28" s="19" t="n">
        <v>0</v>
      </c>
      <c r="W28" s="19" t="n">
        <v>0</v>
      </c>
    </row>
    <row r="29" customFormat="false" ht="13.2" hidden="false" customHeight="false" outlineLevel="0" collapsed="false">
      <c r="A29" s="6"/>
      <c r="B29" s="22" t="s">
        <v>84</v>
      </c>
      <c r="C29" s="6"/>
      <c r="D29" s="17"/>
      <c r="E29" s="19" t="n">
        <v>0</v>
      </c>
      <c r="F29" s="17"/>
      <c r="G29" s="19" t="n">
        <v>0</v>
      </c>
      <c r="H29" s="17"/>
      <c r="I29" s="19" t="n">
        <v>0</v>
      </c>
      <c r="J29" s="17"/>
      <c r="K29" s="19" t="n">
        <v>0</v>
      </c>
      <c r="L29" s="17"/>
      <c r="M29" s="19" t="n">
        <v>0</v>
      </c>
      <c r="N29" s="17"/>
      <c r="O29" s="19" t="n">
        <v>0</v>
      </c>
      <c r="P29" s="19"/>
      <c r="Q29" s="19" t="n">
        <v>0</v>
      </c>
      <c r="R29" s="11"/>
      <c r="S29" s="19" t="n">
        <v>0.1</v>
      </c>
      <c r="T29" s="6"/>
      <c r="U29" s="19" t="n">
        <v>0</v>
      </c>
      <c r="W29" s="19" t="n">
        <v>0</v>
      </c>
    </row>
    <row r="30" customFormat="false" ht="13.2" hidden="false" customHeight="false" outlineLevel="0" collapsed="false">
      <c r="A30" s="6"/>
      <c r="B30" s="22" t="s">
        <v>85</v>
      </c>
      <c r="C30" s="6"/>
      <c r="D30" s="17"/>
      <c r="E30" s="19" t="n">
        <v>0</v>
      </c>
      <c r="F30" s="17"/>
      <c r="G30" s="19" t="n">
        <v>0</v>
      </c>
      <c r="H30" s="17"/>
      <c r="I30" s="19" t="n">
        <v>0</v>
      </c>
      <c r="J30" s="17"/>
      <c r="K30" s="19" t="n">
        <v>0</v>
      </c>
      <c r="L30" s="17"/>
      <c r="M30" s="19" t="n">
        <v>0</v>
      </c>
      <c r="N30" s="17"/>
      <c r="O30" s="19" t="n">
        <v>0</v>
      </c>
      <c r="P30" s="19"/>
      <c r="Q30" s="19" t="n">
        <v>0</v>
      </c>
      <c r="R30" s="11"/>
      <c r="S30" s="19" t="n">
        <f aca="false">5+1.8+3</f>
        <v>9.8</v>
      </c>
      <c r="T30" s="6"/>
      <c r="U30" s="19" t="n">
        <v>0</v>
      </c>
      <c r="W30" s="19" t="n">
        <v>0</v>
      </c>
    </row>
    <row r="31" customFormat="false" ht="13.2" hidden="false" customHeight="false" outlineLevel="0" collapsed="false">
      <c r="A31" s="6"/>
      <c r="B31" s="22" t="s">
        <v>86</v>
      </c>
      <c r="C31" s="6"/>
      <c r="D31" s="17"/>
      <c r="E31" s="19" t="n">
        <v>0</v>
      </c>
      <c r="F31" s="17"/>
      <c r="G31" s="19" t="n">
        <v>0</v>
      </c>
      <c r="H31" s="17"/>
      <c r="I31" s="19" t="n">
        <v>0</v>
      </c>
      <c r="J31" s="17"/>
      <c r="K31" s="19" t="n">
        <v>0</v>
      </c>
      <c r="L31" s="17"/>
      <c r="M31" s="19" t="n">
        <v>0</v>
      </c>
      <c r="N31" s="17"/>
      <c r="O31" s="19" t="n">
        <v>0</v>
      </c>
      <c r="P31" s="19"/>
      <c r="Q31" s="19" t="n">
        <v>0</v>
      </c>
      <c r="R31" s="11"/>
      <c r="S31" s="19" t="n">
        <v>0.6</v>
      </c>
      <c r="T31" s="6"/>
      <c r="U31" s="19" t="n">
        <v>0</v>
      </c>
      <c r="W31" s="19" t="n">
        <v>0</v>
      </c>
    </row>
    <row r="32" customFormat="false" ht="13.2" hidden="false" customHeight="false" outlineLevel="0" collapsed="false">
      <c r="A32" s="6"/>
      <c r="B32" s="22" t="s">
        <v>87</v>
      </c>
      <c r="C32" s="6"/>
      <c r="D32" s="17"/>
      <c r="E32" s="19" t="n">
        <v>0</v>
      </c>
      <c r="F32" s="17"/>
      <c r="G32" s="19" t="n">
        <v>0</v>
      </c>
      <c r="H32" s="17"/>
      <c r="I32" s="19" t="n">
        <v>0</v>
      </c>
      <c r="J32" s="17"/>
      <c r="K32" s="19" t="n">
        <v>0</v>
      </c>
      <c r="L32" s="17"/>
      <c r="M32" s="19" t="n">
        <v>0</v>
      </c>
      <c r="N32" s="17"/>
      <c r="O32" s="19" t="n">
        <v>0</v>
      </c>
      <c r="P32" s="19"/>
      <c r="Q32" s="19" t="n">
        <v>0</v>
      </c>
      <c r="R32" s="35"/>
      <c r="S32" s="19" t="n">
        <v>3</v>
      </c>
      <c r="T32" s="49"/>
      <c r="U32" s="19" t="n">
        <v>0</v>
      </c>
      <c r="V32" s="50"/>
      <c r="W32" s="19" t="n">
        <v>0</v>
      </c>
    </row>
    <row r="33" customFormat="false" ht="13.2" hidden="false" customHeight="false" outlineLevel="0" collapsed="false">
      <c r="A33" s="6"/>
      <c r="B33" s="22" t="s">
        <v>88</v>
      </c>
      <c r="C33" s="6"/>
      <c r="D33" s="17"/>
      <c r="E33" s="26" t="n">
        <v>0</v>
      </c>
      <c r="F33" s="17"/>
      <c r="G33" s="26" t="n">
        <v>0</v>
      </c>
      <c r="H33" s="17"/>
      <c r="I33" s="26" t="n">
        <v>0</v>
      </c>
      <c r="J33" s="17"/>
      <c r="K33" s="26" t="n">
        <v>0</v>
      </c>
      <c r="L33" s="17"/>
      <c r="M33" s="26" t="n">
        <v>0</v>
      </c>
      <c r="N33" s="17"/>
      <c r="O33" s="26" t="n">
        <v>0</v>
      </c>
      <c r="P33" s="19"/>
      <c r="Q33" s="26" t="n">
        <v>0</v>
      </c>
      <c r="R33" s="11"/>
      <c r="S33" s="26" t="n">
        <v>0</v>
      </c>
      <c r="T33" s="6"/>
      <c r="U33" s="26" t="n">
        <f aca="false">15+12.2-10+7</f>
        <v>24.2</v>
      </c>
      <c r="W33" s="26" t="n">
        <f aca="false">15+13.2-17+8</f>
        <v>19.2</v>
      </c>
    </row>
    <row r="34" customFormat="false" ht="3.9" hidden="false" customHeight="true" outlineLevel="0" collapsed="false">
      <c r="A34" s="6"/>
      <c r="B34" s="6"/>
      <c r="C34" s="6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6"/>
      <c r="S34" s="17"/>
      <c r="T34" s="6"/>
      <c r="U34" s="17"/>
      <c r="W34" s="17"/>
    </row>
    <row r="35" customFormat="false" ht="13.8" hidden="false" customHeight="false" outlineLevel="0" collapsed="false">
      <c r="A35" s="6"/>
      <c r="B35" s="6"/>
      <c r="C35" s="16" t="s">
        <v>89</v>
      </c>
      <c r="D35" s="29"/>
      <c r="E35" s="38" t="n">
        <f aca="false">SUM(E18:E34)</f>
        <v>0</v>
      </c>
      <c r="F35" s="29"/>
      <c r="G35" s="38" t="n">
        <f aca="false">SUM(G18:G34)</f>
        <v>0</v>
      </c>
      <c r="H35" s="29"/>
      <c r="I35" s="38" t="n">
        <f aca="false">SUM(I18:I34)</f>
        <v>6.8</v>
      </c>
      <c r="J35" s="29"/>
      <c r="K35" s="38" t="n">
        <f aca="false">SUM(K18:K34)</f>
        <v>0.8</v>
      </c>
      <c r="L35" s="29"/>
      <c r="M35" s="38" t="n">
        <f aca="false">SUM(M18:M34)</f>
        <v>0.6</v>
      </c>
      <c r="N35" s="29"/>
      <c r="O35" s="38" t="n">
        <f aca="false">SUM(O18:O34)</f>
        <v>25.7</v>
      </c>
      <c r="P35" s="29"/>
      <c r="Q35" s="38" t="n">
        <f aca="false">SUM(Q18:Q34)</f>
        <v>23.4</v>
      </c>
      <c r="R35" s="6"/>
      <c r="S35" s="38" t="n">
        <f aca="false">SUM(S18:S34)</f>
        <v>24.6</v>
      </c>
      <c r="T35" s="28"/>
      <c r="U35" s="38" t="n">
        <f aca="false">SUM(U18:U34)</f>
        <v>24.2</v>
      </c>
      <c r="W35" s="38" t="n">
        <f aca="false">SUM(W18:W34)</f>
        <v>19.2</v>
      </c>
    </row>
    <row r="36" customFormat="false" ht="13.8" hidden="false" customHeight="false" outlineLevel="0" collapsed="false">
      <c r="A36" s="6"/>
      <c r="B36" s="6"/>
      <c r="C36" s="6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6"/>
      <c r="S36" s="17"/>
      <c r="T36" s="6"/>
    </row>
    <row r="37" customFormat="false" ht="12.75" hidden="false" customHeight="true" outlineLevel="0" collapsed="false">
      <c r="A37" s="33" t="s">
        <v>90</v>
      </c>
      <c r="B37" s="6"/>
      <c r="C37" s="6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6"/>
      <c r="S37" s="17"/>
      <c r="T37" s="6"/>
    </row>
    <row r="38" customFormat="false" ht="12.75" hidden="false" customHeight="true" outlineLevel="0" collapsed="false">
      <c r="A38" s="6"/>
      <c r="B38" s="22" t="s">
        <v>91</v>
      </c>
      <c r="C38" s="6"/>
      <c r="D38" s="17"/>
      <c r="E38" s="19" t="n">
        <v>0</v>
      </c>
      <c r="F38" s="17"/>
      <c r="G38" s="19" t="n">
        <v>0</v>
      </c>
      <c r="H38" s="17"/>
      <c r="I38" s="19" t="n">
        <v>-21</v>
      </c>
      <c r="J38" s="17"/>
      <c r="K38" s="19" t="n">
        <v>18</v>
      </c>
      <c r="L38" s="17"/>
      <c r="M38" s="19" t="n">
        <v>3</v>
      </c>
      <c r="N38" s="17"/>
      <c r="O38" s="19" t="n">
        <v>-10</v>
      </c>
      <c r="P38" s="19"/>
      <c r="Q38" s="19" t="n">
        <v>9</v>
      </c>
      <c r="R38" s="11"/>
      <c r="S38" s="19" t="n">
        <v>0</v>
      </c>
      <c r="T38" s="6"/>
      <c r="U38" s="19" t="n">
        <v>0</v>
      </c>
      <c r="W38" s="19" t="n">
        <v>0</v>
      </c>
    </row>
    <row r="39" customFormat="false" ht="12.75" hidden="false" customHeight="true" outlineLevel="0" collapsed="false">
      <c r="A39" s="6"/>
      <c r="B39" s="22" t="s">
        <v>92</v>
      </c>
      <c r="C39" s="6"/>
      <c r="D39" s="17"/>
      <c r="E39" s="19" t="n">
        <v>0</v>
      </c>
      <c r="F39" s="17"/>
      <c r="G39" s="19" t="n">
        <v>0</v>
      </c>
      <c r="H39" s="17"/>
      <c r="I39" s="19" t="n">
        <v>0</v>
      </c>
      <c r="J39" s="17"/>
      <c r="K39" s="19" t="n">
        <v>0</v>
      </c>
      <c r="L39" s="17"/>
      <c r="M39" s="19" t="n">
        <v>2.5</v>
      </c>
      <c r="N39" s="17"/>
      <c r="O39" s="19" t="n">
        <v>0</v>
      </c>
      <c r="P39" s="19"/>
      <c r="Q39" s="19" t="n">
        <v>0</v>
      </c>
      <c r="R39" s="11"/>
      <c r="S39" s="19" t="n">
        <v>0</v>
      </c>
      <c r="T39" s="6"/>
      <c r="U39" s="19" t="n">
        <v>0</v>
      </c>
      <c r="V39" s="11"/>
      <c r="W39" s="19" t="n">
        <v>0</v>
      </c>
    </row>
    <row r="40" customFormat="false" ht="12.75" hidden="false" customHeight="true" outlineLevel="0" collapsed="false">
      <c r="A40" s="6"/>
      <c r="B40" s="22" t="s">
        <v>93</v>
      </c>
      <c r="C40" s="6"/>
      <c r="D40" s="17"/>
      <c r="E40" s="19" t="n">
        <v>0</v>
      </c>
      <c r="F40" s="17"/>
      <c r="G40" s="19" t="n">
        <v>0</v>
      </c>
      <c r="H40" s="17"/>
      <c r="I40" s="19" t="n">
        <v>0</v>
      </c>
      <c r="J40" s="17"/>
      <c r="K40" s="19" t="n">
        <v>0</v>
      </c>
      <c r="L40" s="17"/>
      <c r="M40" s="19" t="n">
        <v>1.1</v>
      </c>
      <c r="N40" s="17"/>
      <c r="O40" s="19" t="n">
        <v>0</v>
      </c>
      <c r="P40" s="19"/>
      <c r="Q40" s="19" t="n">
        <v>0</v>
      </c>
      <c r="R40" s="11"/>
      <c r="S40" s="19" t="n">
        <v>0</v>
      </c>
      <c r="T40" s="6"/>
      <c r="U40" s="19" t="n">
        <v>0</v>
      </c>
      <c r="V40" s="11"/>
      <c r="W40" s="19" t="n">
        <v>0</v>
      </c>
    </row>
    <row r="41" customFormat="false" ht="12.75" hidden="false" customHeight="true" outlineLevel="0" collapsed="false">
      <c r="A41" s="6"/>
      <c r="B41" s="22" t="s">
        <v>94</v>
      </c>
      <c r="C41" s="6"/>
      <c r="D41" s="17"/>
      <c r="E41" s="19" t="n">
        <v>-13.5</v>
      </c>
      <c r="F41" s="17"/>
      <c r="G41" s="19" t="n">
        <v>11.9</v>
      </c>
      <c r="H41" s="17"/>
      <c r="I41" s="19" t="n">
        <v>-8.4</v>
      </c>
      <c r="J41" s="17"/>
      <c r="K41" s="19" t="n">
        <v>10</v>
      </c>
      <c r="L41" s="17"/>
      <c r="M41" s="19" t="n">
        <v>0</v>
      </c>
      <c r="N41" s="17"/>
      <c r="O41" s="19" t="n">
        <v>0</v>
      </c>
      <c r="P41" s="19"/>
      <c r="Q41" s="19" t="n">
        <v>0</v>
      </c>
      <c r="R41" s="11"/>
      <c r="S41" s="19" t="n">
        <v>0</v>
      </c>
      <c r="T41" s="6"/>
      <c r="U41" s="19" t="n">
        <v>0</v>
      </c>
      <c r="V41" s="11"/>
      <c r="W41" s="19" t="n">
        <v>0</v>
      </c>
    </row>
    <row r="42" customFormat="false" ht="12.75" hidden="false" customHeight="true" outlineLevel="0" collapsed="false">
      <c r="A42" s="6"/>
      <c r="B42" s="22" t="s">
        <v>95</v>
      </c>
      <c r="C42" s="6"/>
      <c r="D42" s="17"/>
      <c r="E42" s="19" t="n">
        <v>0</v>
      </c>
      <c r="F42" s="17"/>
      <c r="G42" s="19" t="n">
        <v>0</v>
      </c>
      <c r="H42" s="17"/>
      <c r="I42" s="19" t="n">
        <v>-5</v>
      </c>
      <c r="J42" s="17"/>
      <c r="K42" s="19" t="n">
        <v>2.5</v>
      </c>
      <c r="L42" s="17"/>
      <c r="M42" s="19" t="n">
        <v>0</v>
      </c>
      <c r="N42" s="17"/>
      <c r="O42" s="19" t="n">
        <v>2.5</v>
      </c>
      <c r="P42" s="19"/>
      <c r="Q42" s="19" t="n">
        <v>0</v>
      </c>
      <c r="R42" s="11"/>
      <c r="S42" s="19" t="n">
        <v>0</v>
      </c>
      <c r="T42" s="6"/>
      <c r="U42" s="19" t="n">
        <v>0</v>
      </c>
      <c r="W42" s="19" t="n">
        <v>0</v>
      </c>
    </row>
    <row r="43" customFormat="false" ht="12.75" hidden="false" customHeight="true" outlineLevel="0" collapsed="false">
      <c r="A43" s="6"/>
      <c r="B43" s="22" t="s">
        <v>96</v>
      </c>
      <c r="C43" s="6"/>
      <c r="D43" s="17"/>
      <c r="E43" s="19" t="n">
        <v>0</v>
      </c>
      <c r="F43" s="17"/>
      <c r="G43" s="19" t="n">
        <v>0</v>
      </c>
      <c r="H43" s="17"/>
      <c r="I43" s="19" t="n">
        <v>0</v>
      </c>
      <c r="J43" s="17"/>
      <c r="K43" s="19" t="n">
        <v>0</v>
      </c>
      <c r="L43" s="17"/>
      <c r="M43" s="19" t="n">
        <v>0</v>
      </c>
      <c r="N43" s="17"/>
      <c r="O43" s="19" t="n">
        <v>1.7</v>
      </c>
      <c r="P43" s="19"/>
      <c r="Q43" s="19" t="n">
        <v>0</v>
      </c>
      <c r="R43" s="11"/>
      <c r="S43" s="19" t="n">
        <v>0</v>
      </c>
      <c r="T43" s="6"/>
      <c r="U43" s="19" t="n">
        <v>0</v>
      </c>
      <c r="W43" s="19" t="n">
        <v>0</v>
      </c>
    </row>
    <row r="44" customFormat="false" ht="12.75" hidden="false" customHeight="true" outlineLevel="0" collapsed="false">
      <c r="A44" s="6"/>
      <c r="B44" s="22" t="s">
        <v>97</v>
      </c>
      <c r="C44" s="6"/>
      <c r="D44" s="17"/>
      <c r="E44" s="19" t="n">
        <v>0</v>
      </c>
      <c r="F44" s="17"/>
      <c r="G44" s="19" t="n">
        <v>0</v>
      </c>
      <c r="H44" s="17"/>
      <c r="I44" s="19" t="n">
        <v>0</v>
      </c>
      <c r="J44" s="17"/>
      <c r="K44" s="19" t="n">
        <v>0</v>
      </c>
      <c r="L44" s="17"/>
      <c r="M44" s="19" t="n">
        <v>0</v>
      </c>
      <c r="N44" s="17"/>
      <c r="O44" s="19" t="n">
        <v>1.1</v>
      </c>
      <c r="P44" s="19"/>
      <c r="Q44" s="19" t="n">
        <v>0</v>
      </c>
      <c r="R44" s="11"/>
      <c r="S44" s="19" t="n">
        <v>0</v>
      </c>
      <c r="T44" s="6"/>
      <c r="U44" s="19" t="n">
        <v>0</v>
      </c>
      <c r="W44" s="19" t="n">
        <v>0</v>
      </c>
    </row>
    <row r="45" customFormat="false" ht="12.75" hidden="false" customHeight="true" outlineLevel="0" collapsed="false">
      <c r="A45" s="6"/>
      <c r="B45" s="22" t="s">
        <v>98</v>
      </c>
      <c r="C45" s="6"/>
      <c r="D45" s="17"/>
      <c r="E45" s="19" t="n">
        <v>0</v>
      </c>
      <c r="F45" s="17"/>
      <c r="G45" s="19" t="n">
        <v>-2.6</v>
      </c>
      <c r="H45" s="17"/>
      <c r="I45" s="19" t="n">
        <v>2.6</v>
      </c>
      <c r="J45" s="17"/>
      <c r="K45" s="19" t="n">
        <v>-2.6</v>
      </c>
      <c r="L45" s="17"/>
      <c r="M45" s="19" t="n">
        <v>0</v>
      </c>
      <c r="N45" s="17"/>
      <c r="O45" s="19" t="n">
        <v>0</v>
      </c>
      <c r="P45" s="19"/>
      <c r="Q45" s="19" t="n">
        <v>0</v>
      </c>
      <c r="R45" s="11"/>
      <c r="S45" s="19" t="n">
        <v>0</v>
      </c>
      <c r="T45" s="6"/>
      <c r="U45" s="19" t="n">
        <v>0</v>
      </c>
      <c r="W45" s="19" t="n">
        <v>0</v>
      </c>
    </row>
    <row r="46" customFormat="false" ht="12.75" hidden="false" customHeight="true" outlineLevel="0" collapsed="false">
      <c r="A46" s="6"/>
      <c r="B46" s="22" t="s">
        <v>99</v>
      </c>
      <c r="C46" s="6"/>
      <c r="D46" s="17"/>
      <c r="E46" s="19" t="n">
        <v>0</v>
      </c>
      <c r="F46" s="17"/>
      <c r="G46" s="19" t="n">
        <v>0</v>
      </c>
      <c r="H46" s="17"/>
      <c r="I46" s="19" t="n">
        <v>-2</v>
      </c>
      <c r="J46" s="17"/>
      <c r="K46" s="19" t="n">
        <v>0</v>
      </c>
      <c r="L46" s="17"/>
      <c r="M46" s="19" t="n">
        <v>0</v>
      </c>
      <c r="N46" s="17"/>
      <c r="O46" s="19" t="n">
        <v>2</v>
      </c>
      <c r="P46" s="19"/>
      <c r="Q46" s="19" t="n">
        <v>0</v>
      </c>
      <c r="R46" s="11"/>
      <c r="S46" s="19" t="n">
        <v>0</v>
      </c>
      <c r="T46" s="6"/>
      <c r="U46" s="19" t="n">
        <v>0</v>
      </c>
      <c r="W46" s="19" t="n">
        <v>0</v>
      </c>
    </row>
    <row r="47" customFormat="false" ht="12.75" hidden="false" customHeight="true" outlineLevel="0" collapsed="false">
      <c r="A47" s="6"/>
      <c r="B47" s="22" t="s">
        <v>100</v>
      </c>
      <c r="C47" s="6"/>
      <c r="D47" s="17"/>
      <c r="E47" s="19" t="n">
        <v>0</v>
      </c>
      <c r="F47" s="17"/>
      <c r="G47" s="19" t="n">
        <v>0.6</v>
      </c>
      <c r="H47" s="17"/>
      <c r="I47" s="19" t="n">
        <v>0</v>
      </c>
      <c r="J47" s="17"/>
      <c r="K47" s="19" t="n">
        <v>0</v>
      </c>
      <c r="L47" s="17"/>
      <c r="M47" s="19" t="n">
        <v>0</v>
      </c>
      <c r="N47" s="17"/>
      <c r="O47" s="19" t="n">
        <v>0</v>
      </c>
      <c r="P47" s="19"/>
      <c r="Q47" s="19" t="n">
        <v>0</v>
      </c>
      <c r="R47" s="11"/>
      <c r="S47" s="19" t="n">
        <v>0</v>
      </c>
      <c r="T47" s="6"/>
      <c r="U47" s="19" t="n">
        <v>0</v>
      </c>
      <c r="W47" s="19" t="n">
        <v>0</v>
      </c>
    </row>
    <row r="48" customFormat="false" ht="12.75" hidden="false" customHeight="true" outlineLevel="0" collapsed="false">
      <c r="A48" s="6"/>
      <c r="B48" s="22" t="s">
        <v>101</v>
      </c>
      <c r="C48" s="6"/>
      <c r="D48" s="17"/>
      <c r="E48" s="19" t="n">
        <v>0</v>
      </c>
      <c r="F48" s="17"/>
      <c r="G48" s="19" t="n">
        <v>0</v>
      </c>
      <c r="H48" s="17"/>
      <c r="I48" s="19" t="n">
        <v>0</v>
      </c>
      <c r="J48" s="17"/>
      <c r="K48" s="19" t="n">
        <v>0</v>
      </c>
      <c r="L48" s="17"/>
      <c r="M48" s="19" t="n">
        <v>0</v>
      </c>
      <c r="N48" s="17"/>
      <c r="O48" s="19" t="n">
        <v>-0.2</v>
      </c>
      <c r="P48" s="19"/>
      <c r="Q48" s="19" t="n">
        <v>0</v>
      </c>
      <c r="R48" s="11"/>
      <c r="S48" s="19" t="n">
        <v>0</v>
      </c>
      <c r="T48" s="6"/>
      <c r="U48" s="19" t="n">
        <v>0</v>
      </c>
      <c r="W48" s="19" t="n">
        <v>0</v>
      </c>
    </row>
    <row r="49" customFormat="false" ht="12.75" hidden="false" customHeight="true" outlineLevel="0" collapsed="false">
      <c r="A49" s="6"/>
      <c r="B49" s="22" t="s">
        <v>102</v>
      </c>
      <c r="D49" s="17"/>
      <c r="E49" s="19" t="n">
        <v>0</v>
      </c>
      <c r="F49" s="17"/>
      <c r="G49" s="19" t="n">
        <v>0</v>
      </c>
      <c r="H49" s="17"/>
      <c r="I49" s="19" t="n">
        <v>0</v>
      </c>
      <c r="J49" s="17"/>
      <c r="K49" s="19" t="n">
        <v>0</v>
      </c>
      <c r="L49" s="17"/>
      <c r="M49" s="19" t="n">
        <v>0</v>
      </c>
      <c r="N49" s="17"/>
      <c r="O49" s="19" t="n">
        <v>0</v>
      </c>
      <c r="P49" s="19"/>
      <c r="Q49" s="18" t="n">
        <f aca="false">-3.1+3.1</f>
        <v>0</v>
      </c>
      <c r="R49" s="11"/>
      <c r="S49" s="19" t="n">
        <v>3.1</v>
      </c>
      <c r="T49" s="6"/>
      <c r="U49" s="19" t="n">
        <v>0</v>
      </c>
      <c r="V49" s="11"/>
      <c r="W49" s="19" t="n">
        <v>0</v>
      </c>
    </row>
    <row r="50" customFormat="false" ht="12.75" hidden="false" customHeight="true" outlineLevel="0" collapsed="false">
      <c r="A50" s="6"/>
      <c r="B50" s="22" t="s">
        <v>103</v>
      </c>
      <c r="D50" s="17"/>
      <c r="E50" s="19" t="n">
        <v>0</v>
      </c>
      <c r="F50" s="17"/>
      <c r="G50" s="19" t="n">
        <v>0</v>
      </c>
      <c r="H50" s="17"/>
      <c r="I50" s="19" t="n">
        <v>0</v>
      </c>
      <c r="J50" s="17"/>
      <c r="K50" s="18" t="n">
        <f aca="false">0.7-1.9</f>
        <v>-1.2</v>
      </c>
      <c r="L50" s="17"/>
      <c r="M50" s="19" t="n">
        <v>1.9</v>
      </c>
      <c r="N50" s="17"/>
      <c r="O50" s="19" t="n">
        <v>-9.5</v>
      </c>
      <c r="P50" s="19"/>
      <c r="Q50" s="19" t="n">
        <v>9.5</v>
      </c>
      <c r="R50" s="11"/>
      <c r="S50" s="19" t="n">
        <v>0</v>
      </c>
      <c r="T50" s="6"/>
      <c r="U50" s="19" t="n">
        <v>0</v>
      </c>
      <c r="V50" s="11"/>
      <c r="W50" s="19" t="n">
        <v>0</v>
      </c>
    </row>
    <row r="51" customFormat="false" ht="12.75" hidden="false" customHeight="true" outlineLevel="0" collapsed="false">
      <c r="A51" s="6"/>
      <c r="B51" s="22" t="s">
        <v>104</v>
      </c>
      <c r="C51" s="6"/>
      <c r="D51" s="17"/>
      <c r="E51" s="26" t="n">
        <v>0</v>
      </c>
      <c r="F51" s="17"/>
      <c r="G51" s="26" t="n">
        <v>0</v>
      </c>
      <c r="H51" s="17"/>
      <c r="I51" s="26" t="n">
        <v>0</v>
      </c>
      <c r="J51" s="17"/>
      <c r="K51" s="26" t="n">
        <v>0</v>
      </c>
      <c r="L51" s="17"/>
      <c r="M51" s="26" t="n">
        <v>0</v>
      </c>
      <c r="N51" s="17"/>
      <c r="O51" s="26" t="n">
        <v>0</v>
      </c>
      <c r="P51" s="19"/>
      <c r="Q51" s="26" t="n">
        <v>-4.2</v>
      </c>
      <c r="R51" s="11"/>
      <c r="S51" s="37" t="n">
        <f aca="false">-Q51</f>
        <v>4.2</v>
      </c>
      <c r="T51" s="6"/>
      <c r="U51" s="26" t="n">
        <v>0</v>
      </c>
      <c r="V51" s="11"/>
      <c r="W51" s="26" t="n">
        <v>0</v>
      </c>
    </row>
    <row r="52" customFormat="false" ht="3.9" hidden="false" customHeight="true" outlineLevel="0" collapsed="false">
      <c r="A52" s="6"/>
      <c r="B52" s="6"/>
      <c r="C52" s="6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6"/>
      <c r="S52" s="17"/>
      <c r="T52" s="6"/>
      <c r="U52" s="17"/>
      <c r="W52" s="17"/>
    </row>
    <row r="53" customFormat="false" ht="13.8" hidden="false" customHeight="false" outlineLevel="0" collapsed="false">
      <c r="A53" s="6"/>
      <c r="B53" s="6"/>
      <c r="C53" s="33" t="s">
        <v>105</v>
      </c>
      <c r="D53" s="29"/>
      <c r="E53" s="38" t="n">
        <f aca="false">SUM(E38:E51)</f>
        <v>-13.5</v>
      </c>
      <c r="F53" s="29"/>
      <c r="G53" s="38" t="n">
        <f aca="false">SUM(G38:G51)</f>
        <v>9.9</v>
      </c>
      <c r="H53" s="29"/>
      <c r="I53" s="38" t="n">
        <f aca="false">SUM(I38:I51)</f>
        <v>-33.8</v>
      </c>
      <c r="J53" s="29"/>
      <c r="K53" s="38" t="n">
        <f aca="false">SUM(K38:K51)</f>
        <v>26.7</v>
      </c>
      <c r="L53" s="29"/>
      <c r="M53" s="38" t="n">
        <f aca="false">SUM(M38:M51)</f>
        <v>8.5</v>
      </c>
      <c r="N53" s="29"/>
      <c r="O53" s="38" t="n">
        <f aca="false">SUM(O38:O51)</f>
        <v>-12.4</v>
      </c>
      <c r="P53" s="29"/>
      <c r="Q53" s="38" t="n">
        <f aca="false">SUM(Q38:Q51)</f>
        <v>14.3</v>
      </c>
      <c r="R53" s="6"/>
      <c r="S53" s="38" t="n">
        <f aca="false">SUM(S38:S51)</f>
        <v>7.3</v>
      </c>
      <c r="T53" s="28"/>
      <c r="U53" s="38" t="n">
        <f aca="false">SUM(U38:U51)</f>
        <v>0</v>
      </c>
      <c r="W53" s="38" t="n">
        <f aca="false">SUM(W38:W51)</f>
        <v>0</v>
      </c>
    </row>
    <row r="54" customFormat="false" ht="13.8" hidden="false" customHeight="false" outlineLevel="0" collapsed="false">
      <c r="A54" s="6"/>
      <c r="B54" s="6"/>
      <c r="C54" s="6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6"/>
      <c r="S54" s="17"/>
      <c r="T54" s="6"/>
      <c r="U54" s="17"/>
      <c r="W54" s="17"/>
    </row>
    <row r="55" customFormat="false" ht="13.2" hidden="false" customHeight="false" outlineLevel="0" collapsed="false">
      <c r="A55" s="6"/>
      <c r="B55" s="6"/>
      <c r="C55" s="6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6"/>
      <c r="S55" s="29"/>
      <c r="T55" s="6"/>
    </row>
    <row r="56" customFormat="false" ht="13.2" hidden="false" customHeight="false" outlineLevel="0" collapsed="false">
      <c r="A56" s="40" t="str">
        <f aca="true">CELL("Filename")</f>
        <v>'file:///mnt/12tb/@roms/datasets/enron/EDRM Enron Email Data Set v2 XML/filtered-attachments/xls/DetailInc.xls'#$NNG-Disc.,Assets,Reserves</v>
      </c>
      <c r="B56" s="6"/>
      <c r="C56" s="6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6"/>
      <c r="W56" s="41" t="n">
        <f aca="true">NOW()</f>
        <v>45926.9500905055</v>
      </c>
    </row>
  </sheetData>
  <mergeCells count="3">
    <mergeCell ref="A1:W1"/>
    <mergeCell ref="A2:W2"/>
    <mergeCell ref="A3:W3"/>
  </mergeCells>
  <printOptions headings="false" gridLines="false" gridLinesSet="true" horizontalCentered="true" verticalCentered="false"/>
  <pageMargins left="0.5" right="0.5" top="0.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2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pane xSplit="4" ySplit="2" topLeftCell="H8" activePane="bottomRight" state="frozen"/>
      <selection pane="topLeft" activeCell="A6" activeCellId="0" sqref="A6"/>
      <selection pane="topRight" activeCell="H6" activeCellId="0" sqref="H6"/>
      <selection pane="bottomLeft" activeCell="A8" activeCellId="0" sqref="A8"/>
      <selection pane="bottomRight" activeCell="Q24" activeCellId="0" sqref="Q24"/>
    </sheetView>
  </sheetViews>
  <sheetFormatPr defaultColWidth="9.1015625" defaultRowHeight="13.2" customHeight="true" zeroHeight="false" outlineLevelRow="0" outlineLevelCol="0"/>
  <cols>
    <col collapsed="false" customWidth="true" hidden="false" outlineLevel="0" max="2" min="1" style="1" width="1.66"/>
    <col collapsed="false" customWidth="true" hidden="false" outlineLevel="0" max="3" min="3" style="1" width="35.66"/>
    <col collapsed="false" customWidth="true" hidden="false" outlineLevel="0" max="4" min="4" style="1" width="10.66"/>
    <col collapsed="false" customWidth="true" hidden="false" outlineLevel="0" max="5" min="5" style="1" width="8.66"/>
    <col collapsed="false" customWidth="true" hidden="false" outlineLevel="0" max="6" min="6" style="1" width="2.66"/>
    <col collapsed="false" customWidth="true" hidden="false" outlineLevel="0" max="7" min="7" style="1" width="8.66"/>
    <col collapsed="false" customWidth="true" hidden="false" outlineLevel="0" max="8" min="8" style="1" width="2.66"/>
    <col collapsed="false" customWidth="true" hidden="false" outlineLevel="0" max="9" min="9" style="1" width="8.66"/>
    <col collapsed="false" customWidth="true" hidden="false" outlineLevel="0" max="10" min="10" style="1" width="2.66"/>
    <col collapsed="false" customWidth="true" hidden="false" outlineLevel="0" max="11" min="11" style="1" width="8.66"/>
    <col collapsed="false" customWidth="true" hidden="false" outlineLevel="0" max="12" min="12" style="1" width="2.66"/>
    <col collapsed="false" customWidth="true" hidden="false" outlineLevel="0" max="13" min="13" style="1" width="8.66"/>
    <col collapsed="false" customWidth="true" hidden="false" outlineLevel="0" max="14" min="14" style="1" width="2.66"/>
    <col collapsed="false" customWidth="true" hidden="false" outlineLevel="0" max="15" min="15" style="1" width="8.66"/>
    <col collapsed="false" customWidth="true" hidden="false" outlineLevel="0" max="16" min="16" style="1" width="2.66"/>
    <col collapsed="false" customWidth="true" hidden="false" outlineLevel="0" max="17" min="17" style="1" width="8.66"/>
    <col collapsed="false" customWidth="true" hidden="false" outlineLevel="0" max="18" min="18" style="1" width="2.66"/>
    <col collapsed="false" customWidth="true" hidden="false" outlineLevel="0" max="19" min="19" style="1" width="8.66"/>
    <col collapsed="false" customWidth="true" hidden="false" outlineLevel="0" max="20" min="20" style="1" width="2.66"/>
    <col collapsed="false" customWidth="true" hidden="false" outlineLevel="0" max="21" min="21" style="1" width="8.66"/>
    <col collapsed="false" customWidth="true" hidden="false" outlineLevel="0" max="22" min="22" style="1" width="2.66"/>
    <col collapsed="false" customWidth="true" hidden="false" outlineLevel="0" max="23" min="23" style="1" width="8.66"/>
    <col collapsed="false" customWidth="false" hidden="false" outlineLevel="0" max="257" min="24" style="1" width="9.1"/>
  </cols>
  <sheetData>
    <row r="1" customFormat="false" ht="15.6" hidden="false" customHeight="false" outlineLevel="0" collapsed="false">
      <c r="A1" s="43" t="str">
        <f aca="false">+'NNG Detail NI'!A1</f>
        <v>NORTHERN NATURAL GAS GROUP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  <c r="EM1" s="44"/>
      <c r="EN1" s="44"/>
      <c r="EO1" s="44"/>
      <c r="EP1" s="44"/>
      <c r="EQ1" s="44"/>
      <c r="ER1" s="44"/>
      <c r="ES1" s="44"/>
      <c r="ET1" s="44"/>
      <c r="EU1" s="44"/>
      <c r="EV1" s="44"/>
      <c r="EW1" s="44"/>
      <c r="EX1" s="44"/>
      <c r="EY1" s="44"/>
      <c r="EZ1" s="44"/>
      <c r="FA1" s="44"/>
      <c r="FB1" s="44"/>
      <c r="FC1" s="44"/>
      <c r="FD1" s="44"/>
      <c r="FE1" s="44"/>
      <c r="FF1" s="44"/>
      <c r="FG1" s="44"/>
      <c r="FH1" s="44"/>
      <c r="FI1" s="44"/>
      <c r="FJ1" s="44"/>
      <c r="FK1" s="44"/>
      <c r="FL1" s="44"/>
      <c r="FM1" s="44"/>
      <c r="FN1" s="44"/>
      <c r="FO1" s="44"/>
      <c r="FP1" s="44"/>
      <c r="FQ1" s="44"/>
      <c r="FR1" s="44"/>
      <c r="FS1" s="44"/>
      <c r="FT1" s="44"/>
      <c r="FU1" s="44"/>
      <c r="FV1" s="44"/>
      <c r="FW1" s="44"/>
      <c r="FX1" s="44"/>
      <c r="FY1" s="44"/>
      <c r="FZ1" s="44"/>
      <c r="GA1" s="44"/>
      <c r="GB1" s="44"/>
      <c r="GC1" s="44"/>
      <c r="GD1" s="44"/>
      <c r="GE1" s="44"/>
      <c r="GF1" s="44"/>
      <c r="GG1" s="44"/>
      <c r="GH1" s="44"/>
      <c r="GI1" s="44"/>
      <c r="GJ1" s="44"/>
      <c r="GK1" s="44"/>
      <c r="GL1" s="44"/>
      <c r="GM1" s="44"/>
      <c r="GN1" s="44"/>
      <c r="GO1" s="44"/>
      <c r="GP1" s="44"/>
      <c r="GQ1" s="44"/>
      <c r="GR1" s="44"/>
      <c r="GS1" s="44"/>
      <c r="GT1" s="44"/>
      <c r="GU1" s="44"/>
      <c r="GV1" s="44"/>
      <c r="GW1" s="44"/>
      <c r="GX1" s="44"/>
      <c r="GY1" s="44"/>
      <c r="GZ1" s="44"/>
      <c r="HA1" s="44"/>
      <c r="HB1" s="44"/>
      <c r="HC1" s="44"/>
      <c r="HD1" s="44"/>
      <c r="HE1" s="44"/>
      <c r="HF1" s="44"/>
      <c r="HG1" s="44"/>
      <c r="HH1" s="44"/>
      <c r="HI1" s="44"/>
      <c r="HJ1" s="44"/>
      <c r="HK1" s="44"/>
      <c r="HL1" s="44"/>
      <c r="HM1" s="44"/>
      <c r="HN1" s="44"/>
      <c r="HO1" s="44"/>
      <c r="HP1" s="44"/>
      <c r="HQ1" s="44"/>
      <c r="HR1" s="44"/>
      <c r="HS1" s="44"/>
      <c r="HT1" s="44"/>
      <c r="HU1" s="44"/>
      <c r="HV1" s="44"/>
      <c r="HW1" s="44"/>
      <c r="HX1" s="44"/>
      <c r="HY1" s="44"/>
      <c r="HZ1" s="44"/>
      <c r="IA1" s="44"/>
      <c r="IB1" s="44"/>
      <c r="IC1" s="44"/>
      <c r="ID1" s="44"/>
      <c r="IE1" s="44"/>
      <c r="IF1" s="44"/>
      <c r="IG1" s="44"/>
      <c r="IH1" s="44"/>
      <c r="II1" s="44"/>
      <c r="IJ1" s="44"/>
      <c r="IK1" s="44"/>
      <c r="IL1" s="44"/>
      <c r="IM1" s="44"/>
      <c r="IN1" s="44"/>
      <c r="IO1" s="44"/>
      <c r="IP1" s="44"/>
      <c r="IQ1" s="44"/>
      <c r="IR1" s="44"/>
      <c r="IS1" s="44"/>
      <c r="IT1" s="44"/>
      <c r="IU1" s="44"/>
      <c r="IV1" s="44"/>
      <c r="IW1" s="44"/>
    </row>
    <row r="2" customFormat="false" ht="15.6" hidden="false" customHeight="false" outlineLevel="0" collapsed="false">
      <c r="A2" s="2" t="s">
        <v>64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44"/>
      <c r="DT2" s="44"/>
      <c r="DU2" s="44"/>
      <c r="DV2" s="44"/>
      <c r="DW2" s="44"/>
      <c r="DX2" s="44"/>
      <c r="DY2" s="44"/>
      <c r="DZ2" s="44"/>
      <c r="EA2" s="44"/>
      <c r="EB2" s="44"/>
      <c r="EC2" s="44"/>
      <c r="ED2" s="44"/>
      <c r="EE2" s="44"/>
      <c r="EF2" s="44"/>
      <c r="EG2" s="44"/>
      <c r="EH2" s="44"/>
      <c r="EI2" s="44"/>
      <c r="EJ2" s="44"/>
      <c r="EK2" s="44"/>
      <c r="EL2" s="44"/>
      <c r="EM2" s="44"/>
      <c r="EN2" s="44"/>
      <c r="EO2" s="44"/>
      <c r="EP2" s="44"/>
      <c r="EQ2" s="44"/>
      <c r="ER2" s="44"/>
      <c r="ES2" s="44"/>
      <c r="ET2" s="44"/>
      <c r="EU2" s="44"/>
      <c r="EV2" s="44"/>
      <c r="EW2" s="44"/>
      <c r="EX2" s="44"/>
      <c r="EY2" s="44"/>
      <c r="EZ2" s="44"/>
      <c r="FA2" s="44"/>
      <c r="FB2" s="44"/>
      <c r="FC2" s="44"/>
      <c r="FD2" s="44"/>
      <c r="FE2" s="44"/>
      <c r="FF2" s="44"/>
      <c r="FG2" s="44"/>
      <c r="FH2" s="44"/>
      <c r="FI2" s="44"/>
      <c r="FJ2" s="44"/>
      <c r="FK2" s="44"/>
      <c r="FL2" s="44"/>
      <c r="FM2" s="44"/>
      <c r="FN2" s="44"/>
      <c r="FO2" s="44"/>
      <c r="FP2" s="44"/>
      <c r="FQ2" s="44"/>
      <c r="FR2" s="44"/>
      <c r="FS2" s="44"/>
      <c r="FT2" s="44"/>
      <c r="FU2" s="44"/>
      <c r="FV2" s="44"/>
      <c r="FW2" s="44"/>
      <c r="FX2" s="44"/>
      <c r="FY2" s="44"/>
      <c r="FZ2" s="44"/>
      <c r="GA2" s="44"/>
      <c r="GB2" s="44"/>
      <c r="GC2" s="44"/>
      <c r="GD2" s="44"/>
      <c r="GE2" s="44"/>
      <c r="GF2" s="44"/>
      <c r="GG2" s="44"/>
      <c r="GH2" s="44"/>
      <c r="GI2" s="44"/>
      <c r="GJ2" s="44"/>
      <c r="GK2" s="44"/>
      <c r="GL2" s="44"/>
      <c r="GM2" s="44"/>
      <c r="GN2" s="44"/>
      <c r="GO2" s="44"/>
      <c r="GP2" s="44"/>
      <c r="GQ2" s="44"/>
      <c r="GR2" s="44"/>
      <c r="GS2" s="44"/>
      <c r="GT2" s="44"/>
      <c r="GU2" s="44"/>
      <c r="GV2" s="44"/>
      <c r="GW2" s="44"/>
      <c r="GX2" s="44"/>
      <c r="GY2" s="44"/>
      <c r="GZ2" s="44"/>
      <c r="HA2" s="44"/>
      <c r="HB2" s="44"/>
      <c r="HC2" s="44"/>
      <c r="HD2" s="44"/>
      <c r="HE2" s="44"/>
      <c r="HF2" s="44"/>
      <c r="HG2" s="44"/>
      <c r="HH2" s="44"/>
      <c r="HI2" s="44"/>
      <c r="HJ2" s="44"/>
      <c r="HK2" s="44"/>
      <c r="HL2" s="44"/>
      <c r="HM2" s="44"/>
      <c r="HN2" s="44"/>
      <c r="HO2" s="44"/>
      <c r="HP2" s="44"/>
      <c r="HQ2" s="44"/>
      <c r="HR2" s="44"/>
      <c r="HS2" s="44"/>
      <c r="HT2" s="44"/>
      <c r="HU2" s="44"/>
      <c r="HV2" s="44"/>
      <c r="HW2" s="44"/>
      <c r="HX2" s="44"/>
      <c r="HY2" s="44"/>
      <c r="HZ2" s="44"/>
      <c r="IA2" s="44"/>
      <c r="IB2" s="44"/>
      <c r="IC2" s="44"/>
      <c r="ID2" s="44"/>
      <c r="IE2" s="44"/>
      <c r="IF2" s="44"/>
      <c r="IG2" s="44"/>
      <c r="IH2" s="44"/>
      <c r="II2" s="44"/>
      <c r="IJ2" s="44"/>
      <c r="IK2" s="44"/>
      <c r="IL2" s="44"/>
      <c r="IM2" s="44"/>
      <c r="IN2" s="44"/>
      <c r="IO2" s="44"/>
      <c r="IP2" s="44"/>
      <c r="IQ2" s="44"/>
      <c r="IR2" s="44"/>
      <c r="IS2" s="44"/>
      <c r="IT2" s="44"/>
      <c r="IU2" s="44"/>
      <c r="IV2" s="44"/>
      <c r="IW2" s="44"/>
    </row>
    <row r="3" customFormat="false" ht="13.2" hidden="false" customHeight="false" outlineLevel="0" collapsed="false">
      <c r="A3" s="45" t="str">
        <f aca="false">+'NNG Detail NI'!A3</f>
        <v>($ Millions)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</row>
    <row r="4" customFormat="false" ht="12.75" hidden="false" customHeight="true" outlineLevel="0" collapsed="false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46"/>
      <c r="V4" s="46"/>
      <c r="W4" s="46"/>
    </row>
    <row r="5" customFormat="false" ht="12.75" hidden="false" customHeight="true" outlineLevel="0" collapsed="false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4"/>
      <c r="R5" s="47"/>
      <c r="S5" s="45"/>
      <c r="T5" s="6"/>
    </row>
    <row r="6" customFormat="false" ht="12.75" hidden="false" customHeight="true" outlineLevel="0" collapsed="false">
      <c r="A6" s="5"/>
      <c r="B6" s="5"/>
      <c r="C6" s="5"/>
      <c r="D6" s="5"/>
      <c r="E6" s="4" t="str">
        <f aca="false">+'NNG Detail NI'!E6</f>
        <v>1993</v>
      </c>
      <c r="F6" s="5"/>
      <c r="G6" s="4" t="str">
        <f aca="false">+'NNG Detail NI'!G6</f>
        <v>1994</v>
      </c>
      <c r="H6" s="5"/>
      <c r="I6" s="4" t="str">
        <f aca="false">+'NNG Detail NI'!I6</f>
        <v>1995</v>
      </c>
      <c r="J6" s="5"/>
      <c r="K6" s="4" t="str">
        <f aca="false">+'NNG Detail NI'!K6</f>
        <v>1996</v>
      </c>
      <c r="L6" s="5"/>
      <c r="M6" s="4" t="str">
        <f aca="false">+'NNG Detail NI'!M6</f>
        <v>1997</v>
      </c>
      <c r="N6" s="5"/>
      <c r="O6" s="4" t="str">
        <f aca="false">+'NNG Detail NI'!O6</f>
        <v>1998</v>
      </c>
      <c r="P6" s="4"/>
      <c r="Q6" s="4" t="str">
        <f aca="false">+'NNG Detail NI'!Q6</f>
        <v>1999</v>
      </c>
      <c r="R6" s="47"/>
      <c r="S6" s="4" t="n">
        <f aca="false">+'NNG Detail NI'!S6</f>
        <v>2000</v>
      </c>
      <c r="T6" s="6"/>
      <c r="U6" s="4" t="n">
        <f aca="false">+'NNG Detail NI'!U6</f>
        <v>2001</v>
      </c>
      <c r="W6" s="4" t="n">
        <f aca="false">+'NNG Detail NI'!W6</f>
        <v>2002</v>
      </c>
    </row>
    <row r="7" customFormat="false" ht="12.75" hidden="false" customHeight="true" outlineLevel="0" collapsed="false">
      <c r="A7" s="6"/>
      <c r="B7" s="6"/>
      <c r="C7" s="6"/>
      <c r="D7" s="13"/>
      <c r="E7" s="48" t="str">
        <f aca="false">+'NNG Detail NI'!E7</f>
        <v>Actual</v>
      </c>
      <c r="F7" s="13"/>
      <c r="G7" s="48" t="str">
        <f aca="false">+'NNG Detail NI'!G7</f>
        <v>Actual</v>
      </c>
      <c r="H7" s="13"/>
      <c r="I7" s="48" t="str">
        <f aca="false">+'NNG Detail NI'!I7</f>
        <v>Actual</v>
      </c>
      <c r="J7" s="13"/>
      <c r="K7" s="48" t="str">
        <f aca="false">+'NNG Detail NI'!K7</f>
        <v>Actual</v>
      </c>
      <c r="L7" s="13"/>
      <c r="M7" s="48" t="str">
        <f aca="false">+'NNG Detail NI'!M7</f>
        <v>Actual</v>
      </c>
      <c r="N7" s="13"/>
      <c r="O7" s="48" t="str">
        <f aca="false">+'NNG Detail NI'!O7</f>
        <v>Actual</v>
      </c>
      <c r="P7" s="45"/>
      <c r="Q7" s="48" t="str">
        <f aca="false">+'NNG Detail NI'!Q7</f>
        <v>Actual</v>
      </c>
      <c r="R7" s="6"/>
      <c r="S7" s="48" t="str">
        <f aca="false">+'NNG Detail NI'!S7</f>
        <v>Plan</v>
      </c>
      <c r="T7" s="6"/>
      <c r="U7" s="48" t="str">
        <f aca="false">+'NNG Detail NI'!U7</f>
        <v>Plan</v>
      </c>
      <c r="W7" s="48" t="str">
        <f aca="false">+'NNG Detail NI'!W7</f>
        <v>Plan</v>
      </c>
    </row>
    <row r="8" customFormat="false" ht="12.75" hidden="false" customHeight="true" outlineLevel="0" collapsed="false">
      <c r="A8" s="33" t="s">
        <v>106</v>
      </c>
      <c r="B8" s="6"/>
      <c r="C8" s="6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6"/>
      <c r="S8" s="17"/>
      <c r="T8" s="6"/>
      <c r="U8" s="17"/>
      <c r="W8" s="17"/>
    </row>
    <row r="9" customFormat="false" ht="12.75" hidden="false" customHeight="true" outlineLevel="0" collapsed="false">
      <c r="A9" s="33"/>
      <c r="B9" s="22" t="s">
        <v>107</v>
      </c>
      <c r="C9" s="6"/>
      <c r="D9" s="17"/>
      <c r="E9" s="19" t="n">
        <v>0</v>
      </c>
      <c r="F9" s="17"/>
      <c r="G9" s="19" t="n">
        <v>0</v>
      </c>
      <c r="H9" s="17"/>
      <c r="I9" s="19" t="n">
        <v>0</v>
      </c>
      <c r="J9" s="17"/>
      <c r="K9" s="19" t="n">
        <v>0</v>
      </c>
      <c r="L9" s="17"/>
      <c r="M9" s="19" t="n">
        <v>1.4</v>
      </c>
      <c r="N9" s="17"/>
      <c r="O9" s="19" t="n">
        <v>1</v>
      </c>
      <c r="P9" s="19"/>
      <c r="Q9" s="19" t="n">
        <v>0</v>
      </c>
      <c r="R9" s="11"/>
      <c r="S9" s="19" t="n">
        <v>0</v>
      </c>
      <c r="T9" s="6"/>
      <c r="U9" s="19" t="n">
        <v>0</v>
      </c>
      <c r="W9" s="19" t="n">
        <v>0</v>
      </c>
    </row>
    <row r="10" customFormat="false" ht="12.75" hidden="false" customHeight="true" outlineLevel="0" collapsed="false">
      <c r="A10" s="33"/>
      <c r="B10" s="22" t="s">
        <v>108</v>
      </c>
      <c r="D10" s="17"/>
      <c r="E10" s="19" t="n">
        <v>0</v>
      </c>
      <c r="F10" s="17"/>
      <c r="G10" s="19" t="n">
        <v>0</v>
      </c>
      <c r="H10" s="17"/>
      <c r="I10" s="19" t="n">
        <v>-0.5</v>
      </c>
      <c r="J10" s="17"/>
      <c r="K10" s="19" t="n">
        <v>0</v>
      </c>
      <c r="L10" s="17"/>
      <c r="M10" s="19" t="n">
        <v>0</v>
      </c>
      <c r="N10" s="17"/>
      <c r="O10" s="19" t="n">
        <v>0</v>
      </c>
      <c r="P10" s="19"/>
      <c r="Q10" s="19" t="n">
        <v>0</v>
      </c>
      <c r="R10" s="6"/>
      <c r="S10" s="19" t="n">
        <v>0</v>
      </c>
      <c r="T10" s="11"/>
      <c r="U10" s="19" t="n">
        <v>0</v>
      </c>
      <c r="W10" s="19" t="n">
        <v>0</v>
      </c>
    </row>
    <row r="11" customFormat="false" ht="12.75" hidden="false" customHeight="true" outlineLevel="0" collapsed="false">
      <c r="A11" s="33"/>
      <c r="B11" s="22" t="s">
        <v>109</v>
      </c>
      <c r="C11" s="6"/>
      <c r="D11" s="17"/>
      <c r="E11" s="19" t="n">
        <v>0</v>
      </c>
      <c r="F11" s="17"/>
      <c r="G11" s="19" t="n">
        <v>0</v>
      </c>
      <c r="H11" s="17"/>
      <c r="I11" s="19" t="n">
        <v>0</v>
      </c>
      <c r="J11" s="17"/>
      <c r="K11" s="19" t="n">
        <v>0</v>
      </c>
      <c r="L11" s="17"/>
      <c r="M11" s="19" t="n">
        <v>0</v>
      </c>
      <c r="N11" s="17"/>
      <c r="O11" s="19" t="n">
        <v>0</v>
      </c>
      <c r="P11" s="19"/>
      <c r="Q11" s="19" t="n">
        <v>16</v>
      </c>
      <c r="R11" s="6"/>
      <c r="S11" s="19" t="n">
        <v>0</v>
      </c>
      <c r="T11" s="11"/>
      <c r="U11" s="19" t="n">
        <v>0</v>
      </c>
      <c r="W11" s="19" t="n">
        <v>0</v>
      </c>
    </row>
    <row r="12" customFormat="false" ht="12.75" hidden="false" customHeight="true" outlineLevel="0" collapsed="false">
      <c r="A12" s="33"/>
      <c r="B12" s="22"/>
      <c r="C12" s="22" t="s">
        <v>110</v>
      </c>
      <c r="D12" s="17"/>
      <c r="E12" s="19" t="n">
        <v>0</v>
      </c>
      <c r="F12" s="17"/>
      <c r="G12" s="19" t="n">
        <v>0</v>
      </c>
      <c r="H12" s="17"/>
      <c r="I12" s="19" t="n">
        <v>0</v>
      </c>
      <c r="J12" s="17"/>
      <c r="K12" s="19" t="n">
        <v>0</v>
      </c>
      <c r="L12" s="17"/>
      <c r="M12" s="19" t="n">
        <v>0</v>
      </c>
      <c r="N12" s="17"/>
      <c r="O12" s="19" t="n">
        <v>9.5</v>
      </c>
      <c r="P12" s="19"/>
      <c r="Q12" s="19" t="n">
        <v>-9.5</v>
      </c>
      <c r="R12" s="6"/>
      <c r="S12" s="19" t="n">
        <v>0</v>
      </c>
      <c r="T12" s="11"/>
      <c r="U12" s="19" t="n">
        <v>0</v>
      </c>
      <c r="W12" s="19" t="n">
        <v>0</v>
      </c>
    </row>
    <row r="13" customFormat="false" ht="12.75" hidden="false" customHeight="true" outlineLevel="0" collapsed="false">
      <c r="A13" s="33"/>
      <c r="B13" s="22"/>
      <c r="C13" s="22" t="s">
        <v>111</v>
      </c>
      <c r="D13" s="17"/>
      <c r="E13" s="19" t="n">
        <v>0</v>
      </c>
      <c r="F13" s="17"/>
      <c r="G13" s="19" t="n">
        <v>0</v>
      </c>
      <c r="H13" s="17"/>
      <c r="I13" s="19" t="n">
        <v>0</v>
      </c>
      <c r="J13" s="17"/>
      <c r="K13" s="19" t="n">
        <v>0</v>
      </c>
      <c r="L13" s="17"/>
      <c r="M13" s="19" t="n">
        <v>0</v>
      </c>
      <c r="N13" s="17"/>
      <c r="O13" s="19" t="n">
        <v>0</v>
      </c>
      <c r="P13" s="19"/>
      <c r="Q13" s="19" t="n">
        <v>4.4</v>
      </c>
      <c r="R13" s="6"/>
      <c r="S13" s="19" t="n">
        <v>0</v>
      </c>
      <c r="T13" s="11"/>
      <c r="U13" s="19" t="n">
        <v>0</v>
      </c>
      <c r="W13" s="19" t="n">
        <v>0</v>
      </c>
    </row>
    <row r="14" customFormat="false" ht="12.75" hidden="false" customHeight="true" outlineLevel="0" collapsed="false">
      <c r="A14" s="33"/>
      <c r="B14" s="22"/>
      <c r="C14" s="22" t="s">
        <v>112</v>
      </c>
      <c r="D14" s="17"/>
      <c r="E14" s="19" t="n">
        <v>15.3</v>
      </c>
      <c r="F14" s="17"/>
      <c r="G14" s="19" t="n">
        <v>0</v>
      </c>
      <c r="H14" s="17"/>
      <c r="I14" s="19" t="n">
        <v>0</v>
      </c>
      <c r="J14" s="17"/>
      <c r="K14" s="19" t="n">
        <v>0</v>
      </c>
      <c r="L14" s="17"/>
      <c r="M14" s="19" t="n">
        <v>0</v>
      </c>
      <c r="N14" s="17"/>
      <c r="O14" s="19" t="n">
        <v>0</v>
      </c>
      <c r="P14" s="19"/>
      <c r="Q14" s="19" t="n">
        <v>0</v>
      </c>
      <c r="R14" s="6"/>
      <c r="S14" s="19" t="n">
        <v>0</v>
      </c>
      <c r="T14" s="11"/>
      <c r="U14" s="19" t="n">
        <v>0</v>
      </c>
      <c r="W14" s="19" t="n">
        <v>0</v>
      </c>
    </row>
    <row r="15" customFormat="false" ht="12.75" hidden="false" customHeight="true" outlineLevel="0" collapsed="false">
      <c r="A15" s="33"/>
      <c r="B15" s="22" t="s">
        <v>113</v>
      </c>
      <c r="C15" s="6"/>
      <c r="D15" s="17"/>
      <c r="E15" s="19" t="n">
        <v>0</v>
      </c>
      <c r="F15" s="17"/>
      <c r="G15" s="19" t="n">
        <v>0</v>
      </c>
      <c r="H15" s="17"/>
      <c r="I15" s="19" t="n">
        <v>2.6</v>
      </c>
      <c r="J15" s="17"/>
      <c r="K15" s="19" t="n">
        <v>1</v>
      </c>
      <c r="L15" s="17"/>
      <c r="M15" s="19" t="n">
        <v>1.2</v>
      </c>
      <c r="N15" s="17"/>
      <c r="O15" s="19" t="n">
        <v>0.5</v>
      </c>
      <c r="P15" s="19"/>
      <c r="Q15" s="19" t="n">
        <v>0</v>
      </c>
      <c r="R15" s="11"/>
      <c r="S15" s="19" t="n">
        <v>0</v>
      </c>
      <c r="T15" s="6"/>
      <c r="U15" s="19" t="n">
        <v>0</v>
      </c>
      <c r="W15" s="19" t="n">
        <v>0</v>
      </c>
    </row>
    <row r="16" customFormat="false" ht="12.75" hidden="false" customHeight="true" outlineLevel="0" collapsed="false">
      <c r="A16" s="33"/>
      <c r="B16" s="22" t="s">
        <v>114</v>
      </c>
      <c r="C16" s="6"/>
      <c r="D16" s="17"/>
      <c r="E16" s="19" t="n">
        <v>0</v>
      </c>
      <c r="F16" s="17"/>
      <c r="G16" s="19" t="n">
        <v>0</v>
      </c>
      <c r="H16" s="17"/>
      <c r="I16" s="19" t="n">
        <v>7.5</v>
      </c>
      <c r="J16" s="17"/>
      <c r="K16" s="19" t="n">
        <v>0</v>
      </c>
      <c r="L16" s="17"/>
      <c r="M16" s="19" t="n">
        <v>0</v>
      </c>
      <c r="N16" s="17"/>
      <c r="O16" s="19" t="n">
        <v>0</v>
      </c>
      <c r="P16" s="19"/>
      <c r="Q16" s="19" t="n">
        <v>0</v>
      </c>
      <c r="R16" s="35"/>
      <c r="S16" s="19" t="n">
        <v>0</v>
      </c>
      <c r="T16" s="6"/>
      <c r="U16" s="19" t="n">
        <v>0</v>
      </c>
      <c r="W16" s="19" t="n">
        <v>0</v>
      </c>
    </row>
    <row r="17" customFormat="false" ht="12.75" hidden="false" customHeight="true" outlineLevel="0" collapsed="false">
      <c r="A17" s="33"/>
      <c r="B17" s="22" t="s">
        <v>115</v>
      </c>
      <c r="C17" s="6"/>
      <c r="D17" s="17"/>
      <c r="E17" s="19" t="n">
        <v>0</v>
      </c>
      <c r="F17" s="17"/>
      <c r="G17" s="19" t="n">
        <v>-0.2</v>
      </c>
      <c r="H17" s="17"/>
      <c r="I17" s="19" t="n">
        <v>0.8</v>
      </c>
      <c r="J17" s="17"/>
      <c r="K17" s="19" t="n">
        <v>0</v>
      </c>
      <c r="L17" s="17"/>
      <c r="M17" s="19" t="n">
        <v>0</v>
      </c>
      <c r="N17" s="17"/>
      <c r="O17" s="19" t="n">
        <v>0</v>
      </c>
      <c r="P17" s="19"/>
      <c r="Q17" s="19" t="n">
        <v>0</v>
      </c>
      <c r="R17" s="35"/>
      <c r="S17" s="19" t="n">
        <v>0</v>
      </c>
      <c r="T17" s="6"/>
      <c r="U17" s="19" t="n">
        <v>0</v>
      </c>
      <c r="W17" s="19" t="n">
        <v>0</v>
      </c>
    </row>
    <row r="18" customFormat="false" ht="12.75" hidden="false" customHeight="true" outlineLevel="0" collapsed="false">
      <c r="A18" s="33"/>
      <c r="B18" s="22" t="s">
        <v>116</v>
      </c>
      <c r="C18" s="6"/>
      <c r="D18" s="17"/>
      <c r="E18" s="19" t="n">
        <v>7.5</v>
      </c>
      <c r="F18" s="17"/>
      <c r="G18" s="19" t="n">
        <v>0</v>
      </c>
      <c r="H18" s="17"/>
      <c r="I18" s="19" t="n">
        <v>0</v>
      </c>
      <c r="J18" s="17"/>
      <c r="K18" s="19" t="n">
        <v>0</v>
      </c>
      <c r="L18" s="17"/>
      <c r="M18" s="19" t="n">
        <v>0</v>
      </c>
      <c r="N18" s="17"/>
      <c r="O18" s="19" t="n">
        <v>0</v>
      </c>
      <c r="P18" s="19"/>
      <c r="Q18" s="19" t="n">
        <v>0</v>
      </c>
      <c r="R18" s="6"/>
      <c r="S18" s="19" t="n">
        <v>0</v>
      </c>
      <c r="T18" s="11"/>
      <c r="U18" s="19" t="n">
        <v>0</v>
      </c>
      <c r="W18" s="19" t="n">
        <v>0</v>
      </c>
    </row>
    <row r="19" customFormat="false" ht="12.75" hidden="false" customHeight="true" outlineLevel="0" collapsed="false">
      <c r="A19" s="33"/>
      <c r="B19" s="22" t="s">
        <v>117</v>
      </c>
      <c r="C19" s="6"/>
      <c r="D19" s="17"/>
      <c r="E19" s="19" t="n">
        <v>7.2</v>
      </c>
      <c r="F19" s="17"/>
      <c r="G19" s="19" t="n">
        <v>0</v>
      </c>
      <c r="H19" s="17"/>
      <c r="I19" s="19" t="n">
        <v>0</v>
      </c>
      <c r="J19" s="17"/>
      <c r="K19" s="19" t="n">
        <v>0</v>
      </c>
      <c r="L19" s="17"/>
      <c r="M19" s="19" t="n">
        <v>0</v>
      </c>
      <c r="N19" s="17"/>
      <c r="O19" s="19" t="n">
        <v>0</v>
      </c>
      <c r="P19" s="19"/>
      <c r="Q19" s="19" t="n">
        <v>0</v>
      </c>
      <c r="R19" s="6"/>
      <c r="S19" s="19" t="n">
        <v>0</v>
      </c>
      <c r="T19" s="11"/>
      <c r="U19" s="19" t="n">
        <v>0</v>
      </c>
      <c r="W19" s="19" t="n">
        <v>0</v>
      </c>
    </row>
    <row r="20" customFormat="false" ht="12.75" hidden="false" customHeight="true" outlineLevel="0" collapsed="false">
      <c r="A20" s="33"/>
      <c r="B20" s="22" t="s">
        <v>118</v>
      </c>
      <c r="C20" s="6"/>
      <c r="D20" s="17"/>
      <c r="E20" s="19" t="n">
        <v>0</v>
      </c>
      <c r="F20" s="17"/>
      <c r="G20" s="19" t="n">
        <v>0</v>
      </c>
      <c r="H20" s="17"/>
      <c r="I20" s="19" t="n">
        <v>0</v>
      </c>
      <c r="J20" s="17"/>
      <c r="K20" s="19" t="n">
        <v>0</v>
      </c>
      <c r="L20" s="17"/>
      <c r="M20" s="19" t="n">
        <v>0</v>
      </c>
      <c r="N20" s="17"/>
      <c r="O20" s="19" t="n">
        <v>0</v>
      </c>
      <c r="P20" s="19"/>
      <c r="Q20" s="19" t="n">
        <v>0</v>
      </c>
      <c r="R20" s="6"/>
      <c r="S20" s="19" t="n">
        <v>5</v>
      </c>
      <c r="T20" s="11"/>
      <c r="U20" s="19" t="n">
        <v>7.5</v>
      </c>
      <c r="W20" s="19" t="n">
        <v>7.5</v>
      </c>
    </row>
    <row r="21" customFormat="false" ht="13.2" hidden="false" customHeight="false" outlineLevel="0" collapsed="false">
      <c r="A21" s="6"/>
      <c r="B21" s="22" t="s">
        <v>119</v>
      </c>
      <c r="C21" s="6"/>
      <c r="D21" s="17"/>
      <c r="E21" s="19" t="n">
        <v>0</v>
      </c>
      <c r="F21" s="17"/>
      <c r="G21" s="19" t="n">
        <v>0</v>
      </c>
      <c r="H21" s="17"/>
      <c r="I21" s="19" t="n">
        <v>0</v>
      </c>
      <c r="J21" s="17"/>
      <c r="K21" s="19" t="n">
        <v>0</v>
      </c>
      <c r="L21" s="17"/>
      <c r="M21" s="19" t="n">
        <v>0</v>
      </c>
      <c r="N21" s="17"/>
      <c r="O21" s="19" t="n">
        <v>1.5</v>
      </c>
      <c r="P21" s="19"/>
      <c r="Q21" s="19" t="n">
        <v>0</v>
      </c>
      <c r="R21" s="35"/>
      <c r="S21" s="19" t="n">
        <v>0</v>
      </c>
      <c r="T21" s="6"/>
      <c r="U21" s="19" t="n">
        <v>0</v>
      </c>
      <c r="W21" s="19" t="n">
        <v>0</v>
      </c>
    </row>
    <row r="22" customFormat="false" ht="13.2" hidden="false" customHeight="false" outlineLevel="0" collapsed="false">
      <c r="A22" s="6"/>
      <c r="B22" s="22" t="s">
        <v>120</v>
      </c>
      <c r="C22" s="6"/>
      <c r="D22" s="17"/>
      <c r="E22" s="19" t="n">
        <v>0</v>
      </c>
      <c r="F22" s="17"/>
      <c r="G22" s="19" t="n">
        <v>0</v>
      </c>
      <c r="H22" s="17"/>
      <c r="I22" s="19" t="n">
        <v>0</v>
      </c>
      <c r="J22" s="17"/>
      <c r="K22" s="19" t="n">
        <v>0</v>
      </c>
      <c r="L22" s="17"/>
      <c r="M22" s="19" t="n">
        <v>0.3</v>
      </c>
      <c r="N22" s="17"/>
      <c r="O22" s="19" t="n">
        <v>0</v>
      </c>
      <c r="P22" s="19"/>
      <c r="Q22" s="19" t="n">
        <v>0.2</v>
      </c>
      <c r="R22" s="35"/>
      <c r="S22" s="19" t="n">
        <v>0</v>
      </c>
      <c r="T22" s="6"/>
      <c r="U22" s="19" t="n">
        <v>0</v>
      </c>
      <c r="W22" s="19" t="n">
        <v>0</v>
      </c>
    </row>
    <row r="23" customFormat="false" ht="13.2" hidden="false" customHeight="false" outlineLevel="0" collapsed="false">
      <c r="A23" s="6"/>
      <c r="B23" s="22" t="s">
        <v>121</v>
      </c>
      <c r="C23" s="6"/>
      <c r="D23" s="17"/>
      <c r="E23" s="19" t="n">
        <v>0</v>
      </c>
      <c r="F23" s="17"/>
      <c r="G23" s="19" t="n">
        <v>2.4</v>
      </c>
      <c r="H23" s="17"/>
      <c r="I23" s="19" t="n">
        <v>0</v>
      </c>
      <c r="J23" s="17"/>
      <c r="K23" s="19" t="n">
        <v>0</v>
      </c>
      <c r="L23" s="17"/>
      <c r="M23" s="19" t="n">
        <v>0</v>
      </c>
      <c r="N23" s="17"/>
      <c r="O23" s="19" t="n">
        <v>0</v>
      </c>
      <c r="P23" s="19"/>
      <c r="Q23" s="19" t="n">
        <v>0</v>
      </c>
      <c r="R23" s="35"/>
      <c r="S23" s="19" t="n">
        <v>0</v>
      </c>
      <c r="T23" s="6"/>
      <c r="U23" s="19" t="n">
        <v>0</v>
      </c>
      <c r="W23" s="19" t="n">
        <v>0</v>
      </c>
    </row>
    <row r="24" customFormat="false" ht="12.75" hidden="false" customHeight="true" outlineLevel="0" collapsed="false">
      <c r="A24" s="6"/>
      <c r="B24" s="22" t="s">
        <v>122</v>
      </c>
      <c r="C24" s="6"/>
      <c r="D24" s="17"/>
      <c r="E24" s="19" t="n">
        <v>0</v>
      </c>
      <c r="F24" s="17"/>
      <c r="G24" s="19" t="n">
        <v>0</v>
      </c>
      <c r="H24" s="17"/>
      <c r="I24" s="19" t="n">
        <v>0</v>
      </c>
      <c r="J24" s="17"/>
      <c r="K24" s="19" t="n">
        <v>0</v>
      </c>
      <c r="L24" s="17"/>
      <c r="M24" s="19" t="n">
        <v>0</v>
      </c>
      <c r="N24" s="17"/>
      <c r="O24" s="19" t="n">
        <v>0</v>
      </c>
      <c r="P24" s="19"/>
      <c r="Q24" s="19" t="n">
        <f aca="false">3.5-3.5</f>
        <v>0</v>
      </c>
      <c r="R24" s="35"/>
      <c r="S24" s="19" t="n">
        <v>0</v>
      </c>
      <c r="T24" s="6"/>
      <c r="U24" s="19" t="n">
        <v>0</v>
      </c>
      <c r="W24" s="19" t="n">
        <v>0</v>
      </c>
    </row>
    <row r="25" customFormat="false" ht="12.75" hidden="false" customHeight="true" outlineLevel="0" collapsed="false">
      <c r="A25" s="6"/>
      <c r="B25" s="22" t="s">
        <v>123</v>
      </c>
      <c r="C25" s="6"/>
      <c r="D25" s="17"/>
      <c r="E25" s="19" t="n">
        <v>0</v>
      </c>
      <c r="F25" s="17"/>
      <c r="G25" s="19" t="n">
        <v>0</v>
      </c>
      <c r="H25" s="17"/>
      <c r="I25" s="19" t="n">
        <v>1.1</v>
      </c>
      <c r="J25" s="17"/>
      <c r="K25" s="19" t="n">
        <v>0</v>
      </c>
      <c r="L25" s="17"/>
      <c r="M25" s="19" t="n">
        <v>0</v>
      </c>
      <c r="N25" s="17"/>
      <c r="O25" s="19" t="n">
        <v>0</v>
      </c>
      <c r="P25" s="19"/>
      <c r="Q25" s="19" t="n">
        <v>2</v>
      </c>
      <c r="R25" s="35"/>
      <c r="S25" s="19" t="n">
        <v>0</v>
      </c>
      <c r="T25" s="6"/>
      <c r="U25" s="19" t="n">
        <v>0</v>
      </c>
      <c r="W25" s="19" t="n">
        <v>0</v>
      </c>
    </row>
    <row r="26" customFormat="false" ht="12.75" hidden="false" customHeight="true" outlineLevel="0" collapsed="false">
      <c r="A26" s="6"/>
      <c r="B26" s="22" t="s">
        <v>124</v>
      </c>
      <c r="C26" s="6"/>
      <c r="D26" s="17"/>
      <c r="E26" s="19" t="n">
        <v>0</v>
      </c>
      <c r="F26" s="17"/>
      <c r="G26" s="19" t="n">
        <v>0</v>
      </c>
      <c r="H26" s="17"/>
      <c r="I26" s="19" t="n">
        <v>0</v>
      </c>
      <c r="J26" s="17"/>
      <c r="K26" s="19" t="n">
        <v>0</v>
      </c>
      <c r="L26" s="17"/>
      <c r="M26" s="19" t="n">
        <v>0</v>
      </c>
      <c r="N26" s="17"/>
      <c r="O26" s="18" t="n">
        <f aca="false">0.3+0.8+0.2</f>
        <v>1.3</v>
      </c>
      <c r="P26" s="19"/>
      <c r="Q26" s="19" t="n">
        <v>0</v>
      </c>
      <c r="R26" s="35"/>
      <c r="S26" s="19" t="n">
        <v>0</v>
      </c>
      <c r="T26" s="6"/>
      <c r="U26" s="19" t="n">
        <v>0</v>
      </c>
      <c r="W26" s="19" t="n">
        <v>0</v>
      </c>
    </row>
    <row r="27" customFormat="false" ht="12.75" hidden="false" customHeight="true" outlineLevel="0" collapsed="false">
      <c r="A27" s="6"/>
      <c r="B27" s="22" t="s">
        <v>125</v>
      </c>
      <c r="C27" s="6"/>
      <c r="D27" s="17"/>
      <c r="E27" s="19" t="n">
        <v>0</v>
      </c>
      <c r="F27" s="17"/>
      <c r="G27" s="19" t="n">
        <v>0</v>
      </c>
      <c r="H27" s="17"/>
      <c r="I27" s="19" t="n">
        <v>0</v>
      </c>
      <c r="J27" s="17"/>
      <c r="K27" s="19" t="n">
        <v>0</v>
      </c>
      <c r="L27" s="17"/>
      <c r="M27" s="19" t="n">
        <v>0</v>
      </c>
      <c r="N27" s="17"/>
      <c r="O27" s="18" t="n">
        <f aca="false">0.4+0.1</f>
        <v>0.5</v>
      </c>
      <c r="P27" s="19"/>
      <c r="Q27" s="19" t="n">
        <v>0</v>
      </c>
      <c r="R27" s="35"/>
      <c r="S27" s="19" t="n">
        <v>0</v>
      </c>
      <c r="T27" s="6"/>
      <c r="U27" s="19" t="n">
        <v>0</v>
      </c>
      <c r="W27" s="19" t="n">
        <v>0</v>
      </c>
    </row>
    <row r="28" customFormat="false" ht="12.75" hidden="false" customHeight="true" outlineLevel="0" collapsed="false">
      <c r="A28" s="6"/>
      <c r="B28" s="22" t="s">
        <v>126</v>
      </c>
      <c r="C28" s="6"/>
      <c r="D28" s="17"/>
      <c r="E28" s="19" t="n">
        <v>0</v>
      </c>
      <c r="F28" s="17"/>
      <c r="G28" s="19" t="n">
        <v>0</v>
      </c>
      <c r="H28" s="17"/>
      <c r="I28" s="19" t="n">
        <v>0.3</v>
      </c>
      <c r="J28" s="17"/>
      <c r="K28" s="19" t="n">
        <v>0</v>
      </c>
      <c r="L28" s="17"/>
      <c r="M28" s="19" t="n">
        <v>0</v>
      </c>
      <c r="N28" s="17"/>
      <c r="O28" s="19" t="n">
        <v>0</v>
      </c>
      <c r="P28" s="19"/>
      <c r="Q28" s="19" t="n">
        <v>0</v>
      </c>
      <c r="R28" s="35"/>
      <c r="S28" s="19" t="n">
        <v>0</v>
      </c>
      <c r="T28" s="6"/>
      <c r="U28" s="19" t="n">
        <v>0</v>
      </c>
      <c r="W28" s="19" t="n">
        <v>0</v>
      </c>
    </row>
    <row r="29" customFormat="false" ht="12.75" hidden="false" customHeight="true" outlineLevel="0" collapsed="false">
      <c r="A29" s="6"/>
      <c r="B29" s="22" t="s">
        <v>127</v>
      </c>
      <c r="C29" s="6"/>
      <c r="D29" s="17"/>
      <c r="E29" s="19" t="n">
        <v>0</v>
      </c>
      <c r="F29" s="17"/>
      <c r="G29" s="19" t="n">
        <v>0</v>
      </c>
      <c r="H29" s="17"/>
      <c r="I29" s="18" t="n">
        <f aca="false">-1.6-0.5</f>
        <v>-2.1</v>
      </c>
      <c r="J29" s="17"/>
      <c r="K29" s="19" t="n">
        <v>0</v>
      </c>
      <c r="L29" s="17"/>
      <c r="M29" s="19" t="n">
        <v>0</v>
      </c>
      <c r="N29" s="17"/>
      <c r="O29" s="19" t="n">
        <v>0</v>
      </c>
      <c r="P29" s="19"/>
      <c r="Q29" s="19" t="n">
        <v>0</v>
      </c>
      <c r="R29" s="35"/>
      <c r="S29" s="19" t="n">
        <v>0</v>
      </c>
      <c r="T29" s="6"/>
      <c r="U29" s="19" t="n">
        <v>0</v>
      </c>
      <c r="W29" s="19" t="n">
        <v>0</v>
      </c>
    </row>
    <row r="30" customFormat="false" ht="12.75" hidden="false" customHeight="true" outlineLevel="0" collapsed="false">
      <c r="A30" s="6"/>
      <c r="B30" s="22" t="s">
        <v>128</v>
      </c>
      <c r="C30" s="6"/>
      <c r="D30" s="17"/>
      <c r="E30" s="19" t="n">
        <v>0</v>
      </c>
      <c r="F30" s="17"/>
      <c r="G30" s="19" t="n">
        <f aca="false">0.9-1+0.4</f>
        <v>0.3</v>
      </c>
      <c r="H30" s="17"/>
      <c r="I30" s="19" t="n">
        <v>0</v>
      </c>
      <c r="J30" s="17"/>
      <c r="K30" s="19" t="n">
        <v>0</v>
      </c>
      <c r="L30" s="17"/>
      <c r="M30" s="19" t="n">
        <v>0</v>
      </c>
      <c r="N30" s="17"/>
      <c r="O30" s="19" t="n">
        <v>0</v>
      </c>
      <c r="P30" s="19"/>
      <c r="Q30" s="19" t="n">
        <v>0</v>
      </c>
      <c r="R30" s="11"/>
      <c r="S30" s="19" t="n">
        <v>0</v>
      </c>
      <c r="T30" s="6"/>
      <c r="U30" s="19" t="n">
        <v>0</v>
      </c>
      <c r="W30" s="19" t="n">
        <v>0</v>
      </c>
    </row>
    <row r="31" customFormat="false" ht="12.75" hidden="false" customHeight="true" outlineLevel="0" collapsed="false">
      <c r="A31" s="6"/>
      <c r="B31" s="22" t="s">
        <v>129</v>
      </c>
      <c r="C31" s="6"/>
      <c r="D31" s="17"/>
      <c r="E31" s="19" t="n">
        <v>-7.7</v>
      </c>
      <c r="F31" s="17"/>
      <c r="G31" s="19" t="n">
        <v>0</v>
      </c>
      <c r="H31" s="17"/>
      <c r="I31" s="19" t="n">
        <v>0</v>
      </c>
      <c r="J31" s="17"/>
      <c r="K31" s="19" t="n">
        <v>0</v>
      </c>
      <c r="L31" s="17"/>
      <c r="M31" s="19" t="n">
        <v>0</v>
      </c>
      <c r="N31" s="17"/>
      <c r="O31" s="19" t="n">
        <v>0</v>
      </c>
      <c r="P31" s="19"/>
      <c r="Q31" s="19" t="n">
        <v>0</v>
      </c>
      <c r="R31" s="11"/>
      <c r="S31" s="19" t="n">
        <v>0</v>
      </c>
      <c r="T31" s="6"/>
      <c r="U31" s="19" t="n">
        <v>0</v>
      </c>
      <c r="W31" s="19" t="n">
        <v>0</v>
      </c>
    </row>
    <row r="32" customFormat="false" ht="12.75" hidden="false" customHeight="true" outlineLevel="0" collapsed="false">
      <c r="A32" s="6"/>
      <c r="B32" s="22" t="s">
        <v>130</v>
      </c>
      <c r="C32" s="6"/>
      <c r="D32" s="6"/>
      <c r="E32" s="19" t="n">
        <v>0</v>
      </c>
      <c r="F32" s="6"/>
      <c r="G32" s="19" t="n">
        <v>0</v>
      </c>
      <c r="H32" s="6"/>
      <c r="I32" s="19" t="n">
        <v>0</v>
      </c>
      <c r="J32" s="6"/>
      <c r="K32" s="19" t="n">
        <v>0</v>
      </c>
      <c r="L32" s="6"/>
      <c r="M32" s="19" t="n">
        <v>0</v>
      </c>
      <c r="N32" s="6"/>
      <c r="O32" s="19" t="n">
        <v>0</v>
      </c>
      <c r="P32" s="19"/>
      <c r="Q32" s="18" t="n">
        <f aca="false">-0.8-0.2-0.1</f>
        <v>-1.1</v>
      </c>
      <c r="R32" s="6"/>
      <c r="S32" s="19" t="n">
        <v>0</v>
      </c>
      <c r="T32" s="6"/>
      <c r="U32" s="19" t="n">
        <v>0</v>
      </c>
      <c r="W32" s="19" t="n">
        <v>0</v>
      </c>
    </row>
    <row r="33" customFormat="false" ht="12.75" hidden="false" customHeight="true" outlineLevel="0" collapsed="false">
      <c r="A33" s="6"/>
      <c r="B33" s="22" t="s">
        <v>131</v>
      </c>
      <c r="C33" s="6"/>
      <c r="D33" s="17"/>
      <c r="E33" s="19" t="n">
        <v>0</v>
      </c>
      <c r="F33" s="17"/>
      <c r="G33" s="19" t="n">
        <v>0</v>
      </c>
      <c r="H33" s="17"/>
      <c r="I33" s="19" t="n">
        <v>0</v>
      </c>
      <c r="J33" s="17"/>
      <c r="K33" s="19" t="n">
        <v>0</v>
      </c>
      <c r="L33" s="17"/>
      <c r="M33" s="19" t="n">
        <v>0</v>
      </c>
      <c r="N33" s="17"/>
      <c r="O33" s="19" t="n">
        <v>0</v>
      </c>
      <c r="P33" s="19"/>
      <c r="Q33" s="51" t="n">
        <v>-1.1</v>
      </c>
      <c r="R33" s="35"/>
      <c r="S33" s="19" t="n">
        <v>0</v>
      </c>
      <c r="T33" s="6"/>
      <c r="U33" s="19" t="n">
        <v>0</v>
      </c>
      <c r="W33" s="19" t="n">
        <v>0</v>
      </c>
    </row>
    <row r="34" customFormat="false" ht="12.75" hidden="false" customHeight="true" outlineLevel="0" collapsed="false">
      <c r="A34" s="6"/>
      <c r="B34" s="22" t="s">
        <v>132</v>
      </c>
      <c r="C34" s="6"/>
      <c r="D34" s="17"/>
      <c r="E34" s="19" t="n">
        <v>0</v>
      </c>
      <c r="F34" s="17"/>
      <c r="G34" s="19" t="n">
        <v>0</v>
      </c>
      <c r="H34" s="17"/>
      <c r="I34" s="19" t="n">
        <v>-4.8</v>
      </c>
      <c r="J34" s="17"/>
      <c r="K34" s="19" t="n">
        <v>1.4</v>
      </c>
      <c r="L34" s="17"/>
      <c r="M34" s="19" t="n">
        <v>7</v>
      </c>
      <c r="N34" s="17"/>
      <c r="O34" s="19" t="n">
        <v>2.4</v>
      </c>
      <c r="P34" s="19"/>
      <c r="Q34" s="19" t="n">
        <v>0</v>
      </c>
      <c r="R34" s="35"/>
      <c r="S34" s="19" t="n">
        <v>0</v>
      </c>
      <c r="T34" s="6"/>
      <c r="U34" s="19" t="n">
        <v>0</v>
      </c>
      <c r="W34" s="19" t="n">
        <v>0</v>
      </c>
    </row>
    <row r="35" customFormat="false" ht="12.75" hidden="false" customHeight="true" outlineLevel="0" collapsed="false">
      <c r="A35" s="6"/>
      <c r="B35" s="22" t="s">
        <v>133</v>
      </c>
      <c r="C35" s="6"/>
      <c r="D35" s="17"/>
      <c r="E35" s="19" t="n">
        <v>0</v>
      </c>
      <c r="F35" s="17"/>
      <c r="G35" s="19" t="n">
        <v>0</v>
      </c>
      <c r="H35" s="17"/>
      <c r="I35" s="19" t="n">
        <v>0</v>
      </c>
      <c r="J35" s="17"/>
      <c r="K35" s="19" t="n">
        <v>0</v>
      </c>
      <c r="L35" s="17"/>
      <c r="M35" s="19" t="n">
        <v>1.4</v>
      </c>
      <c r="N35" s="17"/>
      <c r="O35" s="19" t="n">
        <v>5.4</v>
      </c>
      <c r="P35" s="19"/>
      <c r="Q35" s="19" t="n">
        <v>0</v>
      </c>
      <c r="R35" s="35"/>
      <c r="S35" s="19" t="n">
        <v>0</v>
      </c>
      <c r="T35" s="6"/>
      <c r="U35" s="19" t="n">
        <v>0</v>
      </c>
      <c r="W35" s="19" t="n">
        <v>0</v>
      </c>
    </row>
    <row r="36" customFormat="false" ht="12.75" hidden="false" customHeight="true" outlineLevel="0" collapsed="false">
      <c r="A36" s="6"/>
      <c r="B36" s="22" t="s">
        <v>134</v>
      </c>
      <c r="C36" s="6"/>
      <c r="D36" s="17"/>
      <c r="E36" s="19" t="n">
        <v>11.7</v>
      </c>
      <c r="F36" s="17"/>
      <c r="G36" s="19" t="n">
        <v>0</v>
      </c>
      <c r="H36" s="17"/>
      <c r="I36" s="19" t="n">
        <v>0</v>
      </c>
      <c r="J36" s="17"/>
      <c r="K36" s="19" t="n">
        <v>0</v>
      </c>
      <c r="L36" s="17"/>
      <c r="M36" s="19" t="n">
        <v>0</v>
      </c>
      <c r="N36" s="17"/>
      <c r="O36" s="19" t="n">
        <v>0</v>
      </c>
      <c r="P36" s="19"/>
      <c r="Q36" s="19" t="n">
        <v>0</v>
      </c>
      <c r="R36" s="35"/>
      <c r="S36" s="19" t="n">
        <v>0</v>
      </c>
      <c r="T36" s="6"/>
      <c r="U36" s="19" t="n">
        <v>0</v>
      </c>
      <c r="W36" s="19" t="n">
        <v>0</v>
      </c>
    </row>
    <row r="37" customFormat="false" ht="12.75" hidden="false" customHeight="true" outlineLevel="0" collapsed="false">
      <c r="A37" s="6"/>
      <c r="B37" s="22" t="s">
        <v>135</v>
      </c>
      <c r="C37" s="6"/>
      <c r="D37" s="17"/>
      <c r="E37" s="19" t="n">
        <v>0</v>
      </c>
      <c r="F37" s="17"/>
      <c r="G37" s="19" t="n">
        <v>0</v>
      </c>
      <c r="H37" s="17"/>
      <c r="I37" s="19" t="n">
        <v>0</v>
      </c>
      <c r="J37" s="17"/>
      <c r="K37" s="19" t="n">
        <v>0</v>
      </c>
      <c r="L37" s="17"/>
      <c r="M37" s="19" t="n">
        <v>0</v>
      </c>
      <c r="N37" s="17"/>
      <c r="O37" s="19" t="n">
        <v>0</v>
      </c>
      <c r="P37" s="19"/>
      <c r="Q37" s="51" t="n">
        <v>-0.3</v>
      </c>
      <c r="R37" s="35"/>
      <c r="S37" s="19" t="n">
        <v>0</v>
      </c>
      <c r="T37" s="6"/>
      <c r="U37" s="19" t="n">
        <v>0</v>
      </c>
      <c r="W37" s="19" t="n">
        <v>0</v>
      </c>
    </row>
    <row r="38" customFormat="false" ht="12.75" hidden="false" customHeight="true" outlineLevel="0" collapsed="false">
      <c r="A38" s="6"/>
      <c r="B38" s="52" t="s">
        <v>136</v>
      </c>
      <c r="C38" s="6"/>
      <c r="D38" s="17"/>
      <c r="E38" s="19" t="n">
        <v>0</v>
      </c>
      <c r="F38" s="17"/>
      <c r="G38" s="19" t="n">
        <v>0</v>
      </c>
      <c r="H38" s="17"/>
      <c r="I38" s="19" t="n">
        <v>0</v>
      </c>
      <c r="J38" s="17"/>
      <c r="K38" s="19" t="n">
        <v>0</v>
      </c>
      <c r="L38" s="17"/>
      <c r="M38" s="19" t="n">
        <f aca="false">-0.4+0.7</f>
        <v>0.3</v>
      </c>
      <c r="N38" s="17"/>
      <c r="O38" s="19" t="n">
        <v>0</v>
      </c>
      <c r="P38" s="19"/>
      <c r="Q38" s="19" t="n">
        <v>0</v>
      </c>
      <c r="R38" s="35"/>
      <c r="S38" s="19" t="n">
        <v>0</v>
      </c>
      <c r="T38" s="6"/>
      <c r="U38" s="19" t="n">
        <v>0</v>
      </c>
      <c r="W38" s="19" t="n">
        <v>0</v>
      </c>
    </row>
    <row r="39" customFormat="false" ht="12.75" hidden="false" customHeight="true" outlineLevel="0" collapsed="false">
      <c r="A39" s="6"/>
      <c r="B39" s="22" t="s">
        <v>137</v>
      </c>
      <c r="C39" s="6"/>
      <c r="D39" s="17"/>
      <c r="E39" s="19" t="n">
        <v>0</v>
      </c>
      <c r="F39" s="17"/>
      <c r="G39" s="19" t="n">
        <v>0</v>
      </c>
      <c r="H39" s="17"/>
      <c r="I39" s="19" t="n">
        <v>0</v>
      </c>
      <c r="J39" s="17"/>
      <c r="K39" s="19" t="n">
        <v>0</v>
      </c>
      <c r="L39" s="17"/>
      <c r="M39" s="19" t="n">
        <v>0</v>
      </c>
      <c r="N39" s="17"/>
      <c r="O39" s="19" t="n">
        <v>0</v>
      </c>
      <c r="P39" s="19"/>
      <c r="Q39" s="19" t="n">
        <v>1.2</v>
      </c>
      <c r="R39" s="35"/>
      <c r="S39" s="19" t="n">
        <v>0</v>
      </c>
      <c r="T39" s="6"/>
      <c r="U39" s="19" t="n">
        <v>0</v>
      </c>
      <c r="W39" s="19" t="n">
        <v>0</v>
      </c>
    </row>
    <row r="40" customFormat="false" ht="12.75" hidden="false" customHeight="true" outlineLevel="0" collapsed="false">
      <c r="A40" s="6"/>
      <c r="B40" s="22" t="s">
        <v>138</v>
      </c>
      <c r="C40" s="6"/>
      <c r="D40" s="17"/>
      <c r="E40" s="19" t="n">
        <v>0</v>
      </c>
      <c r="F40" s="17"/>
      <c r="G40" s="19" t="n">
        <v>0</v>
      </c>
      <c r="H40" s="17"/>
      <c r="I40" s="19" t="n">
        <v>0</v>
      </c>
      <c r="J40" s="17"/>
      <c r="K40" s="19" t="n">
        <v>0</v>
      </c>
      <c r="L40" s="17"/>
      <c r="M40" s="19" t="n">
        <v>0</v>
      </c>
      <c r="N40" s="17"/>
      <c r="O40" s="19" t="n">
        <v>1.1</v>
      </c>
      <c r="P40" s="19"/>
      <c r="Q40" s="19" t="n">
        <v>0</v>
      </c>
      <c r="R40" s="35"/>
      <c r="S40" s="19" t="n">
        <v>0</v>
      </c>
      <c r="T40" s="6"/>
      <c r="U40" s="19" t="n">
        <v>0</v>
      </c>
      <c r="W40" s="19" t="n">
        <v>0</v>
      </c>
    </row>
    <row r="41" customFormat="false" ht="12.75" hidden="false" customHeight="true" outlineLevel="0" collapsed="false">
      <c r="A41" s="6"/>
      <c r="B41" s="22" t="s">
        <v>139</v>
      </c>
      <c r="C41" s="6"/>
      <c r="D41" s="17"/>
      <c r="E41" s="19" t="n">
        <v>0</v>
      </c>
      <c r="F41" s="17"/>
      <c r="G41" s="19" t="n">
        <v>0</v>
      </c>
      <c r="H41" s="17"/>
      <c r="I41" s="19" t="n">
        <v>-0.7</v>
      </c>
      <c r="J41" s="17"/>
      <c r="K41" s="19" t="n">
        <v>0</v>
      </c>
      <c r="L41" s="17"/>
      <c r="M41" s="19" t="n">
        <v>0</v>
      </c>
      <c r="N41" s="17"/>
      <c r="O41" s="19" t="n">
        <v>0</v>
      </c>
      <c r="P41" s="19"/>
      <c r="Q41" s="19" t="n">
        <v>0</v>
      </c>
      <c r="R41" s="35"/>
      <c r="S41" s="19" t="n">
        <v>0</v>
      </c>
      <c r="T41" s="6"/>
      <c r="U41" s="19" t="n">
        <v>0</v>
      </c>
      <c r="W41" s="19" t="n">
        <v>0</v>
      </c>
    </row>
    <row r="42" customFormat="false" ht="12.75" hidden="false" customHeight="true" outlineLevel="0" collapsed="false">
      <c r="A42" s="6"/>
      <c r="B42" s="22" t="s">
        <v>140</v>
      </c>
      <c r="C42" s="6"/>
      <c r="D42" s="17"/>
      <c r="E42" s="19" t="n">
        <v>0</v>
      </c>
      <c r="F42" s="17"/>
      <c r="G42" s="18" t="n">
        <f aca="false">-2-0.6</f>
        <v>-2.6</v>
      </c>
      <c r="H42" s="17"/>
      <c r="I42" s="19" t="n">
        <v>0</v>
      </c>
      <c r="J42" s="17"/>
      <c r="K42" s="19" t="n">
        <v>0</v>
      </c>
      <c r="L42" s="17"/>
      <c r="M42" s="19" t="n">
        <v>0</v>
      </c>
      <c r="N42" s="17"/>
      <c r="O42" s="19" t="n">
        <v>0</v>
      </c>
      <c r="P42" s="19"/>
      <c r="Q42" s="19" t="n">
        <v>0</v>
      </c>
      <c r="R42" s="35"/>
      <c r="S42" s="19" t="n">
        <v>0</v>
      </c>
      <c r="T42" s="6"/>
      <c r="U42" s="19" t="n">
        <v>0</v>
      </c>
      <c r="W42" s="19" t="n">
        <v>0</v>
      </c>
    </row>
    <row r="43" customFormat="false" ht="12.75" hidden="false" customHeight="true" outlineLevel="0" collapsed="false">
      <c r="A43" s="6"/>
      <c r="B43" s="22" t="s">
        <v>141</v>
      </c>
      <c r="C43" s="6"/>
      <c r="D43" s="17"/>
      <c r="E43" s="19" t="n">
        <v>0</v>
      </c>
      <c r="F43" s="17"/>
      <c r="G43" s="19" t="n">
        <v>0</v>
      </c>
      <c r="H43" s="17"/>
      <c r="I43" s="19" t="n">
        <v>0.7</v>
      </c>
      <c r="J43" s="17"/>
      <c r="K43" s="19" t="n">
        <v>0</v>
      </c>
      <c r="L43" s="17"/>
      <c r="M43" s="19" t="n">
        <v>0</v>
      </c>
      <c r="N43" s="17"/>
      <c r="O43" s="19" t="n">
        <v>0</v>
      </c>
      <c r="P43" s="19"/>
      <c r="Q43" s="19" t="n">
        <v>0</v>
      </c>
      <c r="R43" s="35"/>
      <c r="S43" s="19" t="n">
        <v>0</v>
      </c>
      <c r="T43" s="6"/>
      <c r="U43" s="19" t="n">
        <v>0</v>
      </c>
      <c r="W43" s="19" t="n">
        <v>0</v>
      </c>
    </row>
    <row r="44" customFormat="false" ht="12.75" hidden="false" customHeight="true" outlineLevel="0" collapsed="false">
      <c r="A44" s="6"/>
      <c r="B44" s="22" t="s">
        <v>142</v>
      </c>
      <c r="C44" s="6"/>
      <c r="D44" s="17"/>
      <c r="E44" s="19" t="n">
        <v>0</v>
      </c>
      <c r="F44" s="17"/>
      <c r="G44" s="19" t="n">
        <v>1.4</v>
      </c>
      <c r="H44" s="17"/>
      <c r="I44" s="19" t="n">
        <v>0</v>
      </c>
      <c r="J44" s="17"/>
      <c r="K44" s="19" t="n">
        <v>0</v>
      </c>
      <c r="L44" s="17"/>
      <c r="M44" s="19" t="n">
        <f aca="false">-1.5+0.9-2.2+1.3</f>
        <v>-1.5</v>
      </c>
      <c r="N44" s="17"/>
      <c r="O44" s="19" t="n">
        <v>0</v>
      </c>
      <c r="P44" s="19"/>
      <c r="Q44" s="19" t="n">
        <v>0</v>
      </c>
      <c r="R44" s="35"/>
      <c r="S44" s="19" t="n">
        <v>0</v>
      </c>
      <c r="T44" s="6"/>
      <c r="U44" s="19" t="n">
        <v>0</v>
      </c>
      <c r="W44" s="19" t="n">
        <v>0</v>
      </c>
    </row>
    <row r="45" customFormat="false" ht="12.75" hidden="false" customHeight="true" outlineLevel="0" collapsed="false">
      <c r="A45" s="6"/>
      <c r="B45" s="22" t="s">
        <v>143</v>
      </c>
      <c r="C45" s="6"/>
      <c r="D45" s="17"/>
      <c r="E45" s="19" t="n">
        <v>0</v>
      </c>
      <c r="F45" s="17"/>
      <c r="G45" s="19" t="n">
        <v>0</v>
      </c>
      <c r="H45" s="17"/>
      <c r="I45" s="19" t="n">
        <v>0</v>
      </c>
      <c r="J45" s="17"/>
      <c r="K45" s="19" t="n">
        <v>0</v>
      </c>
      <c r="L45" s="17"/>
      <c r="M45" s="19" t="n">
        <v>0</v>
      </c>
      <c r="N45" s="17"/>
      <c r="O45" s="19" t="n">
        <v>0</v>
      </c>
      <c r="P45" s="19"/>
      <c r="Q45" s="19" t="n">
        <v>0.8</v>
      </c>
      <c r="R45" s="35"/>
      <c r="S45" s="19" t="n">
        <v>0</v>
      </c>
      <c r="T45" s="6"/>
      <c r="U45" s="19" t="n">
        <v>0</v>
      </c>
      <c r="W45" s="19" t="n">
        <v>0</v>
      </c>
    </row>
    <row r="46" customFormat="false" ht="12.75" hidden="false" customHeight="true" outlineLevel="0" collapsed="false">
      <c r="A46" s="6"/>
      <c r="B46" s="22"/>
      <c r="C46" s="22" t="s">
        <v>144</v>
      </c>
      <c r="D46" s="17"/>
      <c r="E46" s="19" t="n">
        <v>0</v>
      </c>
      <c r="F46" s="17"/>
      <c r="G46" s="19" t="n">
        <v>0</v>
      </c>
      <c r="H46" s="17"/>
      <c r="I46" s="19" t="n">
        <v>0</v>
      </c>
      <c r="J46" s="17"/>
      <c r="K46" s="19" t="n">
        <v>0</v>
      </c>
      <c r="L46" s="17"/>
      <c r="M46" s="19" t="n">
        <v>0</v>
      </c>
      <c r="N46" s="17"/>
      <c r="O46" s="19" t="n">
        <v>0</v>
      </c>
      <c r="P46" s="19"/>
      <c r="Q46" s="19" t="n">
        <v>-0.4</v>
      </c>
      <c r="R46" s="35"/>
      <c r="S46" s="19" t="n">
        <v>0</v>
      </c>
      <c r="T46" s="6"/>
      <c r="U46" s="19" t="n">
        <v>0</v>
      </c>
      <c r="W46" s="19" t="n">
        <v>0</v>
      </c>
    </row>
    <row r="47" customFormat="false" ht="12.75" hidden="false" customHeight="true" outlineLevel="0" collapsed="false">
      <c r="A47" s="6"/>
      <c r="B47" s="22" t="s">
        <v>145</v>
      </c>
      <c r="C47" s="6"/>
      <c r="D47" s="17"/>
      <c r="E47" s="19" t="n">
        <v>0</v>
      </c>
      <c r="F47" s="17"/>
      <c r="G47" s="19" t="n">
        <v>3.1</v>
      </c>
      <c r="H47" s="17"/>
      <c r="I47" s="19" t="n">
        <v>-0.7</v>
      </c>
      <c r="J47" s="17"/>
      <c r="K47" s="19" t="n">
        <v>-0.6</v>
      </c>
      <c r="L47" s="17"/>
      <c r="M47" s="19" t="n">
        <v>0.6</v>
      </c>
      <c r="N47" s="17"/>
      <c r="O47" s="18" t="n">
        <f aca="false">0.4+1</f>
        <v>1.4</v>
      </c>
      <c r="P47" s="19"/>
      <c r="Q47" s="19" t="n">
        <v>1.7</v>
      </c>
      <c r="R47" s="35"/>
      <c r="S47" s="19" t="n">
        <v>0</v>
      </c>
      <c r="T47" s="6"/>
      <c r="U47" s="19" t="n">
        <v>0</v>
      </c>
      <c r="W47" s="19" t="n">
        <v>0</v>
      </c>
    </row>
    <row r="48" customFormat="false" ht="12.75" hidden="false" customHeight="true" outlineLevel="0" collapsed="false">
      <c r="A48" s="6"/>
      <c r="B48" s="22" t="s">
        <v>146</v>
      </c>
      <c r="C48" s="6"/>
      <c r="D48" s="17"/>
      <c r="E48" s="19" t="n">
        <v>0</v>
      </c>
      <c r="F48" s="17"/>
      <c r="G48" s="19" t="n">
        <v>0</v>
      </c>
      <c r="H48" s="17"/>
      <c r="I48" s="19" t="n">
        <v>0</v>
      </c>
      <c r="J48" s="17"/>
      <c r="K48" s="19" t="n">
        <v>1.6</v>
      </c>
      <c r="L48" s="17"/>
      <c r="M48" s="19" t="n">
        <v>0.8</v>
      </c>
      <c r="N48" s="17"/>
      <c r="O48" s="19" t="n">
        <v>0</v>
      </c>
      <c r="P48" s="19"/>
      <c r="Q48" s="19" t="n">
        <v>0</v>
      </c>
      <c r="R48" s="35"/>
      <c r="S48" s="19" t="n">
        <v>0</v>
      </c>
      <c r="T48" s="6"/>
      <c r="U48" s="19" t="n">
        <v>0</v>
      </c>
      <c r="W48" s="19" t="n">
        <v>0</v>
      </c>
    </row>
    <row r="49" customFormat="false" ht="12.75" hidden="false" customHeight="true" outlineLevel="0" collapsed="false">
      <c r="A49" s="6"/>
      <c r="B49" s="22" t="s">
        <v>147</v>
      </c>
      <c r="C49" s="6"/>
      <c r="D49" s="17"/>
      <c r="E49" s="19" t="n">
        <v>0</v>
      </c>
      <c r="F49" s="17"/>
      <c r="G49" s="19" t="n">
        <v>0</v>
      </c>
      <c r="H49" s="17"/>
      <c r="I49" s="19" t="n">
        <v>0</v>
      </c>
      <c r="J49" s="17"/>
      <c r="K49" s="19" t="n">
        <v>0</v>
      </c>
      <c r="L49" s="17"/>
      <c r="M49" s="19" t="n">
        <v>0</v>
      </c>
      <c r="N49" s="17"/>
      <c r="O49" s="19" t="n">
        <v>0</v>
      </c>
      <c r="P49" s="19"/>
      <c r="Q49" s="51" t="n">
        <v>-0.3</v>
      </c>
      <c r="R49" s="35"/>
      <c r="S49" s="19" t="n">
        <v>0</v>
      </c>
      <c r="T49" s="6"/>
      <c r="U49" s="19" t="n">
        <v>0</v>
      </c>
      <c r="W49" s="19" t="n">
        <v>0</v>
      </c>
    </row>
    <row r="50" customFormat="false" ht="12.75" hidden="false" customHeight="true" outlineLevel="0" collapsed="false">
      <c r="A50" s="6"/>
      <c r="B50" s="22" t="s">
        <v>148</v>
      </c>
      <c r="C50" s="6"/>
      <c r="D50" s="17"/>
      <c r="E50" s="19" t="n">
        <v>0</v>
      </c>
      <c r="F50" s="17"/>
      <c r="G50" s="19" t="n">
        <v>0</v>
      </c>
      <c r="H50" s="17"/>
      <c r="I50" s="19" t="n">
        <v>2</v>
      </c>
      <c r="J50" s="17"/>
      <c r="K50" s="19" t="n">
        <v>0</v>
      </c>
      <c r="L50" s="17"/>
      <c r="M50" s="19" t="n">
        <v>2</v>
      </c>
      <c r="N50" s="17"/>
      <c r="O50" s="19" t="n">
        <v>0</v>
      </c>
      <c r="P50" s="19"/>
      <c r="Q50" s="19" t="n">
        <v>0</v>
      </c>
      <c r="R50" s="35"/>
      <c r="S50" s="19" t="n">
        <v>0</v>
      </c>
      <c r="T50" s="6"/>
      <c r="U50" s="19" t="n">
        <v>0</v>
      </c>
      <c r="W50" s="19" t="n">
        <v>0</v>
      </c>
    </row>
    <row r="51" customFormat="false" ht="12.75" hidden="false" customHeight="true" outlineLevel="0" collapsed="false">
      <c r="A51" s="6"/>
      <c r="B51" s="53" t="s">
        <v>149</v>
      </c>
      <c r="E51" s="19" t="n">
        <v>0</v>
      </c>
      <c r="F51" s="17"/>
      <c r="G51" s="19" t="n">
        <v>0</v>
      </c>
      <c r="H51" s="17"/>
      <c r="I51" s="19" t="n">
        <v>-0.7</v>
      </c>
      <c r="J51" s="17"/>
      <c r="K51" s="19" t="n">
        <v>0</v>
      </c>
      <c r="L51" s="17"/>
      <c r="M51" s="19" t="n">
        <v>0</v>
      </c>
      <c r="N51" s="17"/>
      <c r="O51" s="19" t="n">
        <v>0</v>
      </c>
      <c r="P51" s="19"/>
      <c r="Q51" s="19" t="n">
        <v>0</v>
      </c>
      <c r="R51" s="35"/>
      <c r="S51" s="19" t="n">
        <v>0</v>
      </c>
      <c r="T51" s="6"/>
      <c r="U51" s="19" t="n">
        <v>0</v>
      </c>
      <c r="W51" s="19" t="n">
        <v>0</v>
      </c>
    </row>
    <row r="52" customFormat="false" ht="12.75" hidden="false" customHeight="true" outlineLevel="0" collapsed="false">
      <c r="A52" s="6"/>
      <c r="B52" s="22" t="s">
        <v>150</v>
      </c>
      <c r="C52" s="6"/>
      <c r="D52" s="17"/>
      <c r="E52" s="19" t="n">
        <v>0</v>
      </c>
      <c r="F52" s="17"/>
      <c r="G52" s="19" t="n">
        <v>0</v>
      </c>
      <c r="H52" s="17"/>
      <c r="I52" s="19" t="n">
        <v>0</v>
      </c>
      <c r="J52" s="17"/>
      <c r="K52" s="19" t="n">
        <v>-0.2</v>
      </c>
      <c r="L52" s="17"/>
      <c r="M52" s="19" t="n">
        <v>0</v>
      </c>
      <c r="N52" s="17"/>
      <c r="O52" s="19" t="n">
        <v>0</v>
      </c>
      <c r="P52" s="19"/>
      <c r="Q52" s="19" t="n">
        <v>0</v>
      </c>
      <c r="R52" s="35"/>
      <c r="S52" s="19" t="n">
        <v>0</v>
      </c>
      <c r="T52" s="6"/>
      <c r="U52" s="19" t="n">
        <v>0</v>
      </c>
      <c r="W52" s="19" t="n">
        <v>0</v>
      </c>
    </row>
    <row r="53" customFormat="false" ht="12.75" hidden="false" customHeight="true" outlineLevel="0" collapsed="false">
      <c r="A53" s="6"/>
      <c r="B53" s="22" t="s">
        <v>151</v>
      </c>
      <c r="C53" s="6"/>
      <c r="D53" s="17"/>
      <c r="E53" s="19" t="n">
        <v>0</v>
      </c>
      <c r="F53" s="17"/>
      <c r="G53" s="19" t="n">
        <v>0</v>
      </c>
      <c r="H53" s="17"/>
      <c r="I53" s="18" t="n">
        <f aca="false">5.7+0.9</f>
        <v>6.6</v>
      </c>
      <c r="J53" s="17"/>
      <c r="K53" s="19" t="n">
        <v>0</v>
      </c>
      <c r="L53" s="17"/>
      <c r="M53" s="19" t="n">
        <v>0</v>
      </c>
      <c r="N53" s="17"/>
      <c r="O53" s="19" t="n">
        <v>0</v>
      </c>
      <c r="P53" s="19"/>
      <c r="Q53" s="19" t="n">
        <v>0</v>
      </c>
      <c r="R53" s="35"/>
      <c r="S53" s="19" t="n">
        <v>0</v>
      </c>
      <c r="T53" s="6"/>
      <c r="U53" s="19" t="n">
        <v>0</v>
      </c>
      <c r="W53" s="19" t="n">
        <v>0</v>
      </c>
    </row>
    <row r="54" customFormat="false" ht="12.75" hidden="false" customHeight="true" outlineLevel="0" collapsed="false">
      <c r="A54" s="6"/>
      <c r="B54" s="22" t="s">
        <v>152</v>
      </c>
      <c r="C54" s="6"/>
      <c r="D54" s="17"/>
      <c r="E54" s="19" t="n">
        <v>0</v>
      </c>
      <c r="F54" s="17"/>
      <c r="G54" s="19" t="n">
        <v>0</v>
      </c>
      <c r="H54" s="17"/>
      <c r="I54" s="19" t="n">
        <v>0</v>
      </c>
      <c r="J54" s="17"/>
      <c r="K54" s="19" t="n">
        <v>0</v>
      </c>
      <c r="L54" s="17"/>
      <c r="M54" s="19" t="n">
        <v>0</v>
      </c>
      <c r="N54" s="17"/>
      <c r="O54" s="19" t="n">
        <v>0</v>
      </c>
      <c r="P54" s="19"/>
      <c r="Q54" s="19" t="n">
        <v>-0.3</v>
      </c>
      <c r="R54" s="35"/>
      <c r="S54" s="19" t="n">
        <v>0</v>
      </c>
      <c r="T54" s="6"/>
      <c r="U54" s="19" t="n">
        <v>0</v>
      </c>
      <c r="W54" s="19" t="n">
        <v>0</v>
      </c>
    </row>
    <row r="55" customFormat="false" ht="12.75" hidden="false" customHeight="true" outlineLevel="0" collapsed="false">
      <c r="A55" s="6"/>
      <c r="B55" s="22" t="s">
        <v>153</v>
      </c>
      <c r="C55" s="6"/>
      <c r="D55" s="17"/>
      <c r="E55" s="19" t="n">
        <v>0</v>
      </c>
      <c r="F55" s="17"/>
      <c r="G55" s="19" t="n">
        <v>0</v>
      </c>
      <c r="H55" s="17"/>
      <c r="I55" s="19" t="n">
        <v>0</v>
      </c>
      <c r="J55" s="17"/>
      <c r="K55" s="19" t="n">
        <v>0</v>
      </c>
      <c r="L55" s="17"/>
      <c r="M55" s="19" t="n">
        <v>0</v>
      </c>
      <c r="N55" s="17"/>
      <c r="O55" s="19" t="n">
        <v>1.2</v>
      </c>
      <c r="P55" s="19"/>
      <c r="Q55" s="19" t="n">
        <v>0</v>
      </c>
      <c r="R55" s="35"/>
      <c r="S55" s="19" t="n">
        <v>0</v>
      </c>
      <c r="T55" s="6"/>
      <c r="U55" s="19" t="n">
        <v>0</v>
      </c>
      <c r="W55" s="19" t="n">
        <v>0</v>
      </c>
    </row>
    <row r="56" customFormat="false" ht="12.75" hidden="false" customHeight="true" outlineLevel="0" collapsed="false">
      <c r="A56" s="6"/>
      <c r="B56" s="22" t="s">
        <v>154</v>
      </c>
      <c r="C56" s="6"/>
      <c r="D56" s="17"/>
      <c r="E56" s="19" t="n">
        <v>0</v>
      </c>
      <c r="F56" s="17"/>
      <c r="G56" s="19" t="n">
        <v>0</v>
      </c>
      <c r="H56" s="17"/>
      <c r="I56" s="19" t="n">
        <v>0</v>
      </c>
      <c r="J56" s="17"/>
      <c r="K56" s="19" t="n">
        <v>0</v>
      </c>
      <c r="L56" s="17"/>
      <c r="M56" s="19" t="n">
        <v>0</v>
      </c>
      <c r="N56" s="17"/>
      <c r="O56" s="19" t="n">
        <v>2</v>
      </c>
      <c r="P56" s="19"/>
      <c r="Q56" s="19" t="n">
        <v>0</v>
      </c>
      <c r="R56" s="35"/>
      <c r="S56" s="19" t="n">
        <v>0</v>
      </c>
      <c r="T56" s="6"/>
      <c r="U56" s="19" t="n">
        <v>0</v>
      </c>
      <c r="W56" s="19" t="n">
        <v>0</v>
      </c>
    </row>
    <row r="57" customFormat="false" ht="12.75" hidden="false" customHeight="true" outlineLevel="0" collapsed="false">
      <c r="A57" s="6"/>
      <c r="B57" s="22" t="s">
        <v>155</v>
      </c>
      <c r="C57" s="6"/>
      <c r="D57" s="17"/>
      <c r="E57" s="19" t="n">
        <v>0</v>
      </c>
      <c r="F57" s="17"/>
      <c r="G57" s="19" t="n">
        <v>0</v>
      </c>
      <c r="H57" s="17"/>
      <c r="I57" s="19" t="n">
        <v>0</v>
      </c>
      <c r="J57" s="17"/>
      <c r="K57" s="19" t="n">
        <v>0</v>
      </c>
      <c r="L57" s="17"/>
      <c r="M57" s="19" t="n">
        <v>0</v>
      </c>
      <c r="N57" s="17"/>
      <c r="O57" s="19" t="n">
        <v>2.5</v>
      </c>
      <c r="P57" s="19"/>
      <c r="Q57" s="19" t="n">
        <v>0</v>
      </c>
      <c r="R57" s="35"/>
      <c r="S57" s="19" t="n">
        <v>0</v>
      </c>
      <c r="T57" s="6"/>
      <c r="U57" s="19" t="n">
        <v>0</v>
      </c>
      <c r="W57" s="19" t="n">
        <v>0</v>
      </c>
    </row>
    <row r="58" customFormat="false" ht="12.75" hidden="false" customHeight="true" outlineLevel="0" collapsed="false">
      <c r="A58" s="6"/>
      <c r="B58" s="22" t="s">
        <v>156</v>
      </c>
      <c r="C58" s="6"/>
      <c r="D58" s="17"/>
      <c r="E58" s="19" t="n">
        <v>0</v>
      </c>
      <c r="F58" s="17"/>
      <c r="G58" s="19" t="n">
        <v>0</v>
      </c>
      <c r="H58" s="17"/>
      <c r="I58" s="19" t="n">
        <v>-3.5</v>
      </c>
      <c r="J58" s="17"/>
      <c r="K58" s="19" t="n">
        <v>0</v>
      </c>
      <c r="L58" s="17"/>
      <c r="M58" s="19" t="n">
        <v>0</v>
      </c>
      <c r="N58" s="17"/>
      <c r="O58" s="19" t="n">
        <v>0</v>
      </c>
      <c r="P58" s="19"/>
      <c r="Q58" s="19" t="n">
        <v>0</v>
      </c>
      <c r="R58" s="35"/>
      <c r="S58" s="19" t="n">
        <v>0</v>
      </c>
      <c r="T58" s="6"/>
      <c r="U58" s="19" t="n">
        <v>0</v>
      </c>
      <c r="W58" s="19" t="n">
        <v>0</v>
      </c>
    </row>
    <row r="59" customFormat="false" ht="12.75" hidden="false" customHeight="true" outlineLevel="0" collapsed="false">
      <c r="A59" s="6"/>
      <c r="B59" s="22" t="s">
        <v>157</v>
      </c>
      <c r="C59" s="6"/>
      <c r="D59" s="17"/>
      <c r="E59" s="19" t="n">
        <v>0</v>
      </c>
      <c r="F59" s="17"/>
      <c r="G59" s="19" t="n">
        <v>0</v>
      </c>
      <c r="H59" s="17"/>
      <c r="I59" s="19" t="n">
        <v>1.8</v>
      </c>
      <c r="J59" s="17"/>
      <c r="K59" s="19" t="n">
        <v>0</v>
      </c>
      <c r="L59" s="17"/>
      <c r="M59" s="19" t="n">
        <v>0</v>
      </c>
      <c r="N59" s="17"/>
      <c r="O59" s="19" t="n">
        <v>0</v>
      </c>
      <c r="P59" s="19"/>
      <c r="Q59" s="19" t="n">
        <v>0</v>
      </c>
      <c r="R59" s="35"/>
      <c r="S59" s="19" t="n">
        <v>0</v>
      </c>
      <c r="T59" s="6"/>
      <c r="U59" s="19" t="n">
        <v>0</v>
      </c>
      <c r="W59" s="19" t="n">
        <v>0</v>
      </c>
    </row>
    <row r="60" customFormat="false" ht="12.75" hidden="false" customHeight="true" outlineLevel="0" collapsed="false">
      <c r="A60" s="6"/>
      <c r="B60" s="22" t="s">
        <v>158</v>
      </c>
      <c r="C60" s="6"/>
      <c r="D60" s="17"/>
      <c r="E60" s="19" t="n">
        <v>0</v>
      </c>
      <c r="F60" s="17"/>
      <c r="G60" s="19" t="n">
        <v>0</v>
      </c>
      <c r="H60" s="17"/>
      <c r="I60" s="19" t="n">
        <v>0</v>
      </c>
      <c r="J60" s="17"/>
      <c r="K60" s="19" t="n">
        <v>0</v>
      </c>
      <c r="L60" s="17"/>
      <c r="M60" s="19" t="n">
        <v>0</v>
      </c>
      <c r="N60" s="17"/>
      <c r="O60" s="19" t="n">
        <v>0</v>
      </c>
      <c r="P60" s="19"/>
      <c r="Q60" s="19" t="n">
        <v>0</v>
      </c>
      <c r="R60" s="11"/>
      <c r="S60" s="19" t="n">
        <v>2</v>
      </c>
      <c r="T60" s="6"/>
      <c r="U60" s="19" t="n">
        <v>2</v>
      </c>
      <c r="W60" s="19" t="n">
        <v>2</v>
      </c>
    </row>
    <row r="61" customFormat="false" ht="12.75" hidden="false" customHeight="true" outlineLevel="0" collapsed="false">
      <c r="A61" s="6"/>
      <c r="B61" s="22" t="s">
        <v>159</v>
      </c>
      <c r="C61" s="6"/>
      <c r="D61" s="6"/>
      <c r="E61" s="19" t="n">
        <v>0</v>
      </c>
      <c r="F61" s="6"/>
      <c r="G61" s="19" t="n">
        <v>0</v>
      </c>
      <c r="H61" s="6"/>
      <c r="I61" s="19" t="n">
        <v>0</v>
      </c>
      <c r="J61" s="6"/>
      <c r="K61" s="19" t="n">
        <v>0</v>
      </c>
      <c r="L61" s="6"/>
      <c r="M61" s="19" t="n">
        <v>0</v>
      </c>
      <c r="N61" s="6"/>
      <c r="O61" s="19" t="n">
        <v>0</v>
      </c>
      <c r="P61" s="19"/>
      <c r="Q61" s="19" t="n">
        <v>9</v>
      </c>
      <c r="R61" s="6"/>
      <c r="S61" s="19" t="n">
        <v>0</v>
      </c>
      <c r="T61" s="6"/>
      <c r="U61" s="19" t="n">
        <v>0</v>
      </c>
      <c r="W61" s="19" t="n">
        <v>0</v>
      </c>
    </row>
    <row r="62" customFormat="false" ht="12.75" hidden="false" customHeight="true" outlineLevel="0" collapsed="false">
      <c r="A62" s="6"/>
      <c r="B62" s="22" t="s">
        <v>160</v>
      </c>
      <c r="C62" s="6"/>
      <c r="D62" s="6"/>
      <c r="E62" s="19" t="n">
        <v>0</v>
      </c>
      <c r="F62" s="6"/>
      <c r="G62" s="19" t="n">
        <v>1.4</v>
      </c>
      <c r="H62" s="6"/>
      <c r="I62" s="19" t="n">
        <v>0</v>
      </c>
      <c r="J62" s="6"/>
      <c r="K62" s="19" t="n">
        <v>0</v>
      </c>
      <c r="L62" s="6"/>
      <c r="M62" s="19" t="n">
        <v>0</v>
      </c>
      <c r="N62" s="6"/>
      <c r="O62" s="19" t="n">
        <v>0</v>
      </c>
      <c r="P62" s="19"/>
      <c r="Q62" s="19" t="n">
        <v>0</v>
      </c>
      <c r="R62" s="6"/>
      <c r="S62" s="19" t="n">
        <v>0</v>
      </c>
      <c r="T62" s="6"/>
      <c r="U62" s="19" t="n">
        <v>0</v>
      </c>
      <c r="W62" s="19" t="n">
        <v>0</v>
      </c>
    </row>
    <row r="63" customFormat="false" ht="12.75" hidden="false" customHeight="true" outlineLevel="0" collapsed="false">
      <c r="A63" s="6"/>
      <c r="B63" s="22" t="s">
        <v>161</v>
      </c>
      <c r="C63" s="6"/>
      <c r="D63" s="17"/>
      <c r="E63" s="19" t="n">
        <v>0</v>
      </c>
      <c r="F63" s="17"/>
      <c r="G63" s="19" t="n">
        <v>0</v>
      </c>
      <c r="H63" s="17"/>
      <c r="I63" s="19" t="n">
        <v>0</v>
      </c>
      <c r="J63" s="17"/>
      <c r="K63" s="19" t="n">
        <v>0</v>
      </c>
      <c r="L63" s="17"/>
      <c r="M63" s="19" t="n">
        <v>0</v>
      </c>
      <c r="N63" s="17"/>
      <c r="O63" s="19" t="n">
        <v>0</v>
      </c>
      <c r="P63" s="19"/>
      <c r="Q63" s="19" t="n">
        <v>-0.6</v>
      </c>
      <c r="R63" s="11"/>
      <c r="S63" s="19" t="n">
        <v>0</v>
      </c>
      <c r="T63" s="6"/>
      <c r="U63" s="19" t="n">
        <v>0</v>
      </c>
      <c r="W63" s="19" t="n">
        <v>0</v>
      </c>
    </row>
    <row r="64" customFormat="false" ht="12.75" hidden="false" customHeight="true" outlineLevel="0" collapsed="false">
      <c r="A64" s="6"/>
      <c r="B64" s="22" t="s">
        <v>162</v>
      </c>
      <c r="C64" s="6"/>
      <c r="D64" s="17"/>
      <c r="E64" s="19" t="n">
        <v>0</v>
      </c>
      <c r="F64" s="17"/>
      <c r="G64" s="19" t="n">
        <v>0</v>
      </c>
      <c r="H64" s="17"/>
      <c r="I64" s="19" t="n">
        <v>0</v>
      </c>
      <c r="J64" s="17"/>
      <c r="K64" s="19" t="n">
        <v>0</v>
      </c>
      <c r="L64" s="17"/>
      <c r="M64" s="19" t="n">
        <v>0</v>
      </c>
      <c r="N64" s="17"/>
      <c r="O64" s="19" t="n">
        <v>-2.2</v>
      </c>
      <c r="P64" s="19"/>
      <c r="Q64" s="19" t="n">
        <v>0</v>
      </c>
      <c r="R64" s="11"/>
      <c r="S64" s="19" t="n">
        <v>0</v>
      </c>
      <c r="T64" s="6"/>
      <c r="U64" s="19" t="n">
        <v>0</v>
      </c>
      <c r="W64" s="19" t="n">
        <v>0</v>
      </c>
    </row>
    <row r="65" customFormat="false" ht="13.2" hidden="false" customHeight="false" outlineLevel="0" collapsed="false">
      <c r="A65" s="6"/>
      <c r="B65" s="22" t="s">
        <v>163</v>
      </c>
      <c r="C65" s="6"/>
      <c r="D65" s="6"/>
      <c r="E65" s="19" t="n">
        <v>0</v>
      </c>
      <c r="F65" s="6"/>
      <c r="G65" s="19" t="n">
        <v>0</v>
      </c>
      <c r="H65" s="6"/>
      <c r="I65" s="19" t="n">
        <v>0</v>
      </c>
      <c r="J65" s="6"/>
      <c r="K65" s="19" t="n">
        <v>0</v>
      </c>
      <c r="L65" s="6"/>
      <c r="M65" s="19" t="n">
        <v>0</v>
      </c>
      <c r="N65" s="6"/>
      <c r="O65" s="19" t="n">
        <v>0</v>
      </c>
      <c r="P65" s="19"/>
      <c r="Q65" s="19" t="n">
        <f aca="false">-2.3-0.6</f>
        <v>-2.9</v>
      </c>
      <c r="R65" s="6"/>
      <c r="S65" s="19" t="n">
        <v>0</v>
      </c>
      <c r="T65" s="6"/>
      <c r="U65" s="19" t="n">
        <v>0</v>
      </c>
      <c r="W65" s="19" t="n">
        <v>0</v>
      </c>
    </row>
    <row r="66" customFormat="false" ht="13.2" hidden="false" customHeight="false" outlineLevel="0" collapsed="false">
      <c r="A66" s="6"/>
      <c r="C66" s="22" t="s">
        <v>164</v>
      </c>
      <c r="D66" s="6"/>
      <c r="E66" s="19" t="n">
        <v>0</v>
      </c>
      <c r="F66" s="6"/>
      <c r="G66" s="19" t="n">
        <v>0</v>
      </c>
      <c r="H66" s="6"/>
      <c r="I66" s="19" t="n">
        <v>0</v>
      </c>
      <c r="J66" s="6"/>
      <c r="K66" s="19" t="n">
        <v>0</v>
      </c>
      <c r="L66" s="6"/>
      <c r="M66" s="19" t="n">
        <v>0</v>
      </c>
      <c r="N66" s="6"/>
      <c r="O66" s="19" t="n">
        <v>0</v>
      </c>
      <c r="P66" s="19"/>
      <c r="Q66" s="19" t="n">
        <v>0.6</v>
      </c>
      <c r="R66" s="6"/>
      <c r="S66" s="19" t="n">
        <v>0</v>
      </c>
      <c r="T66" s="6"/>
      <c r="U66" s="19" t="n">
        <v>0</v>
      </c>
      <c r="W66" s="19" t="n">
        <v>0</v>
      </c>
    </row>
    <row r="67" customFormat="false" ht="13.2" hidden="false" customHeight="false" outlineLevel="0" collapsed="false">
      <c r="A67" s="6"/>
      <c r="B67" s="22" t="s">
        <v>165</v>
      </c>
      <c r="C67" s="6"/>
      <c r="D67" s="6"/>
      <c r="E67" s="19" t="n">
        <v>0</v>
      </c>
      <c r="F67" s="6"/>
      <c r="G67" s="19" t="n">
        <v>0</v>
      </c>
      <c r="H67" s="6"/>
      <c r="I67" s="19" t="n">
        <v>0</v>
      </c>
      <c r="J67" s="6"/>
      <c r="K67" s="19" t="n">
        <v>0</v>
      </c>
      <c r="L67" s="6"/>
      <c r="M67" s="19" t="n">
        <v>0</v>
      </c>
      <c r="N67" s="6"/>
      <c r="O67" s="19" t="n">
        <v>0</v>
      </c>
      <c r="P67" s="19"/>
      <c r="Q67" s="19" t="n">
        <v>-0.3</v>
      </c>
      <c r="R67" s="6"/>
      <c r="S67" s="19" t="n">
        <v>0</v>
      </c>
      <c r="T67" s="6"/>
      <c r="U67" s="19" t="n">
        <v>0</v>
      </c>
      <c r="W67" s="19" t="n">
        <v>0</v>
      </c>
    </row>
    <row r="68" customFormat="false" ht="13.2" hidden="false" customHeight="false" outlineLevel="0" collapsed="false">
      <c r="A68" s="6"/>
      <c r="B68" s="22" t="s">
        <v>166</v>
      </c>
      <c r="C68" s="6"/>
      <c r="D68" s="17"/>
      <c r="E68" s="26" t="n">
        <v>0</v>
      </c>
      <c r="F68" s="17"/>
      <c r="G68" s="26" t="n">
        <v>0</v>
      </c>
      <c r="H68" s="17"/>
      <c r="I68" s="26" t="n">
        <v>0</v>
      </c>
      <c r="J68" s="17"/>
      <c r="K68" s="26" t="n">
        <v>0</v>
      </c>
      <c r="L68" s="17"/>
      <c r="M68" s="26" t="n">
        <v>0</v>
      </c>
      <c r="N68" s="17"/>
      <c r="O68" s="26" t="n">
        <v>-0.3</v>
      </c>
      <c r="P68" s="19"/>
      <c r="Q68" s="26" t="n">
        <v>0</v>
      </c>
      <c r="R68" s="35"/>
      <c r="S68" s="26" t="n">
        <v>0</v>
      </c>
      <c r="T68" s="6"/>
      <c r="U68" s="26" t="n">
        <v>0</v>
      </c>
      <c r="W68" s="26" t="n">
        <v>0</v>
      </c>
    </row>
    <row r="69" customFormat="false" ht="3.9" hidden="false" customHeight="true" outlineLevel="0" collapsed="false">
      <c r="A69" s="6"/>
      <c r="B69" s="6"/>
      <c r="C69" s="6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6"/>
      <c r="S69" s="17"/>
      <c r="T69" s="6"/>
      <c r="U69" s="17"/>
      <c r="W69" s="17"/>
    </row>
    <row r="70" customFormat="false" ht="13.8" hidden="false" customHeight="false" outlineLevel="0" collapsed="false">
      <c r="A70" s="6"/>
      <c r="B70" s="6"/>
      <c r="C70" s="33" t="s">
        <v>167</v>
      </c>
      <c r="D70" s="29"/>
      <c r="E70" s="38" t="n">
        <f aca="false">SUM(E9:E68)</f>
        <v>34</v>
      </c>
      <c r="F70" s="29"/>
      <c r="G70" s="38" t="n">
        <f aca="false">SUM(G9:G68)</f>
        <v>5.8</v>
      </c>
      <c r="H70" s="29"/>
      <c r="I70" s="38" t="n">
        <f aca="false">SUM(I9:I68)</f>
        <v>10.4</v>
      </c>
      <c r="J70" s="29"/>
      <c r="K70" s="38" t="n">
        <f aca="false">SUM(K9:K68)</f>
        <v>3.2</v>
      </c>
      <c r="L70" s="29"/>
      <c r="M70" s="38" t="n">
        <f aca="false">SUM(M9:M68)</f>
        <v>13.5</v>
      </c>
      <c r="N70" s="29"/>
      <c r="O70" s="38" t="n">
        <f aca="false">SUM(O9:O68)</f>
        <v>27.8</v>
      </c>
      <c r="P70" s="29"/>
      <c r="Q70" s="38" t="n">
        <f aca="false">SUM(Q9:Q68)</f>
        <v>19.1</v>
      </c>
      <c r="R70" s="6"/>
      <c r="S70" s="38" t="n">
        <f aca="false">SUM(S9:S68)</f>
        <v>7</v>
      </c>
      <c r="T70" s="28"/>
      <c r="U70" s="38" t="n">
        <f aca="false">SUM(U9:U68)</f>
        <v>9.5</v>
      </c>
      <c r="W70" s="38" t="n">
        <f aca="false">SUM(W9:W68)</f>
        <v>9.5</v>
      </c>
    </row>
    <row r="71" customFormat="false" ht="13.8" hidden="false" customHeight="false" outlineLevel="0" collapsed="false">
      <c r="A71" s="6"/>
      <c r="B71" s="6"/>
      <c r="C71" s="6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6"/>
      <c r="S71" s="29"/>
      <c r="T71" s="6"/>
    </row>
    <row r="72" customFormat="false" ht="13.2" hidden="false" customHeight="false" outlineLevel="0" collapsed="false">
      <c r="A72" s="40" t="str">
        <f aca="true">CELL("Filename")</f>
        <v>'file:///mnt/12tb/@roms/datasets/enron/EDRM Enron Email Data Set v2 XML/filtered-attachments/xls/DetailInc.xls'#$NNG-Other</v>
      </c>
      <c r="B72" s="6"/>
      <c r="C72" s="6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6"/>
      <c r="W72" s="41" t="n">
        <f aca="true">NOW()</f>
        <v>45926.950090522</v>
      </c>
    </row>
  </sheetData>
  <mergeCells count="3">
    <mergeCell ref="A1:W1"/>
    <mergeCell ref="A2:W2"/>
    <mergeCell ref="A3:W3"/>
  </mergeCells>
  <printOptions headings="false" gridLines="false" gridLinesSet="true" horizontalCentered="true" verticalCentered="false"/>
  <pageMargins left="0.5" right="0.5" top="0.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118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pane xSplit="4" ySplit="2" topLeftCell="H8" activePane="bottomRight" state="frozen"/>
      <selection pane="topLeft" activeCell="A6" activeCellId="0" sqref="A6"/>
      <selection pane="topRight" activeCell="H6" activeCellId="0" sqref="H6"/>
      <selection pane="bottomLeft" activeCell="A8" activeCellId="0" sqref="A8"/>
      <selection pane="bottomRight" activeCell="R21" activeCellId="0" sqref="R21"/>
    </sheetView>
  </sheetViews>
  <sheetFormatPr defaultColWidth="8.1015625" defaultRowHeight="13.2" customHeight="true" zeroHeight="false" outlineLevelRow="0" outlineLevelCol="0"/>
  <cols>
    <col collapsed="false" customWidth="true" hidden="false" outlineLevel="0" max="2" min="1" style="54" width="1.55"/>
    <col collapsed="false" customWidth="true" hidden="false" outlineLevel="0" max="3" min="3" style="54" width="35.66"/>
    <col collapsed="false" customWidth="true" hidden="false" outlineLevel="0" max="4" min="4" style="54" width="5.66"/>
    <col collapsed="false" customWidth="true" hidden="false" outlineLevel="0" max="5" min="5" style="54" width="8.66"/>
    <col collapsed="false" customWidth="true" hidden="false" outlineLevel="0" max="6" min="6" style="54" width="2.66"/>
    <col collapsed="false" customWidth="true" hidden="false" outlineLevel="0" max="7" min="7" style="54" width="8.66"/>
    <col collapsed="false" customWidth="true" hidden="false" outlineLevel="0" max="8" min="8" style="54" width="2.66"/>
    <col collapsed="false" customWidth="true" hidden="false" outlineLevel="0" max="9" min="9" style="54" width="8.66"/>
    <col collapsed="false" customWidth="true" hidden="false" outlineLevel="0" max="10" min="10" style="54" width="2.66"/>
    <col collapsed="false" customWidth="true" hidden="false" outlineLevel="0" max="11" min="11" style="54" width="8.66"/>
    <col collapsed="false" customWidth="true" hidden="false" outlineLevel="0" max="13" min="12" style="54" width="1.66"/>
    <col collapsed="false" customWidth="true" hidden="false" outlineLevel="0" max="14" min="14" style="54" width="8.66"/>
    <col collapsed="false" customWidth="true" hidden="false" outlineLevel="0" max="15" min="15" style="54" width="2.66"/>
    <col collapsed="false" customWidth="true" hidden="false" outlineLevel="0" max="16" min="16" style="54" width="8.66"/>
    <col collapsed="false" customWidth="true" hidden="false" outlineLevel="0" max="17" min="17" style="54" width="2.66"/>
    <col collapsed="false" customWidth="true" hidden="false" outlineLevel="0" max="18" min="18" style="54" width="8.66"/>
    <col collapsed="false" customWidth="true" hidden="false" outlineLevel="0" max="19" min="19" style="54" width="2.66"/>
    <col collapsed="false" customWidth="true" hidden="false" outlineLevel="0" max="20" min="20" style="54" width="8.66"/>
    <col collapsed="false" customWidth="true" hidden="false" outlineLevel="0" max="21" min="21" style="54" width="2.66"/>
    <col collapsed="false" customWidth="true" hidden="false" outlineLevel="0" max="22" min="22" style="54" width="8.66"/>
    <col collapsed="false" customWidth="true" hidden="false" outlineLevel="0" max="23" min="23" style="54" width="2.66"/>
    <col collapsed="false" customWidth="true" hidden="false" outlineLevel="0" max="24" min="24" style="54" width="8.66"/>
    <col collapsed="false" customWidth="true" hidden="false" outlineLevel="0" max="25" min="25" style="54" width="1.66"/>
    <col collapsed="false" customWidth="false" hidden="false" outlineLevel="0" max="257" min="26" style="54" width="8.1"/>
  </cols>
  <sheetData>
    <row r="1" customFormat="false" ht="15.75" hidden="false" customHeight="true" outlineLevel="0" collapsed="false">
      <c r="A1" s="55" t="s">
        <v>168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</row>
    <row r="2" customFormat="false" ht="15.75" hidden="false" customHeight="true" outlineLevel="0" collapsed="false">
      <c r="A2" s="56" t="str">
        <f aca="false">+'NNG Detail NI'!A2</f>
        <v>DETAIL OF NET INCOME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</row>
    <row r="3" customFormat="false" ht="12.75" hidden="false" customHeight="true" outlineLevel="0" collapsed="false">
      <c r="A3" s="57" t="str">
        <f aca="false">+'NNG Detail NI'!A3</f>
        <v>($ Millions)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</row>
    <row r="4" customFormat="false" ht="12.75" hidden="false" customHeight="true" outlineLevel="0" collapsed="false">
      <c r="A4" s="58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60"/>
    </row>
    <row r="5" customFormat="false" ht="12.75" hidden="false" customHeight="true" outlineLevel="0" collapsed="false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61"/>
      <c r="S5" s="59"/>
      <c r="T5" s="62"/>
      <c r="U5" s="60"/>
    </row>
    <row r="6" customFormat="false" ht="12.75" hidden="false" customHeight="true" outlineLevel="0" collapsed="false">
      <c r="A6" s="60"/>
      <c r="B6" s="60"/>
      <c r="C6" s="60"/>
      <c r="D6" s="63"/>
      <c r="E6" s="12" t="s">
        <v>169</v>
      </c>
      <c r="F6" s="63"/>
      <c r="G6" s="12" t="s">
        <v>170</v>
      </c>
      <c r="H6" s="63"/>
      <c r="I6" s="12" t="s">
        <v>171</v>
      </c>
      <c r="J6" s="63"/>
      <c r="K6" s="4" t="str">
        <f aca="false">+'NNG Detail NI'!K6</f>
        <v>1996</v>
      </c>
      <c r="L6" s="4"/>
      <c r="M6" s="63"/>
      <c r="N6" s="4" t="str">
        <f aca="false">+'NNG Detail NI'!M6</f>
        <v>1997</v>
      </c>
      <c r="O6" s="63"/>
      <c r="P6" s="4" t="str">
        <f aca="false">+'NNG Detail NI'!O6</f>
        <v>1998</v>
      </c>
      <c r="Q6" s="4"/>
      <c r="R6" s="4" t="str">
        <f aca="false">+'NNG Detail NI'!Q6</f>
        <v>1999</v>
      </c>
      <c r="S6" s="47"/>
      <c r="T6" s="4" t="n">
        <f aca="false">+'NNG Detail NI'!S6</f>
        <v>2000</v>
      </c>
      <c r="U6" s="6"/>
      <c r="V6" s="4" t="n">
        <f aca="false">+'NNG Detail NI'!U6</f>
        <v>2001</v>
      </c>
      <c r="W6" s="1"/>
      <c r="X6" s="4" t="n">
        <f aca="false">+'NNG Detail NI'!W6</f>
        <v>2002</v>
      </c>
    </row>
    <row r="7" customFormat="false" ht="12.75" hidden="false" customHeight="true" outlineLevel="0" collapsed="false">
      <c r="A7" s="60"/>
      <c r="B7" s="60"/>
      <c r="C7" s="60"/>
      <c r="D7" s="61"/>
      <c r="E7" s="48" t="str">
        <f aca="false">+'NNG Detail NI'!E7</f>
        <v>Actual</v>
      </c>
      <c r="F7" s="61"/>
      <c r="G7" s="48" t="str">
        <f aca="false">+'NNG Detail NI'!G7</f>
        <v>Actual</v>
      </c>
      <c r="H7" s="61"/>
      <c r="I7" s="48" t="str">
        <f aca="false">+'NNG Detail NI'!I7</f>
        <v>Actual</v>
      </c>
      <c r="J7" s="61"/>
      <c r="K7" s="48" t="str">
        <f aca="false">+'NNG Detail NI'!K7</f>
        <v>Actual</v>
      </c>
      <c r="L7" s="45"/>
      <c r="M7" s="61"/>
      <c r="N7" s="48" t="str">
        <f aca="false">+'NNG Detail NI'!M7</f>
        <v>Actual</v>
      </c>
      <c r="O7" s="61"/>
      <c r="P7" s="48" t="str">
        <f aca="false">+'NNG Detail NI'!O7</f>
        <v>Actual</v>
      </c>
      <c r="Q7" s="45"/>
      <c r="R7" s="48" t="str">
        <f aca="false">+'NNG Detail NI'!Q7</f>
        <v>Actual</v>
      </c>
      <c r="S7" s="6"/>
      <c r="T7" s="48" t="str">
        <f aca="false">+'NNG Detail NI'!S7</f>
        <v>Plan</v>
      </c>
      <c r="U7" s="6"/>
      <c r="V7" s="48" t="str">
        <f aca="false">+'NNG Detail NI'!U7</f>
        <v>Plan</v>
      </c>
      <c r="W7" s="1"/>
      <c r="X7" s="48" t="str">
        <f aca="false">+'NNG Detail NI'!W7</f>
        <v>Plan</v>
      </c>
    </row>
    <row r="8" customFormat="false" ht="12.75" hidden="false" customHeight="true" outlineLevel="0" collapsed="false">
      <c r="A8" s="64" t="s">
        <v>172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</row>
    <row r="9" customFormat="false" ht="12.75" hidden="false" customHeight="true" outlineLevel="0" collapsed="false">
      <c r="A9" s="64"/>
      <c r="B9" s="60" t="s">
        <v>173</v>
      </c>
      <c r="C9" s="60"/>
      <c r="D9" s="60"/>
      <c r="E9" s="51" t="n">
        <f aca="false">177-56.4+56.4</f>
        <v>177</v>
      </c>
      <c r="F9" s="60"/>
      <c r="G9" s="18" t="n">
        <f aca="false">176-5-56.4+56.4</f>
        <v>171</v>
      </c>
      <c r="H9" s="60"/>
      <c r="I9" s="51" t="n">
        <f aca="false">160.2-56.4+56.4</f>
        <v>160.2</v>
      </c>
      <c r="J9" s="60"/>
      <c r="K9" s="18" t="n">
        <f aca="false">163.7+1.4-3.9</f>
        <v>161.2</v>
      </c>
      <c r="L9" s="18"/>
      <c r="M9" s="60"/>
      <c r="N9" s="51" t="n">
        <f aca="false">132.5-21.6</f>
        <v>110.9</v>
      </c>
      <c r="O9" s="60"/>
      <c r="P9" s="51" t="n">
        <f aca="false">131.9-11.8</f>
        <v>120.1</v>
      </c>
      <c r="Q9" s="60"/>
      <c r="R9" s="65" t="n">
        <f aca="false">130.2-11.8</f>
        <v>118.4</v>
      </c>
      <c r="S9" s="60"/>
      <c r="T9" s="51" t="n">
        <f aca="false">135.7-11.8</f>
        <v>123.9</v>
      </c>
      <c r="U9" s="19"/>
      <c r="V9" s="51" t="n">
        <f aca="false">136.9-9.8</f>
        <v>127.1</v>
      </c>
      <c r="W9" s="19"/>
      <c r="X9" s="19" t="n">
        <v>124.4</v>
      </c>
    </row>
    <row r="10" customFormat="false" ht="12.75" hidden="false" customHeight="true" outlineLevel="0" collapsed="false">
      <c r="A10" s="64"/>
      <c r="B10" s="60" t="s">
        <v>174</v>
      </c>
      <c r="C10" s="60"/>
      <c r="D10" s="60"/>
      <c r="E10" s="19" t="n">
        <v>16</v>
      </c>
      <c r="F10" s="60"/>
      <c r="G10" s="19" t="n">
        <v>15.9</v>
      </c>
      <c r="H10" s="60"/>
      <c r="I10" s="19" t="n">
        <v>14.5</v>
      </c>
      <c r="J10" s="60"/>
      <c r="K10" s="19" t="n">
        <v>14.8</v>
      </c>
      <c r="L10" s="19"/>
      <c r="M10" s="60"/>
      <c r="N10" s="19" t="n">
        <v>10.7</v>
      </c>
      <c r="O10" s="60"/>
      <c r="P10" s="19" t="n">
        <v>13.3</v>
      </c>
      <c r="Q10" s="60"/>
      <c r="R10" s="66" t="n">
        <v>11.9</v>
      </c>
      <c r="S10" s="60"/>
      <c r="T10" s="19" t="n">
        <v>11.4</v>
      </c>
      <c r="U10" s="19"/>
      <c r="V10" s="19" t="n">
        <v>12.2</v>
      </c>
      <c r="W10" s="19"/>
      <c r="X10" s="19" t="n">
        <v>13.2</v>
      </c>
    </row>
    <row r="11" customFormat="false" ht="12.75" hidden="false" customHeight="true" outlineLevel="0" collapsed="false">
      <c r="A11" s="64"/>
      <c r="B11" s="60" t="s">
        <v>19</v>
      </c>
      <c r="C11" s="60"/>
      <c r="D11" s="60"/>
      <c r="E11" s="26" t="n">
        <v>0</v>
      </c>
      <c r="F11" s="60"/>
      <c r="G11" s="26" t="n">
        <v>0</v>
      </c>
      <c r="H11" s="60"/>
      <c r="I11" s="26" t="n">
        <v>0</v>
      </c>
      <c r="J11" s="60"/>
      <c r="K11" s="31" t="n">
        <f aca="false">-2.6+2.3</f>
        <v>-0.3</v>
      </c>
      <c r="L11" s="20"/>
      <c r="M11" s="60"/>
      <c r="N11" s="26" t="n">
        <v>0</v>
      </c>
      <c r="O11" s="60"/>
      <c r="P11" s="26" t="n">
        <v>0</v>
      </c>
      <c r="Q11" s="60"/>
      <c r="R11" s="26" t="n">
        <v>0</v>
      </c>
      <c r="S11" s="60"/>
      <c r="T11" s="26" t="n">
        <v>0</v>
      </c>
      <c r="U11" s="19"/>
      <c r="V11" s="26" t="n">
        <v>0</v>
      </c>
      <c r="W11" s="19"/>
      <c r="X11" s="26" t="n">
        <v>0</v>
      </c>
    </row>
    <row r="12" customFormat="false" ht="3.9" hidden="false" customHeight="true" outlineLevel="0" collapsed="false">
      <c r="A12" s="64"/>
      <c r="B12" s="52"/>
      <c r="C12" s="60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9"/>
      <c r="S12" s="19"/>
      <c r="T12" s="19"/>
      <c r="U12" s="60"/>
      <c r="V12" s="67"/>
      <c r="W12" s="67"/>
      <c r="X12" s="67"/>
    </row>
    <row r="13" customFormat="false" ht="13.2" hidden="false" customHeight="false" outlineLevel="0" collapsed="false">
      <c r="A13" s="64"/>
      <c r="B13" s="60"/>
      <c r="C13" s="64" t="s">
        <v>20</v>
      </c>
      <c r="D13" s="29"/>
      <c r="E13" s="29" t="n">
        <f aca="false">SUM(E9:E12)</f>
        <v>193</v>
      </c>
      <c r="F13" s="29"/>
      <c r="G13" s="29" t="n">
        <f aca="false">SUM(G9:G12)</f>
        <v>186.9</v>
      </c>
      <c r="H13" s="29"/>
      <c r="I13" s="29" t="n">
        <f aca="false">SUM(I9:I12)</f>
        <v>174.7</v>
      </c>
      <c r="J13" s="29"/>
      <c r="K13" s="29" t="n">
        <f aca="false">SUM(K9:K12)</f>
        <v>175.7</v>
      </c>
      <c r="L13" s="29"/>
      <c r="M13" s="29"/>
      <c r="N13" s="29" t="n">
        <f aca="false">SUM(N9:N12)</f>
        <v>121.6</v>
      </c>
      <c r="O13" s="29"/>
      <c r="P13" s="29" t="n">
        <f aca="false">SUM(P9:P12)</f>
        <v>133.4</v>
      </c>
      <c r="Q13" s="29"/>
      <c r="R13" s="29" t="n">
        <f aca="false">SUM(R9:R11)</f>
        <v>130.3</v>
      </c>
      <c r="S13" s="29"/>
      <c r="T13" s="29" t="n">
        <f aca="false">SUM(T9:T12)</f>
        <v>135.3</v>
      </c>
      <c r="U13" s="68"/>
      <c r="V13" s="69" t="n">
        <f aca="false">SUM(V9:V12)</f>
        <v>139.3</v>
      </c>
      <c r="W13" s="67"/>
      <c r="X13" s="69" t="n">
        <f aca="false">SUM(X9:X12)</f>
        <v>137.6</v>
      </c>
    </row>
    <row r="14" customFormat="false" ht="3.9" hidden="false" customHeight="true" outlineLevel="0" collapsed="false">
      <c r="A14" s="64"/>
      <c r="B14" s="60"/>
      <c r="C14" s="52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68"/>
      <c r="V14" s="67"/>
      <c r="W14" s="67"/>
      <c r="X14" s="67"/>
    </row>
    <row r="15" customFormat="false" ht="13.2" hidden="false" customHeight="false" outlineLevel="0" collapsed="false">
      <c r="A15" s="64"/>
      <c r="B15" s="52" t="s">
        <v>175</v>
      </c>
      <c r="C15" s="52"/>
      <c r="D15" s="17"/>
      <c r="E15" s="19" t="n">
        <v>0</v>
      </c>
      <c r="F15" s="17"/>
      <c r="G15" s="19" t="n">
        <v>0</v>
      </c>
      <c r="H15" s="17"/>
      <c r="I15" s="19" t="n">
        <v>0</v>
      </c>
      <c r="J15" s="17"/>
      <c r="K15" s="19" t="n">
        <v>0</v>
      </c>
      <c r="L15" s="19"/>
      <c r="M15" s="17"/>
      <c r="N15" s="19" t="n">
        <v>-0.1</v>
      </c>
      <c r="O15" s="17"/>
      <c r="P15" s="19" t="n">
        <v>-0.2</v>
      </c>
      <c r="Q15" s="17"/>
      <c r="R15" s="19" t="n">
        <v>-0.1</v>
      </c>
      <c r="S15" s="17"/>
      <c r="T15" s="19" t="n">
        <v>-0.2</v>
      </c>
      <c r="U15" s="60"/>
      <c r="V15" s="19" t="n">
        <v>-0.1</v>
      </c>
      <c r="W15" s="70"/>
      <c r="X15" s="19" t="n">
        <v>-0.2</v>
      </c>
    </row>
    <row r="16" customFormat="false" ht="13.2" hidden="false" customHeight="false" outlineLevel="0" collapsed="false">
      <c r="A16" s="64"/>
      <c r="B16" s="52" t="s">
        <v>19</v>
      </c>
      <c r="C16" s="52"/>
      <c r="D16" s="17"/>
      <c r="E16" s="26" t="n">
        <v>0</v>
      </c>
      <c r="F16" s="17"/>
      <c r="G16" s="26" t="n">
        <v>0</v>
      </c>
      <c r="H16" s="17"/>
      <c r="I16" s="26" t="n">
        <v>0</v>
      </c>
      <c r="J16" s="17"/>
      <c r="K16" s="25" t="n">
        <f aca="false">0.4-0.4</f>
        <v>0</v>
      </c>
      <c r="L16" s="18"/>
      <c r="M16" s="17"/>
      <c r="N16" s="25" t="n">
        <f aca="false">+(1.3+0.1)-1.4-0.2</f>
        <v>-0.2</v>
      </c>
      <c r="O16" s="17"/>
      <c r="P16" s="25" t="n">
        <f aca="false">(-0.2+0.2+0.2+0.1)-0.2-0.1</f>
        <v>0</v>
      </c>
      <c r="Q16" s="17"/>
      <c r="R16" s="25" t="n">
        <f aca="false">(-0.5+0.1)+0.4+0.4</f>
        <v>0.4</v>
      </c>
      <c r="S16" s="17"/>
      <c r="T16" s="26" t="n">
        <f aca="false">0.3+(-0.3+0.2)</f>
        <v>0.2</v>
      </c>
      <c r="U16" s="60"/>
      <c r="V16" s="71" t="n">
        <f aca="false">0.2+(-0.3+0.1)</f>
        <v>0</v>
      </c>
      <c r="W16" s="70"/>
      <c r="X16" s="71" t="n">
        <f aca="false">0.2+(-0.3+0.2)</f>
        <v>0.1</v>
      </c>
    </row>
    <row r="17" customFormat="false" ht="3.9" hidden="false" customHeight="true" outlineLevel="0" collapsed="false">
      <c r="A17" s="64"/>
      <c r="B17" s="60"/>
      <c r="C17" s="52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60"/>
      <c r="V17" s="67"/>
      <c r="W17" s="67"/>
      <c r="X17" s="67"/>
    </row>
    <row r="18" customFormat="false" ht="13.2" hidden="false" customHeight="false" outlineLevel="0" collapsed="false">
      <c r="A18" s="64"/>
      <c r="B18" s="60"/>
      <c r="C18" s="52" t="s">
        <v>176</v>
      </c>
      <c r="D18" s="17"/>
      <c r="E18" s="17" t="n">
        <f aca="false">SUM(E13:E16)</f>
        <v>193</v>
      </c>
      <c r="F18" s="17"/>
      <c r="G18" s="17" t="n">
        <f aca="false">SUM(G13:G16)</f>
        <v>186.9</v>
      </c>
      <c r="H18" s="17"/>
      <c r="I18" s="17" t="n">
        <f aca="false">SUM(I13:I16)</f>
        <v>174.7</v>
      </c>
      <c r="J18" s="17"/>
      <c r="K18" s="17" t="n">
        <f aca="false">SUM(K13:K16)</f>
        <v>175.7</v>
      </c>
      <c r="L18" s="17"/>
      <c r="M18" s="17"/>
      <c r="N18" s="17" t="n">
        <f aca="false">SUM(N13:N16)</f>
        <v>121.3</v>
      </c>
      <c r="O18" s="17"/>
      <c r="P18" s="17" t="n">
        <f aca="false">SUM(P13:P16)</f>
        <v>133.2</v>
      </c>
      <c r="Q18" s="17"/>
      <c r="R18" s="17" t="n">
        <f aca="false">SUM(R13:R16)</f>
        <v>130.6</v>
      </c>
      <c r="S18" s="17"/>
      <c r="T18" s="17" t="n">
        <f aca="false">SUM(T13:T16)</f>
        <v>135.3</v>
      </c>
      <c r="U18" s="68"/>
      <c r="V18" s="72" t="n">
        <f aca="false">SUM(V13:V16)</f>
        <v>139.2</v>
      </c>
      <c r="W18" s="67"/>
      <c r="X18" s="72" t="n">
        <f aca="false">SUM(X13:X16)</f>
        <v>137.5</v>
      </c>
    </row>
    <row r="19" customFormat="false" ht="6" hidden="false" customHeight="true" outlineLevel="0" collapsed="false">
      <c r="A19" s="64"/>
      <c r="B19" s="60"/>
      <c r="C19" s="52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60"/>
      <c r="V19" s="67"/>
      <c r="W19" s="67"/>
      <c r="X19" s="67"/>
    </row>
    <row r="20" customFormat="false" ht="13.2" hidden="false" customHeight="false" outlineLevel="0" collapsed="false">
      <c r="A20" s="73" t="s">
        <v>24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7"/>
      <c r="W20" s="67"/>
      <c r="X20" s="67"/>
    </row>
    <row r="21" customFormat="false" ht="13.2" hidden="false" customHeight="false" outlineLevel="0" collapsed="false">
      <c r="A21" s="60"/>
      <c r="B21" s="52" t="s">
        <v>25</v>
      </c>
      <c r="C21" s="60"/>
      <c r="D21" s="17"/>
      <c r="E21" s="19" t="n">
        <f aca="false">-95+12.9+3.6+5+3.8+4.8+7.8</f>
        <v>-57.1</v>
      </c>
      <c r="F21" s="17"/>
      <c r="G21" s="18" t="n">
        <f aca="false">-41.2-2.7-3.5-3.6</f>
        <v>-51</v>
      </c>
      <c r="H21" s="17"/>
      <c r="I21" s="18" t="n">
        <f aca="false">-43.8-6.5-3.5+2+11</f>
        <v>-40.8</v>
      </c>
      <c r="J21" s="17"/>
      <c r="K21" s="18" t="n">
        <f aca="false">-14.2-2.3-2-11+0.3+2.2</f>
        <v>-27</v>
      </c>
      <c r="L21" s="18"/>
      <c r="M21" s="17"/>
      <c r="N21" s="18" t="n">
        <f aca="false">-27.5-1.4+0.3</f>
        <v>-28.6</v>
      </c>
      <c r="O21" s="17"/>
      <c r="P21" s="18" t="n">
        <f aca="false">-25.1-2.9</f>
        <v>-28</v>
      </c>
      <c r="Q21" s="17"/>
      <c r="R21" s="18" t="n">
        <f aca="false">-29.4+0.2+0.2-0.4+0.4+0.2</f>
        <v>-28.8</v>
      </c>
      <c r="S21" s="19"/>
      <c r="T21" s="19" t="n">
        <v>-30.5</v>
      </c>
      <c r="U21" s="66"/>
      <c r="V21" s="70" t="n">
        <f aca="false">-32</f>
        <v>-32</v>
      </c>
      <c r="W21" s="70"/>
      <c r="X21" s="70" t="n">
        <f aca="false">-32</f>
        <v>-32</v>
      </c>
    </row>
    <row r="22" customFormat="false" ht="12.75" hidden="false" customHeight="true" outlineLevel="0" collapsed="false">
      <c r="A22" s="73"/>
      <c r="B22" s="60"/>
      <c r="C22" s="52" t="s">
        <v>26</v>
      </c>
      <c r="D22" s="17"/>
      <c r="E22" s="19" t="n">
        <v>-11.5</v>
      </c>
      <c r="F22" s="17"/>
      <c r="G22" s="19" t="n">
        <v>-11.5</v>
      </c>
      <c r="H22" s="17"/>
      <c r="I22" s="19" t="n">
        <v>-12</v>
      </c>
      <c r="J22" s="17"/>
      <c r="K22" s="19" t="n">
        <v>-9.6</v>
      </c>
      <c r="L22" s="19"/>
      <c r="M22" s="17"/>
      <c r="N22" s="18" t="n">
        <f aca="false">-13.4-0.7</f>
        <v>-14.1</v>
      </c>
      <c r="O22" s="17"/>
      <c r="P22" s="19" t="n">
        <v>-10.6</v>
      </c>
      <c r="Q22" s="17"/>
      <c r="R22" s="18" t="n">
        <f aca="false">-11.1+0.3</f>
        <v>-10.8</v>
      </c>
      <c r="S22" s="19"/>
      <c r="T22" s="19" t="n">
        <v>-12.9</v>
      </c>
      <c r="U22" s="66"/>
      <c r="V22" s="70" t="n">
        <f aca="false">-12.7</f>
        <v>-12.7</v>
      </c>
      <c r="W22" s="70"/>
      <c r="X22" s="70" t="n">
        <f aca="false">-12.7</f>
        <v>-12.7</v>
      </c>
    </row>
    <row r="23" customFormat="false" ht="12.75" hidden="false" customHeight="true" outlineLevel="0" collapsed="false">
      <c r="A23" s="60"/>
      <c r="B23" s="52" t="s">
        <v>27</v>
      </c>
      <c r="C23" s="60"/>
      <c r="D23" s="17"/>
      <c r="E23" s="19" t="n">
        <v>-3.5</v>
      </c>
      <c r="F23" s="17"/>
      <c r="G23" s="19" t="n">
        <v>-3.5</v>
      </c>
      <c r="H23" s="17"/>
      <c r="I23" s="19" t="n">
        <v>-3.5</v>
      </c>
      <c r="J23" s="17"/>
      <c r="K23" s="19" t="n">
        <v>-4</v>
      </c>
      <c r="L23" s="19"/>
      <c r="M23" s="17"/>
      <c r="N23" s="19" t="n">
        <v>-3.3</v>
      </c>
      <c r="O23" s="17"/>
      <c r="P23" s="19" t="n">
        <v>-4.9</v>
      </c>
      <c r="Q23" s="17"/>
      <c r="R23" s="19" t="n">
        <v>-3.8</v>
      </c>
      <c r="S23" s="19"/>
      <c r="T23" s="19" t="n">
        <v>-4</v>
      </c>
      <c r="U23" s="60"/>
      <c r="V23" s="19" t="n">
        <v>-4</v>
      </c>
      <c r="W23" s="67"/>
      <c r="X23" s="19" t="n">
        <v>-4</v>
      </c>
    </row>
    <row r="24" customFormat="false" ht="12.75" hidden="false" customHeight="true" outlineLevel="0" collapsed="false">
      <c r="A24" s="60"/>
      <c r="B24" s="52" t="s">
        <v>177</v>
      </c>
      <c r="C24" s="60"/>
      <c r="D24" s="17"/>
      <c r="E24" s="18" t="n">
        <f aca="false">-3.6+1.5</f>
        <v>-2.1</v>
      </c>
      <c r="F24" s="17"/>
      <c r="G24" s="18" t="n">
        <f aca="false">-4.4+3.8</f>
        <v>-0.600000000000001</v>
      </c>
      <c r="H24" s="17"/>
      <c r="I24" s="18" t="n">
        <f aca="false">-5.2+2.3</f>
        <v>-2.9</v>
      </c>
      <c r="J24" s="17"/>
      <c r="K24" s="20" t="n">
        <f aca="false">(-2.3+0.2+0.6+0.1)-7.6-0.9</f>
        <v>-9.9</v>
      </c>
      <c r="L24" s="20"/>
      <c r="M24" s="17"/>
      <c r="N24" s="19" t="n">
        <v>0</v>
      </c>
      <c r="O24" s="17"/>
      <c r="P24" s="19" t="n">
        <v>0</v>
      </c>
      <c r="Q24" s="17"/>
      <c r="R24" s="19" t="n">
        <v>0</v>
      </c>
      <c r="S24" s="19"/>
      <c r="T24" s="19" t="n">
        <v>0</v>
      </c>
      <c r="U24" s="60"/>
      <c r="V24" s="19" t="n">
        <v>0</v>
      </c>
      <c r="W24" s="67"/>
      <c r="X24" s="19" t="n">
        <v>0</v>
      </c>
    </row>
    <row r="25" customFormat="false" ht="12.75" hidden="false" customHeight="true" outlineLevel="0" collapsed="false">
      <c r="A25" s="60"/>
      <c r="B25" s="52"/>
      <c r="C25" s="52" t="s">
        <v>178</v>
      </c>
      <c r="D25" s="60"/>
      <c r="E25" s="19" t="n">
        <v>0</v>
      </c>
      <c r="F25" s="60"/>
      <c r="G25" s="19" t="n">
        <v>0</v>
      </c>
      <c r="H25" s="60"/>
      <c r="I25" s="19" t="n">
        <v>0</v>
      </c>
      <c r="J25" s="60"/>
      <c r="K25" s="20" t="n">
        <v>-0.2</v>
      </c>
      <c r="L25" s="20"/>
      <c r="M25" s="60"/>
      <c r="N25" s="19" t="n">
        <f aca="false">-1.2-0.1</f>
        <v>-1.3</v>
      </c>
      <c r="O25" s="60"/>
      <c r="P25" s="19" t="n">
        <v>-1.3</v>
      </c>
      <c r="Q25" s="60"/>
      <c r="R25" s="19" t="n">
        <v>-1.3</v>
      </c>
      <c r="S25" s="19"/>
      <c r="T25" s="19" t="n">
        <v>-1.3</v>
      </c>
      <c r="U25" s="60"/>
      <c r="V25" s="19" t="n">
        <v>-1.3</v>
      </c>
      <c r="W25" s="67"/>
      <c r="X25" s="19" t="n">
        <v>-1.3</v>
      </c>
    </row>
    <row r="26" customFormat="false" ht="12.75" hidden="false" customHeight="true" outlineLevel="0" collapsed="false">
      <c r="A26" s="60"/>
      <c r="B26" s="60"/>
      <c r="C26" s="52" t="s">
        <v>179</v>
      </c>
      <c r="D26" s="60"/>
      <c r="E26" s="19" t="n">
        <v>0</v>
      </c>
      <c r="F26" s="60"/>
      <c r="G26" s="19" t="n">
        <v>0</v>
      </c>
      <c r="H26" s="60"/>
      <c r="I26" s="19" t="n">
        <v>0</v>
      </c>
      <c r="J26" s="60"/>
      <c r="K26" s="20" t="n">
        <v>-0.6</v>
      </c>
      <c r="L26" s="20"/>
      <c r="M26" s="60"/>
      <c r="N26" s="19" t="n">
        <v>-3.3</v>
      </c>
      <c r="O26" s="60"/>
      <c r="P26" s="19" t="n">
        <v>-3.1</v>
      </c>
      <c r="Q26" s="60"/>
      <c r="R26" s="19" t="n">
        <v>-2.8</v>
      </c>
      <c r="S26" s="19"/>
      <c r="T26" s="19" t="n">
        <v>-2.8</v>
      </c>
      <c r="U26" s="60"/>
      <c r="V26" s="19" t="n">
        <v>-2.8</v>
      </c>
      <c r="W26" s="67"/>
      <c r="X26" s="19" t="n">
        <v>-2.8</v>
      </c>
    </row>
    <row r="27" customFormat="false" ht="12.75" hidden="false" customHeight="true" outlineLevel="0" collapsed="false">
      <c r="A27" s="73"/>
      <c r="B27" s="60"/>
      <c r="C27" s="52" t="s">
        <v>180</v>
      </c>
      <c r="D27" s="17"/>
      <c r="E27" s="19" t="n">
        <v>0</v>
      </c>
      <c r="F27" s="17"/>
      <c r="G27" s="19" t="n">
        <v>0</v>
      </c>
      <c r="H27" s="17"/>
      <c r="I27" s="19" t="n">
        <v>0</v>
      </c>
      <c r="J27" s="17"/>
      <c r="K27" s="20" t="n">
        <v>-0.1</v>
      </c>
      <c r="L27" s="20"/>
      <c r="M27" s="17"/>
      <c r="N27" s="19" t="n">
        <v>-0.5</v>
      </c>
      <c r="O27" s="17"/>
      <c r="P27" s="19" t="n">
        <v>-0.5</v>
      </c>
      <c r="Q27" s="17"/>
      <c r="R27" s="19" t="n">
        <v>-0.7</v>
      </c>
      <c r="S27" s="19"/>
      <c r="T27" s="19" t="n">
        <v>-0.6</v>
      </c>
      <c r="U27" s="60"/>
      <c r="V27" s="19" t="n">
        <v>-0.6</v>
      </c>
      <c r="W27" s="67"/>
      <c r="X27" s="19" t="n">
        <v>-0.6</v>
      </c>
    </row>
    <row r="28" customFormat="false" ht="12.75" hidden="false" customHeight="true" outlineLevel="0" collapsed="false">
      <c r="A28" s="73"/>
      <c r="B28" s="52" t="s">
        <v>181</v>
      </c>
      <c r="C28" s="60"/>
      <c r="D28" s="17"/>
      <c r="E28" s="19" t="n">
        <v>0</v>
      </c>
      <c r="F28" s="17"/>
      <c r="G28" s="19" t="n">
        <v>0</v>
      </c>
      <c r="H28" s="17"/>
      <c r="I28" s="19" t="n">
        <v>0</v>
      </c>
      <c r="J28" s="17"/>
      <c r="K28" s="18" t="n">
        <f aca="false">2.2+1.6</f>
        <v>3.8</v>
      </c>
      <c r="L28" s="18"/>
      <c r="M28" s="17"/>
      <c r="N28" s="18" t="n">
        <f aca="false">11.4-1.6</f>
        <v>9.8</v>
      </c>
      <c r="O28" s="17"/>
      <c r="P28" s="19" t="n">
        <f aca="false">(19.9+0.4)</f>
        <v>20.3</v>
      </c>
      <c r="Q28" s="17"/>
      <c r="R28" s="18" t="n">
        <f aca="false">19+0.2</f>
        <v>19.2</v>
      </c>
      <c r="S28" s="19"/>
      <c r="T28" s="20" t="n">
        <f aca="false">24.7-T30</f>
        <v>23.5</v>
      </c>
      <c r="U28" s="60"/>
      <c r="V28" s="74" t="n">
        <f aca="false">25.8-V30</f>
        <v>23.2</v>
      </c>
      <c r="W28" s="67"/>
      <c r="X28" s="74" t="n">
        <f aca="false">25.7-X30</f>
        <v>23.2</v>
      </c>
    </row>
    <row r="29" customFormat="false" ht="12.75" hidden="false" customHeight="true" outlineLevel="0" collapsed="false">
      <c r="A29" s="73"/>
      <c r="B29" s="52"/>
      <c r="C29" s="52" t="s">
        <v>182</v>
      </c>
      <c r="D29" s="17"/>
      <c r="E29" s="19" t="n">
        <v>0</v>
      </c>
      <c r="F29" s="17"/>
      <c r="G29" s="19" t="n">
        <v>0</v>
      </c>
      <c r="H29" s="17"/>
      <c r="I29" s="19" t="n">
        <v>0</v>
      </c>
      <c r="J29" s="17"/>
      <c r="K29" s="19" t="n">
        <v>0</v>
      </c>
      <c r="L29" s="19"/>
      <c r="M29" s="17"/>
      <c r="N29" s="19" t="n">
        <v>0</v>
      </c>
      <c r="O29" s="17"/>
      <c r="P29" s="19" t="n">
        <f aca="false">-6.9</f>
        <v>-6.9</v>
      </c>
      <c r="Q29" s="17"/>
      <c r="R29" s="19" t="n">
        <v>-2.6</v>
      </c>
      <c r="S29" s="19"/>
      <c r="T29" s="19" t="n">
        <v>-3.7</v>
      </c>
      <c r="U29" s="60"/>
      <c r="V29" s="70" t="n">
        <v>-3.5</v>
      </c>
      <c r="W29" s="70"/>
      <c r="X29" s="70" t="n">
        <v>-3.6</v>
      </c>
    </row>
    <row r="30" customFormat="false" ht="12.75" hidden="false" customHeight="true" outlineLevel="0" collapsed="false">
      <c r="A30" s="73"/>
      <c r="C30" s="52" t="s">
        <v>183</v>
      </c>
      <c r="D30" s="17"/>
      <c r="E30" s="19" t="n">
        <v>0</v>
      </c>
      <c r="F30" s="17"/>
      <c r="G30" s="19" t="n">
        <v>0</v>
      </c>
      <c r="H30" s="17"/>
      <c r="I30" s="19" t="n">
        <v>0</v>
      </c>
      <c r="J30" s="17"/>
      <c r="K30" s="19" t="n">
        <v>0</v>
      </c>
      <c r="L30" s="19"/>
      <c r="M30" s="17"/>
      <c r="N30" s="19" t="n">
        <v>0</v>
      </c>
      <c r="O30" s="17"/>
      <c r="P30" s="19" t="n">
        <v>0</v>
      </c>
      <c r="Q30" s="17"/>
      <c r="R30" s="19" t="n">
        <v>0</v>
      </c>
      <c r="S30" s="19"/>
      <c r="T30" s="20" t="n">
        <v>1.2</v>
      </c>
      <c r="U30" s="60"/>
      <c r="V30" s="74" t="n">
        <v>2.6</v>
      </c>
      <c r="W30" s="67"/>
      <c r="X30" s="74" t="n">
        <v>2.5</v>
      </c>
    </row>
    <row r="31" customFormat="false" ht="13.2" hidden="false" customHeight="false" outlineLevel="0" collapsed="false">
      <c r="A31" s="60"/>
      <c r="B31" s="60" t="s">
        <v>37</v>
      </c>
      <c r="C31" s="60"/>
      <c r="D31" s="17"/>
      <c r="E31" s="19" t="n">
        <v>-33.6</v>
      </c>
      <c r="F31" s="17"/>
      <c r="G31" s="19" t="n">
        <v>-25.4</v>
      </c>
      <c r="H31" s="17"/>
      <c r="I31" s="18" t="n">
        <f aca="false">-22.2-1.2</f>
        <v>-23.4</v>
      </c>
      <c r="J31" s="17"/>
      <c r="K31" s="18" t="n">
        <f aca="false">-11.7-2.9</f>
        <v>-14.6</v>
      </c>
      <c r="L31" s="18"/>
      <c r="M31" s="17"/>
      <c r="N31" s="18" t="n">
        <f aca="false">-11.4-0.6</f>
        <v>-12</v>
      </c>
      <c r="O31" s="17"/>
      <c r="P31" s="19" t="n">
        <v>-12.2</v>
      </c>
      <c r="Q31" s="17"/>
      <c r="R31" s="19" t="n">
        <v>-13</v>
      </c>
      <c r="S31" s="19"/>
      <c r="T31" s="19" t="n">
        <v>-13.5</v>
      </c>
      <c r="U31" s="60"/>
      <c r="V31" s="70" t="n">
        <v>-14.2</v>
      </c>
      <c r="W31" s="70"/>
      <c r="X31" s="70" t="n">
        <v>-14.5</v>
      </c>
    </row>
    <row r="32" customFormat="false" ht="13.2" hidden="false" customHeight="false" outlineLevel="0" collapsed="false">
      <c r="A32" s="60"/>
      <c r="B32" s="60"/>
      <c r="C32" s="52" t="s">
        <v>184</v>
      </c>
      <c r="D32" s="17"/>
      <c r="E32" s="51" t="n">
        <v>-6</v>
      </c>
      <c r="F32" s="17"/>
      <c r="G32" s="51" t="n">
        <v>-6</v>
      </c>
      <c r="H32" s="17"/>
      <c r="I32" s="51" t="n">
        <v>-6</v>
      </c>
      <c r="J32" s="17"/>
      <c r="K32" s="51" t="n">
        <v>-6</v>
      </c>
      <c r="L32" s="19"/>
      <c r="M32" s="17"/>
      <c r="N32" s="19" t="n">
        <v>-6</v>
      </c>
      <c r="O32" s="17"/>
      <c r="P32" s="19" t="n">
        <v>-6</v>
      </c>
      <c r="Q32" s="17"/>
      <c r="R32" s="19" t="n">
        <v>-6</v>
      </c>
      <c r="S32" s="19"/>
      <c r="T32" s="19" t="n">
        <v>-6</v>
      </c>
      <c r="U32" s="60"/>
      <c r="V32" s="70" t="n">
        <v>-6</v>
      </c>
      <c r="W32" s="70"/>
      <c r="X32" s="70" t="n">
        <v>-6</v>
      </c>
    </row>
    <row r="33" customFormat="false" ht="13.2" hidden="false" customHeight="false" outlineLevel="0" collapsed="false">
      <c r="A33" s="60"/>
      <c r="B33" s="52" t="s">
        <v>185</v>
      </c>
      <c r="C33" s="60"/>
      <c r="D33" s="60"/>
      <c r="E33" s="19" t="n">
        <v>-8.5</v>
      </c>
      <c r="F33" s="60"/>
      <c r="G33" s="19" t="n">
        <v>-8.8</v>
      </c>
      <c r="H33" s="60"/>
      <c r="I33" s="19" t="n">
        <v>-9</v>
      </c>
      <c r="J33" s="60"/>
      <c r="K33" s="18" t="n">
        <f aca="false">-9.7+0.5-0.2</f>
        <v>-9.4</v>
      </c>
      <c r="L33" s="18"/>
      <c r="M33" s="60"/>
      <c r="N33" s="18" t="n">
        <f aca="false">-7.2-1.5</f>
        <v>-8.7</v>
      </c>
      <c r="O33" s="60"/>
      <c r="P33" s="19" t="n">
        <f aca="false">-8.9+0.3</f>
        <v>-8.6</v>
      </c>
      <c r="Q33" s="60"/>
      <c r="R33" s="18" t="n">
        <f aca="false">-8.9-0.3</f>
        <v>-9.2</v>
      </c>
      <c r="S33" s="19"/>
      <c r="T33" s="19" t="n">
        <v>-8.7</v>
      </c>
      <c r="U33" s="60"/>
      <c r="V33" s="70" t="n">
        <v>-8.7</v>
      </c>
      <c r="W33" s="70"/>
      <c r="X33" s="70" t="n">
        <v>-8.7</v>
      </c>
    </row>
    <row r="34" customFormat="false" ht="13.2" hidden="false" customHeight="false" outlineLevel="0" collapsed="false">
      <c r="A34" s="60"/>
      <c r="B34" s="60"/>
      <c r="C34" s="52" t="s">
        <v>186</v>
      </c>
      <c r="D34" s="60"/>
      <c r="E34" s="26" t="n">
        <v>-1.4</v>
      </c>
      <c r="F34" s="60"/>
      <c r="G34" s="26" t="n">
        <v>-1.6</v>
      </c>
      <c r="H34" s="60"/>
      <c r="I34" s="26" t="n">
        <v>-2</v>
      </c>
      <c r="J34" s="60"/>
      <c r="K34" s="25" t="n">
        <f aca="false">-3.8+2.6</f>
        <v>-1.2</v>
      </c>
      <c r="L34" s="18"/>
      <c r="M34" s="60"/>
      <c r="N34" s="25" t="n">
        <f aca="false">1-2.6-0.7</f>
        <v>-2.3</v>
      </c>
      <c r="O34" s="60"/>
      <c r="P34" s="26" t="n">
        <v>-2.2</v>
      </c>
      <c r="Q34" s="60"/>
      <c r="R34" s="26" t="n">
        <v>-1.9</v>
      </c>
      <c r="S34" s="19"/>
      <c r="T34" s="26" t="n">
        <v>-2.2</v>
      </c>
      <c r="U34" s="60"/>
      <c r="V34" s="71" t="n">
        <v>-2.2</v>
      </c>
      <c r="W34" s="70"/>
      <c r="X34" s="71" t="n">
        <v>-2.2</v>
      </c>
    </row>
    <row r="35" customFormat="false" ht="3.9" hidden="false" customHeight="true" outlineLevel="0" collapsed="false">
      <c r="A35" s="64"/>
      <c r="B35" s="60"/>
      <c r="C35" s="60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60"/>
      <c r="V35" s="67"/>
      <c r="W35" s="67"/>
      <c r="X35" s="67"/>
    </row>
    <row r="36" customFormat="false" ht="13.2" hidden="false" customHeight="false" outlineLevel="0" collapsed="false">
      <c r="A36" s="64"/>
      <c r="B36" s="60"/>
      <c r="C36" s="52" t="s">
        <v>41</v>
      </c>
      <c r="D36" s="17"/>
      <c r="E36" s="17" t="n">
        <f aca="false">SUM(E21:E34)</f>
        <v>-123.7</v>
      </c>
      <c r="F36" s="17"/>
      <c r="G36" s="17" t="n">
        <f aca="false">SUM(G21:G34)</f>
        <v>-108.4</v>
      </c>
      <c r="H36" s="17"/>
      <c r="I36" s="17" t="n">
        <f aca="false">SUM(I21:I34)</f>
        <v>-99.6</v>
      </c>
      <c r="J36" s="17"/>
      <c r="K36" s="17" t="n">
        <f aca="false">SUM(K21:K34)</f>
        <v>-78.8</v>
      </c>
      <c r="L36" s="17"/>
      <c r="M36" s="17"/>
      <c r="N36" s="17" t="n">
        <f aca="false">SUM(N21:N34)</f>
        <v>-70.3</v>
      </c>
      <c r="O36" s="17"/>
      <c r="P36" s="17" t="n">
        <f aca="false">SUM(P21:P34)</f>
        <v>-64</v>
      </c>
      <c r="Q36" s="17"/>
      <c r="R36" s="17" t="n">
        <f aca="false">SUM(R21:R34)</f>
        <v>-61.7</v>
      </c>
      <c r="S36" s="60"/>
      <c r="T36" s="17" t="n">
        <f aca="false">SUM(T21:T34)</f>
        <v>-61.5</v>
      </c>
      <c r="U36" s="68"/>
      <c r="V36" s="17" t="n">
        <f aca="false">SUM(V21:V34)</f>
        <v>-62.2</v>
      </c>
      <c r="W36" s="67"/>
      <c r="X36" s="17" t="n">
        <f aca="false">SUM(X21:X34)</f>
        <v>-62.7</v>
      </c>
    </row>
    <row r="37" customFormat="false" ht="6" hidden="false" customHeight="true" outlineLevel="0" collapsed="false">
      <c r="A37" s="73"/>
      <c r="B37" s="60"/>
      <c r="C37" s="60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60"/>
      <c r="V37" s="67"/>
      <c r="W37" s="67"/>
      <c r="X37" s="67"/>
    </row>
    <row r="38" customFormat="false" ht="13.2" hidden="false" customHeight="false" outlineLevel="0" collapsed="false">
      <c r="A38" s="64" t="s">
        <v>42</v>
      </c>
      <c r="B38" s="60"/>
      <c r="C38" s="60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60"/>
      <c r="V38" s="67"/>
      <c r="W38" s="67"/>
      <c r="X38" s="67"/>
    </row>
    <row r="39" customFormat="false" ht="13.2" hidden="false" customHeight="false" outlineLevel="0" collapsed="false">
      <c r="A39" s="64"/>
      <c r="B39" s="22" t="s">
        <v>45</v>
      </c>
      <c r="C39" s="60"/>
      <c r="D39" s="17"/>
      <c r="E39" s="19" t="n">
        <v>0.5</v>
      </c>
      <c r="F39" s="17"/>
      <c r="G39" s="19" t="n">
        <v>5.4</v>
      </c>
      <c r="H39" s="17"/>
      <c r="I39" s="19" t="n">
        <v>8.8</v>
      </c>
      <c r="J39" s="17"/>
      <c r="K39" s="19" t="n">
        <v>0.9</v>
      </c>
      <c r="L39" s="19"/>
      <c r="M39" s="17"/>
      <c r="N39" s="19" t="n">
        <v>0</v>
      </c>
      <c r="O39" s="17"/>
      <c r="P39" s="19" t="n">
        <v>0.1</v>
      </c>
      <c r="Q39" s="17"/>
      <c r="R39" s="19" t="n">
        <v>0</v>
      </c>
      <c r="S39" s="17"/>
      <c r="T39" s="19" t="n">
        <v>0</v>
      </c>
      <c r="U39" s="60"/>
      <c r="V39" s="19" t="n">
        <v>0</v>
      </c>
      <c r="W39" s="67"/>
      <c r="X39" s="19" t="n">
        <v>0</v>
      </c>
    </row>
    <row r="40" customFormat="false" ht="13.2" hidden="false" customHeight="false" outlineLevel="0" collapsed="false">
      <c r="A40" s="73"/>
      <c r="B40" s="52" t="s">
        <v>42</v>
      </c>
      <c r="C40" s="60"/>
      <c r="D40" s="17"/>
      <c r="E40" s="25" t="n">
        <f aca="false">-8.8+8.9</f>
        <v>0.0999999999999996</v>
      </c>
      <c r="F40" s="17"/>
      <c r="G40" s="25" t="n">
        <f aca="false">2.4-0.5</f>
        <v>1.9</v>
      </c>
      <c r="H40" s="17"/>
      <c r="I40" s="26" t="n">
        <v>3.2</v>
      </c>
      <c r="J40" s="17"/>
      <c r="K40" s="25" t="n">
        <f aca="false">(-0.1-3.6+3.5)-(-8.3+8.4)</f>
        <v>-0.3</v>
      </c>
      <c r="L40" s="18"/>
      <c r="M40" s="17"/>
      <c r="N40" s="25" t="n">
        <f aca="false">+(4-3.5-0.2)-0</f>
        <v>0.3</v>
      </c>
      <c r="O40" s="17"/>
      <c r="P40" s="25" t="n">
        <f aca="false">+(0.8-0.2-0.2)-(-0.2+0.2)</f>
        <v>0.4</v>
      </c>
      <c r="Q40" s="17"/>
      <c r="R40" s="26" t="n">
        <v>0.2</v>
      </c>
      <c r="S40" s="19"/>
      <c r="T40" s="26" t="n">
        <v>0.1</v>
      </c>
      <c r="U40" s="60"/>
      <c r="V40" s="71" t="n">
        <v>-0.1</v>
      </c>
      <c r="W40" s="70"/>
      <c r="X40" s="71" t="n">
        <v>-0.1</v>
      </c>
    </row>
    <row r="41" customFormat="false" ht="3.9" hidden="false" customHeight="true" outlineLevel="0" collapsed="false">
      <c r="A41" s="73"/>
      <c r="B41" s="52"/>
      <c r="C41" s="60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36"/>
      <c r="S41" s="17"/>
      <c r="T41" s="17"/>
      <c r="U41" s="60"/>
      <c r="V41" s="67"/>
      <c r="W41" s="67"/>
      <c r="X41" s="67"/>
    </row>
    <row r="42" customFormat="false" ht="13.2" hidden="false" customHeight="false" outlineLevel="0" collapsed="false">
      <c r="A42" s="60"/>
      <c r="B42" s="60"/>
      <c r="C42" s="52" t="s">
        <v>46</v>
      </c>
      <c r="D42" s="17"/>
      <c r="E42" s="17" t="n">
        <f aca="false">SUM(E39:E40)</f>
        <v>0.6</v>
      </c>
      <c r="F42" s="17"/>
      <c r="G42" s="17" t="n">
        <f aca="false">SUM(G39:G40)</f>
        <v>7.3</v>
      </c>
      <c r="H42" s="17"/>
      <c r="I42" s="17" t="n">
        <f aca="false">SUM(I39:I40)</f>
        <v>12</v>
      </c>
      <c r="J42" s="17"/>
      <c r="K42" s="17" t="n">
        <f aca="false">SUM(K39:K40)</f>
        <v>0.6</v>
      </c>
      <c r="L42" s="17"/>
      <c r="M42" s="17"/>
      <c r="N42" s="17" t="n">
        <f aca="false">SUM(N39:N40)</f>
        <v>0.3</v>
      </c>
      <c r="O42" s="17"/>
      <c r="P42" s="17" t="n">
        <f aca="false">SUM(P39:P40)</f>
        <v>0.5</v>
      </c>
      <c r="Q42" s="17"/>
      <c r="R42" s="17" t="n">
        <f aca="false">SUM(R39:R40)</f>
        <v>0.2</v>
      </c>
      <c r="S42" s="17"/>
      <c r="T42" s="17" t="n">
        <f aca="false">SUM(T39:T40)</f>
        <v>0.1</v>
      </c>
      <c r="U42" s="60"/>
      <c r="V42" s="17" t="n">
        <f aca="false">SUM(V39:V40)</f>
        <v>-0.1</v>
      </c>
      <c r="W42" s="67"/>
      <c r="X42" s="17" t="n">
        <f aca="false">SUM(X39:X40)</f>
        <v>-0.1</v>
      </c>
    </row>
    <row r="43" customFormat="false" ht="7.5" hidden="false" customHeight="true" outlineLevel="0" collapsed="false">
      <c r="A43" s="73"/>
      <c r="B43" s="60"/>
      <c r="C43" s="60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60"/>
      <c r="V43" s="67"/>
      <c r="W43" s="67"/>
      <c r="X43" s="67"/>
    </row>
    <row r="44" customFormat="false" ht="12.75" hidden="false" customHeight="true" outlineLevel="0" collapsed="false">
      <c r="A44" s="64" t="s">
        <v>47</v>
      </c>
      <c r="B44" s="60"/>
      <c r="C44" s="60"/>
      <c r="D44" s="17"/>
      <c r="E44" s="29" t="n">
        <f aca="false">+E18+E36+E42</f>
        <v>69.9</v>
      </c>
      <c r="F44" s="17"/>
      <c r="G44" s="29" t="n">
        <f aca="false">+G18+G36+G42</f>
        <v>85.8</v>
      </c>
      <c r="H44" s="17"/>
      <c r="I44" s="29" t="n">
        <f aca="false">+I18+I36+I42</f>
        <v>87.1</v>
      </c>
      <c r="J44" s="17"/>
      <c r="K44" s="29" t="n">
        <f aca="false">+K18+K36+K42</f>
        <v>97.5</v>
      </c>
      <c r="L44" s="29"/>
      <c r="M44" s="17"/>
      <c r="N44" s="29" t="n">
        <f aca="false">+N18+N36+N42</f>
        <v>51.3</v>
      </c>
      <c r="O44" s="17"/>
      <c r="P44" s="29" t="n">
        <f aca="false">+P18+P36+P42</f>
        <v>69.7</v>
      </c>
      <c r="Q44" s="17"/>
      <c r="R44" s="29" t="n">
        <f aca="false">+R18+R36+R42</f>
        <v>69.1</v>
      </c>
      <c r="S44" s="17"/>
      <c r="T44" s="29" t="n">
        <f aca="false">+T18+T36+T42</f>
        <v>73.9</v>
      </c>
      <c r="U44" s="68"/>
      <c r="V44" s="29" t="n">
        <f aca="false">+V18+V36+V42</f>
        <v>76.9</v>
      </c>
      <c r="W44" s="67"/>
      <c r="X44" s="29" t="n">
        <f aca="false">+X18+X36+X42</f>
        <v>74.7</v>
      </c>
    </row>
    <row r="45" customFormat="false" ht="7.5" hidden="false" customHeight="true" outlineLevel="0" collapsed="false">
      <c r="A45" s="73"/>
      <c r="B45" s="60"/>
      <c r="C45" s="60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60"/>
      <c r="V45" s="67"/>
      <c r="W45" s="67"/>
      <c r="X45" s="67"/>
    </row>
    <row r="46" customFormat="false" ht="13.2" hidden="false" customHeight="false" outlineLevel="0" collapsed="false">
      <c r="A46" s="64" t="s">
        <v>48</v>
      </c>
      <c r="B46" s="60"/>
      <c r="C46" s="60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60"/>
      <c r="V46" s="67"/>
      <c r="W46" s="67"/>
      <c r="X46" s="67"/>
    </row>
    <row r="47" customFormat="false" ht="13.2" hidden="false" customHeight="false" outlineLevel="0" collapsed="false">
      <c r="A47" s="64"/>
      <c r="B47" s="52" t="s">
        <v>187</v>
      </c>
      <c r="C47" s="60"/>
      <c r="D47" s="17"/>
      <c r="E47" s="51" t="n">
        <f aca="false">56.4-56.4</f>
        <v>0</v>
      </c>
      <c r="F47" s="17"/>
      <c r="G47" s="51" t="n">
        <f aca="false">56.4-56.4</f>
        <v>0</v>
      </c>
      <c r="H47" s="17"/>
      <c r="I47" s="51" t="n">
        <f aca="false">56.4-56.4</f>
        <v>0</v>
      </c>
      <c r="J47" s="17"/>
      <c r="K47" s="51" t="n">
        <v>3.9</v>
      </c>
      <c r="L47" s="17"/>
      <c r="M47" s="19"/>
      <c r="N47" s="51" t="n">
        <v>21.6</v>
      </c>
      <c r="O47" s="17"/>
      <c r="P47" s="51" t="n">
        <v>11.8</v>
      </c>
      <c r="Q47" s="17"/>
      <c r="R47" s="51" t="n">
        <v>11.8</v>
      </c>
      <c r="S47" s="17"/>
      <c r="T47" s="51" t="n">
        <v>11.8</v>
      </c>
      <c r="U47" s="60"/>
      <c r="V47" s="51" t="n">
        <v>9.8</v>
      </c>
      <c r="W47" s="67"/>
      <c r="X47" s="19" t="n">
        <v>0</v>
      </c>
    </row>
    <row r="48" customFormat="false" ht="13.2" hidden="false" customHeight="false" outlineLevel="0" collapsed="false">
      <c r="A48" s="64"/>
      <c r="B48" s="22" t="s">
        <v>49</v>
      </c>
      <c r="C48" s="60"/>
      <c r="D48" s="17"/>
      <c r="E48" s="17" t="n">
        <f aca="false">+'TW-Disc.,Assets,Reserves,Other'!E13</f>
        <v>7</v>
      </c>
      <c r="F48" s="17"/>
      <c r="G48" s="17" t="n">
        <f aca="false">+'TW-Disc.,Assets,Reserves,Other'!G13</f>
        <v>3.3</v>
      </c>
      <c r="H48" s="17"/>
      <c r="I48" s="17" t="n">
        <f aca="false">+'TW-Disc.,Assets,Reserves,Other'!I13</f>
        <v>4.8</v>
      </c>
      <c r="J48" s="17"/>
      <c r="K48" s="17" t="n">
        <f aca="false">+'TW-Disc.,Assets,Reserves,Other'!K13</f>
        <v>2.9</v>
      </c>
      <c r="L48" s="17"/>
      <c r="M48" s="19"/>
      <c r="N48" s="17" t="n">
        <f aca="false">+'TW-Disc.,Assets,Reserves,Other'!M13</f>
        <v>0.9</v>
      </c>
      <c r="O48" s="17"/>
      <c r="P48" s="17" t="n">
        <f aca="false">+'TW-Disc.,Assets,Reserves,Other'!O13</f>
        <v>0</v>
      </c>
      <c r="Q48" s="17"/>
      <c r="R48" s="17" t="n">
        <f aca="false">+'TW-Disc.,Assets,Reserves,Other'!Q13</f>
        <v>0</v>
      </c>
      <c r="S48" s="17"/>
      <c r="T48" s="17" t="n">
        <f aca="false">+'TW-Disc.,Assets,Reserves,Other'!S13</f>
        <v>0</v>
      </c>
      <c r="U48" s="60"/>
      <c r="V48" s="17" t="n">
        <f aca="false">+'TW-Disc.,Assets,Reserves,Other'!U13</f>
        <v>0</v>
      </c>
      <c r="W48" s="67"/>
      <c r="X48" s="17" t="n">
        <f aca="false">+'TW-Disc.,Assets,Reserves,Other'!W13</f>
        <v>0</v>
      </c>
    </row>
    <row r="49" customFormat="false" ht="13.2" hidden="false" customHeight="false" outlineLevel="0" collapsed="false">
      <c r="A49" s="73"/>
      <c r="B49" s="52" t="s">
        <v>50</v>
      </c>
      <c r="C49" s="60"/>
      <c r="D49" s="17"/>
      <c r="E49" s="17" t="n">
        <f aca="false">+'TW-Disc.,Assets,Reserves,Other'!E23</f>
        <v>0</v>
      </c>
      <c r="F49" s="17"/>
      <c r="G49" s="17" t="n">
        <f aca="false">+'TW-Disc.,Assets,Reserves,Other'!G23</f>
        <v>0</v>
      </c>
      <c r="H49" s="17"/>
      <c r="I49" s="17" t="n">
        <f aca="false">+'TW-Disc.,Assets,Reserves,Other'!I23</f>
        <v>0</v>
      </c>
      <c r="J49" s="17"/>
      <c r="K49" s="17" t="n">
        <f aca="false">+'TW-Disc.,Assets,Reserves,Other'!K23</f>
        <v>3.6</v>
      </c>
      <c r="L49" s="17"/>
      <c r="M49" s="17"/>
      <c r="N49" s="17" t="n">
        <f aca="false">+'TW-Disc.,Assets,Reserves,Other'!M23</f>
        <v>0.2</v>
      </c>
      <c r="O49" s="17"/>
      <c r="P49" s="17" t="n">
        <f aca="false">+'TW-Disc.,Assets,Reserves,Other'!O23</f>
        <v>0</v>
      </c>
      <c r="Q49" s="17"/>
      <c r="R49" s="17" t="n">
        <f aca="false">+'TW-Disc.,Assets,Reserves,Other'!Q23</f>
        <v>1.9</v>
      </c>
      <c r="S49" s="19"/>
      <c r="T49" s="17" t="n">
        <f aca="false">+'TW-Disc.,Assets,Reserves,Other'!S23</f>
        <v>3</v>
      </c>
      <c r="U49" s="60"/>
      <c r="V49" s="17" t="n">
        <f aca="false">+'TW-Disc.,Assets,Reserves,Other'!U23</f>
        <v>5</v>
      </c>
      <c r="W49" s="75"/>
      <c r="X49" s="17" t="n">
        <f aca="false">+'TW-Disc.,Assets,Reserves,Other'!W23</f>
        <v>5</v>
      </c>
    </row>
    <row r="50" customFormat="false" ht="13.2" hidden="false" customHeight="false" outlineLevel="0" collapsed="false">
      <c r="A50" s="73"/>
      <c r="B50" s="22" t="s">
        <v>51</v>
      </c>
      <c r="C50" s="60"/>
      <c r="D50" s="17"/>
      <c r="E50" s="17" t="n">
        <f aca="false">+'TW-Disc.,Assets,Reserves,Other'!E34</f>
        <v>-26.9</v>
      </c>
      <c r="F50" s="17"/>
      <c r="G50" s="17" t="n">
        <f aca="false">+'TW-Disc.,Assets,Reserves,Other'!G34</f>
        <v>3</v>
      </c>
      <c r="H50" s="17"/>
      <c r="I50" s="17" t="n">
        <f aca="false">+'TW-Disc.,Assets,Reserves,Other'!I34</f>
        <v>-8.8</v>
      </c>
      <c r="J50" s="17"/>
      <c r="K50" s="17" t="n">
        <f aca="false">+'TW-Disc.,Assets,Reserves,Other'!K34</f>
        <v>31.3</v>
      </c>
      <c r="L50" s="17"/>
      <c r="M50" s="17"/>
      <c r="N50" s="17" t="n">
        <f aca="false">+'TW-Disc.,Assets,Reserves,Other'!M34</f>
        <v>1.4</v>
      </c>
      <c r="O50" s="17"/>
      <c r="P50" s="17" t="n">
        <f aca="false">+'TW-Disc.,Assets,Reserves,Other'!O34</f>
        <v>0.2</v>
      </c>
      <c r="Q50" s="17"/>
      <c r="R50" s="17" t="n">
        <f aca="false">+'TW-Disc.,Assets,Reserves,Other'!Q34</f>
        <v>0</v>
      </c>
      <c r="S50" s="19"/>
      <c r="T50" s="17" t="n">
        <f aca="false">+'TW-Disc.,Assets,Reserves,Other'!S34</f>
        <v>0</v>
      </c>
      <c r="U50" s="60"/>
      <c r="V50" s="17" t="n">
        <f aca="false">+'TW-Disc.,Assets,Reserves,Other'!U34</f>
        <v>0</v>
      </c>
      <c r="W50" s="75"/>
      <c r="X50" s="17" t="n">
        <f aca="false">+'TW-Disc.,Assets,Reserves,Other'!W34</f>
        <v>0</v>
      </c>
    </row>
    <row r="51" customFormat="false" ht="13.2" hidden="false" customHeight="false" outlineLevel="0" collapsed="false">
      <c r="A51" s="73"/>
      <c r="B51" s="52" t="s">
        <v>52</v>
      </c>
      <c r="C51" s="60"/>
      <c r="D51" s="17"/>
      <c r="E51" s="37" t="n">
        <f aca="false">+'TW-Disc.,Assets,Reserves,Other'!E70</f>
        <v>-21.4</v>
      </c>
      <c r="F51" s="17"/>
      <c r="G51" s="37" t="n">
        <f aca="false">+'TW-Disc.,Assets,Reserves,Other'!G70</f>
        <v>5</v>
      </c>
      <c r="H51" s="17"/>
      <c r="I51" s="37" t="n">
        <f aca="false">+'TW-Disc.,Assets,Reserves,Other'!I70</f>
        <v>1.2</v>
      </c>
      <c r="J51" s="17"/>
      <c r="K51" s="37" t="n">
        <f aca="false">+'TW-Disc.,Assets,Reserves,Other'!K70</f>
        <v>-8.1</v>
      </c>
      <c r="L51" s="17"/>
      <c r="M51" s="17"/>
      <c r="N51" s="37" t="n">
        <f aca="false">+'TW-Disc.,Assets,Reserves,Other'!M70</f>
        <v>12.3</v>
      </c>
      <c r="O51" s="17"/>
      <c r="P51" s="37" t="n">
        <f aca="false">+'TW-Disc.,Assets,Reserves,Other'!O70</f>
        <v>6.3</v>
      </c>
      <c r="Q51" s="17"/>
      <c r="R51" s="37" t="n">
        <f aca="false">+'TW-Disc.,Assets,Reserves,Other'!Q70</f>
        <v>2</v>
      </c>
      <c r="S51" s="19"/>
      <c r="T51" s="37" t="n">
        <f aca="false">+'TW-Disc.,Assets,Reserves,Other'!S70</f>
        <v>2.2</v>
      </c>
      <c r="U51" s="60"/>
      <c r="V51" s="37" t="n">
        <f aca="false">+'TW-Disc.,Assets,Reserves,Other'!U70</f>
        <v>-0.5</v>
      </c>
      <c r="W51" s="67"/>
      <c r="X51" s="37" t="n">
        <f aca="false">+'TW-Disc.,Assets,Reserves,Other'!W70</f>
        <v>-0.5</v>
      </c>
    </row>
    <row r="52" customFormat="false" ht="3.9" hidden="false" customHeight="true" outlineLevel="0" collapsed="false">
      <c r="A52" s="73"/>
      <c r="B52" s="60"/>
      <c r="C52" s="60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60"/>
      <c r="V52" s="67"/>
      <c r="W52" s="67"/>
      <c r="X52" s="67"/>
    </row>
    <row r="53" customFormat="false" ht="13.2" hidden="false" customHeight="false" outlineLevel="0" collapsed="false">
      <c r="A53" s="73"/>
      <c r="B53" s="60"/>
      <c r="C53" s="64" t="s">
        <v>53</v>
      </c>
      <c r="D53" s="17"/>
      <c r="E53" s="29" t="n">
        <f aca="false">SUM(E47:E51)</f>
        <v>-41.3</v>
      </c>
      <c r="F53" s="17"/>
      <c r="G53" s="29" t="n">
        <f aca="false">SUM(G47:G51)</f>
        <v>11.3</v>
      </c>
      <c r="H53" s="17"/>
      <c r="I53" s="29" t="n">
        <f aca="false">SUM(I47:I51)</f>
        <v>-2.8</v>
      </c>
      <c r="J53" s="17"/>
      <c r="K53" s="29" t="n">
        <f aca="false">SUM(K47:K51)</f>
        <v>33.6</v>
      </c>
      <c r="L53" s="29"/>
      <c r="M53" s="17"/>
      <c r="N53" s="29" t="n">
        <f aca="false">SUM(N47:N51)</f>
        <v>36.4</v>
      </c>
      <c r="O53" s="17"/>
      <c r="P53" s="29" t="n">
        <f aca="false">SUM(P47:P51)</f>
        <v>18.3</v>
      </c>
      <c r="Q53" s="17"/>
      <c r="R53" s="29" t="n">
        <f aca="false">SUM(R47:R51)</f>
        <v>15.7</v>
      </c>
      <c r="S53" s="17"/>
      <c r="T53" s="29" t="n">
        <f aca="false">SUM(T47:T51)</f>
        <v>17</v>
      </c>
      <c r="U53" s="60"/>
      <c r="V53" s="29" t="n">
        <f aca="false">SUM(V47:V51)</f>
        <v>14.3</v>
      </c>
      <c r="W53" s="67"/>
      <c r="X53" s="29" t="n">
        <f aca="false">SUM(X47:X51)</f>
        <v>4.5</v>
      </c>
    </row>
    <row r="54" customFormat="false" ht="7.5" hidden="false" customHeight="true" outlineLevel="0" collapsed="false">
      <c r="A54" s="73"/>
      <c r="B54" s="60"/>
      <c r="C54" s="60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60"/>
      <c r="V54" s="67"/>
      <c r="W54" s="67"/>
      <c r="X54" s="67"/>
    </row>
    <row r="55" customFormat="false" ht="13.8" hidden="false" customHeight="false" outlineLevel="0" collapsed="false">
      <c r="A55" s="73" t="s">
        <v>54</v>
      </c>
      <c r="B55" s="60"/>
      <c r="C55" s="60"/>
      <c r="D55" s="17"/>
      <c r="E55" s="38" t="n">
        <f aca="false">+E44+E53</f>
        <v>28.6</v>
      </c>
      <c r="F55" s="17"/>
      <c r="G55" s="38" t="n">
        <f aca="false">+G44+G53</f>
        <v>97.1</v>
      </c>
      <c r="H55" s="17"/>
      <c r="I55" s="38" t="n">
        <f aca="false">+I44+I53</f>
        <v>84.3</v>
      </c>
      <c r="J55" s="17"/>
      <c r="K55" s="38" t="n">
        <f aca="false">+K44+K53</f>
        <v>131.1</v>
      </c>
      <c r="L55" s="29"/>
      <c r="M55" s="17"/>
      <c r="N55" s="38" t="n">
        <f aca="false">+N44+N53</f>
        <v>87.7</v>
      </c>
      <c r="O55" s="17"/>
      <c r="P55" s="38" t="n">
        <f aca="false">+P44+P53</f>
        <v>88</v>
      </c>
      <c r="Q55" s="17"/>
      <c r="R55" s="38" t="n">
        <f aca="false">+R44+R53</f>
        <v>84.8</v>
      </c>
      <c r="S55" s="17"/>
      <c r="T55" s="38" t="n">
        <f aca="false">+T44+T53</f>
        <v>90.9</v>
      </c>
      <c r="U55" s="68"/>
      <c r="V55" s="38" t="n">
        <f aca="false">+V44+V53</f>
        <v>91.2</v>
      </c>
      <c r="W55" s="67"/>
      <c r="X55" s="38" t="n">
        <f aca="false">+X44+X53</f>
        <v>79.2</v>
      </c>
    </row>
    <row r="56" customFormat="false" ht="6" hidden="false" customHeight="true" outlineLevel="0" collapsed="false">
      <c r="A56" s="73"/>
      <c r="B56" s="60"/>
      <c r="C56" s="60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60"/>
      <c r="V56" s="67"/>
      <c r="W56" s="67"/>
      <c r="X56" s="67"/>
    </row>
    <row r="57" customFormat="false" ht="12.75" hidden="false" customHeight="true" outlineLevel="0" collapsed="false">
      <c r="A57" s="64" t="s">
        <v>55</v>
      </c>
      <c r="B57" s="60"/>
      <c r="C57" s="60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60"/>
      <c r="V57" s="67"/>
      <c r="W57" s="67"/>
      <c r="X57" s="67"/>
    </row>
    <row r="58" customFormat="false" ht="12.75" hidden="false" customHeight="true" outlineLevel="0" collapsed="false">
      <c r="A58" s="64"/>
      <c r="B58" s="22" t="s">
        <v>55</v>
      </c>
      <c r="C58" s="6"/>
      <c r="D58" s="17"/>
      <c r="E58" s="20" t="n">
        <f aca="false">-14.4-0.5</f>
        <v>-14.9</v>
      </c>
      <c r="F58" s="17"/>
      <c r="G58" s="20" t="n">
        <f aca="false">-14.7-0.5</f>
        <v>-15.2</v>
      </c>
      <c r="H58" s="17"/>
      <c r="I58" s="20" t="n">
        <f aca="false">-13.4-0.5</f>
        <v>-13.9</v>
      </c>
      <c r="J58" s="17"/>
      <c r="K58" s="19" t="n">
        <v>-0.1</v>
      </c>
      <c r="L58" s="19"/>
      <c r="M58" s="17"/>
      <c r="N58" s="19" t="n">
        <v>-0.1</v>
      </c>
      <c r="O58" s="17"/>
      <c r="P58" s="19" t="n">
        <v>0</v>
      </c>
      <c r="Q58" s="17"/>
      <c r="R58" s="19" t="n">
        <v>0</v>
      </c>
      <c r="S58" s="17"/>
      <c r="T58" s="19" t="n">
        <v>0</v>
      </c>
      <c r="U58" s="60"/>
      <c r="V58" s="19" t="n">
        <v>0</v>
      </c>
      <c r="W58" s="67"/>
      <c r="X58" s="19" t="n">
        <v>0</v>
      </c>
    </row>
    <row r="59" customFormat="false" ht="13.2" hidden="false" customHeight="false" outlineLevel="0" collapsed="false">
      <c r="A59" s="60"/>
      <c r="B59" s="52" t="s">
        <v>57</v>
      </c>
      <c r="C59" s="60"/>
      <c r="D59" s="17"/>
      <c r="E59" s="19" t="n">
        <v>0</v>
      </c>
      <c r="F59" s="17"/>
      <c r="G59" s="19" t="n">
        <v>0</v>
      </c>
      <c r="H59" s="17"/>
      <c r="I59" s="19" t="n">
        <v>0</v>
      </c>
      <c r="J59" s="17"/>
      <c r="K59" s="19" t="n">
        <v>0</v>
      </c>
      <c r="L59" s="19"/>
      <c r="M59" s="17"/>
      <c r="N59" s="19" t="n">
        <v>0</v>
      </c>
      <c r="O59" s="17"/>
      <c r="P59" s="19" t="n">
        <v>2.6</v>
      </c>
      <c r="Q59" s="17"/>
      <c r="R59" s="19" t="n">
        <v>7.4</v>
      </c>
      <c r="S59" s="19"/>
      <c r="T59" s="19" t="n">
        <v>8.7</v>
      </c>
      <c r="U59" s="60"/>
      <c r="V59" s="70" t="n">
        <v>17.2</v>
      </c>
      <c r="W59" s="70"/>
      <c r="X59" s="70" t="n">
        <v>21.3</v>
      </c>
    </row>
    <row r="60" customFormat="false" ht="13.2" hidden="false" customHeight="false" outlineLevel="0" collapsed="false">
      <c r="A60" s="60"/>
      <c r="B60" s="52" t="s">
        <v>58</v>
      </c>
      <c r="C60" s="60"/>
      <c r="D60" s="17"/>
      <c r="E60" s="20" t="n">
        <v>0.5</v>
      </c>
      <c r="F60" s="17"/>
      <c r="G60" s="20" t="n">
        <v>0.5</v>
      </c>
      <c r="H60" s="17"/>
      <c r="I60" s="20" t="n">
        <v>0.5</v>
      </c>
      <c r="J60" s="17"/>
      <c r="K60" s="18" t="n">
        <f aca="false">9-9+0.9</f>
        <v>0.9</v>
      </c>
      <c r="L60" s="18"/>
      <c r="M60" s="17"/>
      <c r="N60" s="19" t="n">
        <v>0.1</v>
      </c>
      <c r="O60" s="17"/>
      <c r="P60" s="19" t="n">
        <v>0.6</v>
      </c>
      <c r="Q60" s="17"/>
      <c r="R60" s="19" t="n">
        <v>0.4</v>
      </c>
      <c r="S60" s="19"/>
      <c r="T60" s="19" t="n">
        <v>0.2</v>
      </c>
      <c r="U60" s="60"/>
      <c r="V60" s="70" t="n">
        <v>0.1</v>
      </c>
      <c r="W60" s="70"/>
      <c r="X60" s="70" t="n">
        <v>0.1</v>
      </c>
    </row>
    <row r="61" customFormat="false" ht="6" hidden="false" customHeight="true" outlineLevel="0" collapsed="false">
      <c r="A61" s="60"/>
      <c r="B61" s="52"/>
      <c r="C61" s="60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9"/>
      <c r="S61" s="19"/>
      <c r="T61" s="19"/>
      <c r="U61" s="60"/>
      <c r="V61" s="67"/>
      <c r="W61" s="67"/>
      <c r="X61" s="67"/>
    </row>
    <row r="62" customFormat="false" ht="13.2" hidden="false" customHeight="false" outlineLevel="0" collapsed="false">
      <c r="A62" s="73" t="s">
        <v>59</v>
      </c>
      <c r="B62" s="60"/>
      <c r="C62" s="60"/>
      <c r="D62" s="39"/>
      <c r="E62" s="76" t="n">
        <f aca="false">-12.1+2.1</f>
        <v>-10</v>
      </c>
      <c r="F62" s="39"/>
      <c r="G62" s="76" t="n">
        <f aca="false">-34.4+2.1</f>
        <v>-32.3</v>
      </c>
      <c r="H62" s="39"/>
      <c r="I62" s="77" t="n">
        <f aca="false">-25.9-2.3+2.1</f>
        <v>-26.1</v>
      </c>
      <c r="J62" s="39"/>
      <c r="K62" s="77" t="n">
        <f aca="false">-57.4+0.4+2.1</f>
        <v>-54.9</v>
      </c>
      <c r="L62" s="77"/>
      <c r="M62" s="39"/>
      <c r="N62" s="77" t="n">
        <f aca="false">-33-1.3</f>
        <v>-34.3</v>
      </c>
      <c r="O62" s="39"/>
      <c r="P62" s="77" t="n">
        <f aca="false">-31.5-4.2</f>
        <v>-35.7</v>
      </c>
      <c r="Q62" s="39"/>
      <c r="R62" s="19" t="n">
        <v>-36.3</v>
      </c>
      <c r="S62" s="19"/>
      <c r="T62" s="19" t="n">
        <v>-39.1</v>
      </c>
      <c r="U62" s="60"/>
      <c r="V62" s="70" t="n">
        <v>-42.5</v>
      </c>
      <c r="W62" s="67"/>
      <c r="X62" s="70" t="n">
        <v>-39.4</v>
      </c>
    </row>
    <row r="63" customFormat="false" ht="6" hidden="false" customHeight="true" outlineLevel="0" collapsed="false">
      <c r="A63" s="73"/>
      <c r="B63" s="60"/>
      <c r="C63" s="60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19"/>
      <c r="S63" s="19"/>
      <c r="T63" s="19"/>
      <c r="U63" s="60"/>
      <c r="V63" s="67"/>
      <c r="W63" s="67"/>
      <c r="X63" s="67"/>
    </row>
    <row r="64" customFormat="false" ht="13.2" hidden="false" customHeight="false" outlineLevel="0" collapsed="false">
      <c r="A64" s="64" t="s">
        <v>188</v>
      </c>
      <c r="B64" s="60"/>
      <c r="C64" s="60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19"/>
      <c r="S64" s="19"/>
      <c r="T64" s="19"/>
      <c r="U64" s="60"/>
      <c r="V64" s="67"/>
      <c r="W64" s="67"/>
      <c r="X64" s="67"/>
    </row>
    <row r="65" customFormat="false" ht="13.2" hidden="false" customHeight="false" outlineLevel="0" collapsed="false">
      <c r="A65" s="64"/>
      <c r="B65" s="60" t="s">
        <v>189</v>
      </c>
      <c r="C65" s="60"/>
      <c r="D65" s="39"/>
      <c r="E65" s="78" t="n">
        <v>0</v>
      </c>
      <c r="F65" s="39"/>
      <c r="G65" s="78" t="n">
        <v>0</v>
      </c>
      <c r="H65" s="39"/>
      <c r="I65" s="78" t="n">
        <v>-9</v>
      </c>
      <c r="J65" s="39"/>
      <c r="K65" s="77" t="n">
        <f aca="false">9-0.9</f>
        <v>8.1</v>
      </c>
      <c r="L65" s="77"/>
      <c r="M65" s="39"/>
      <c r="N65" s="78" t="n">
        <v>0</v>
      </c>
      <c r="O65" s="39"/>
      <c r="P65" s="78" t="n">
        <v>0</v>
      </c>
      <c r="Q65" s="39"/>
      <c r="R65" s="78" t="n">
        <v>0</v>
      </c>
      <c r="S65" s="19"/>
      <c r="T65" s="78" t="n">
        <v>0</v>
      </c>
      <c r="U65" s="60"/>
      <c r="V65" s="78" t="n">
        <v>0</v>
      </c>
      <c r="W65" s="67"/>
      <c r="X65" s="78" t="n">
        <v>0</v>
      </c>
    </row>
    <row r="66" customFormat="false" ht="13.2" hidden="false" customHeight="false" outlineLevel="0" collapsed="false">
      <c r="A66" s="64"/>
      <c r="B66" s="22" t="s">
        <v>61</v>
      </c>
      <c r="C66" s="60"/>
      <c r="D66" s="39"/>
      <c r="E66" s="78" t="n">
        <v>0</v>
      </c>
      <c r="F66" s="39"/>
      <c r="G66" s="78" t="n">
        <v>0</v>
      </c>
      <c r="H66" s="39"/>
      <c r="I66" s="78" t="n">
        <v>2.3</v>
      </c>
      <c r="J66" s="39"/>
      <c r="K66" s="78" t="n">
        <v>0</v>
      </c>
      <c r="L66" s="78"/>
      <c r="M66" s="39"/>
      <c r="N66" s="78" t="n">
        <v>0</v>
      </c>
      <c r="O66" s="39"/>
      <c r="P66" s="78" t="n">
        <v>4.2</v>
      </c>
      <c r="Q66" s="39"/>
      <c r="R66" s="78" t="n">
        <v>0</v>
      </c>
      <c r="S66" s="19"/>
      <c r="T66" s="78" t="n">
        <v>0</v>
      </c>
      <c r="U66" s="60"/>
      <c r="V66" s="78" t="n">
        <v>0</v>
      </c>
      <c r="W66" s="67"/>
      <c r="X66" s="78" t="n">
        <v>0</v>
      </c>
    </row>
    <row r="67" customFormat="false" ht="13.2" hidden="false" customHeight="false" outlineLevel="0" collapsed="false">
      <c r="A67" s="64"/>
      <c r="B67" s="22" t="s">
        <v>190</v>
      </c>
      <c r="C67" s="60"/>
      <c r="D67" s="39"/>
      <c r="E67" s="79" t="n">
        <v>0</v>
      </c>
      <c r="F67" s="39"/>
      <c r="G67" s="79" t="n">
        <v>0</v>
      </c>
      <c r="H67" s="39"/>
      <c r="I67" s="79" t="n">
        <v>0</v>
      </c>
      <c r="J67" s="39"/>
      <c r="K67" s="79" t="n">
        <v>-0.4</v>
      </c>
      <c r="L67" s="78"/>
      <c r="M67" s="39"/>
      <c r="N67" s="79" t="n">
        <v>1.3</v>
      </c>
      <c r="O67" s="39"/>
      <c r="P67" s="79" t="n">
        <v>0</v>
      </c>
      <c r="Q67" s="39"/>
      <c r="R67" s="79" t="n">
        <v>0</v>
      </c>
      <c r="S67" s="19"/>
      <c r="T67" s="79" t="n">
        <v>0</v>
      </c>
      <c r="U67" s="60"/>
      <c r="V67" s="79" t="n">
        <v>0</v>
      </c>
      <c r="W67" s="67"/>
      <c r="X67" s="79" t="n">
        <v>0</v>
      </c>
    </row>
    <row r="68" customFormat="false" ht="6" hidden="false" customHeight="true" outlineLevel="0" collapsed="false">
      <c r="A68" s="73"/>
      <c r="B68" s="60"/>
      <c r="C68" s="60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17"/>
      <c r="S68" s="17"/>
      <c r="T68" s="17"/>
      <c r="U68" s="60"/>
      <c r="V68" s="75"/>
      <c r="W68" s="67"/>
      <c r="X68" s="75"/>
    </row>
    <row r="69" customFormat="false" ht="13.8" hidden="false" customHeight="false" outlineLevel="0" collapsed="false">
      <c r="A69" s="64" t="s">
        <v>63</v>
      </c>
      <c r="B69" s="60"/>
      <c r="C69" s="60"/>
      <c r="D69" s="17"/>
      <c r="E69" s="38" t="n">
        <f aca="false">SUM(E55:E67)</f>
        <v>4.19999999999999</v>
      </c>
      <c r="F69" s="17"/>
      <c r="G69" s="38" t="n">
        <f aca="false">SUM(G55:G67)</f>
        <v>50.1</v>
      </c>
      <c r="H69" s="17"/>
      <c r="I69" s="38" t="n">
        <f aca="false">SUM(I55:I67)</f>
        <v>38.1</v>
      </c>
      <c r="J69" s="17"/>
      <c r="K69" s="38" t="n">
        <f aca="false">SUM(K55:K67)</f>
        <v>84.7</v>
      </c>
      <c r="L69" s="29"/>
      <c r="M69" s="17"/>
      <c r="N69" s="38" t="n">
        <f aca="false">SUM(N55:N67)</f>
        <v>54.7</v>
      </c>
      <c r="O69" s="17"/>
      <c r="P69" s="38" t="n">
        <f aca="false">SUM(P55:P67)</f>
        <v>59.7</v>
      </c>
      <c r="Q69" s="17"/>
      <c r="R69" s="38" t="n">
        <f aca="false">SUM(R55:R67)</f>
        <v>56.3</v>
      </c>
      <c r="S69" s="17"/>
      <c r="T69" s="38" t="n">
        <f aca="false">SUM(T55:T67)</f>
        <v>60.7</v>
      </c>
      <c r="U69" s="80"/>
      <c r="V69" s="38" t="n">
        <f aca="false">SUM(V55:V67)</f>
        <v>66</v>
      </c>
      <c r="W69" s="75"/>
      <c r="X69" s="38" t="n">
        <f aca="false">SUM(X55:X67)</f>
        <v>61.2</v>
      </c>
    </row>
    <row r="70" customFormat="false" ht="13.8" hidden="false" customHeight="false" outlineLevel="0" collapsed="false">
      <c r="A70" s="73"/>
      <c r="B70" s="60"/>
      <c r="C70" s="60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60"/>
      <c r="V70" s="67"/>
      <c r="W70" s="67"/>
      <c r="X70" s="67"/>
    </row>
    <row r="71" customFormat="false" ht="3.9" hidden="false" customHeight="true" outlineLevel="0" collapsed="false">
      <c r="A71" s="73"/>
      <c r="B71" s="60"/>
      <c r="C71" s="60"/>
      <c r="D71" s="17"/>
      <c r="E71" s="17"/>
      <c r="F71" s="17"/>
      <c r="G71" s="17"/>
      <c r="H71" s="17"/>
      <c r="I71" s="17"/>
      <c r="J71" s="17"/>
      <c r="K71" s="17"/>
      <c r="L71" s="17"/>
      <c r="M71" s="81"/>
      <c r="N71" s="82"/>
      <c r="O71" s="82"/>
      <c r="P71" s="82"/>
      <c r="Q71" s="82"/>
      <c r="R71" s="82"/>
      <c r="S71" s="82"/>
      <c r="T71" s="82"/>
      <c r="U71" s="83"/>
      <c r="V71" s="84"/>
      <c r="W71" s="84"/>
      <c r="X71" s="84"/>
      <c r="Y71" s="85"/>
    </row>
    <row r="72" customFormat="false" ht="13.8" hidden="false" customHeight="false" outlineLevel="0" collapsed="false">
      <c r="A72" s="64" t="s">
        <v>191</v>
      </c>
      <c r="B72" s="86"/>
      <c r="E72" s="87" t="n">
        <v>8.1</v>
      </c>
      <c r="F72" s="88"/>
      <c r="G72" s="87" t="n">
        <v>54</v>
      </c>
      <c r="H72" s="88"/>
      <c r="I72" s="87" t="n">
        <v>42</v>
      </c>
      <c r="J72" s="88"/>
      <c r="K72" s="87" t="n">
        <v>88.6</v>
      </c>
      <c r="L72" s="88"/>
      <c r="M72" s="89"/>
      <c r="N72" s="88" t="s">
        <v>192</v>
      </c>
      <c r="O72" s="88"/>
      <c r="P72" s="88"/>
      <c r="Q72" s="88"/>
      <c r="R72" s="17"/>
      <c r="S72" s="17"/>
      <c r="T72" s="17"/>
      <c r="U72" s="86"/>
      <c r="V72" s="75"/>
      <c r="W72" s="75"/>
      <c r="X72" s="75"/>
      <c r="Y72" s="90"/>
    </row>
    <row r="73" customFormat="false" ht="13.8" hidden="false" customHeight="false" outlineLevel="0" collapsed="false">
      <c r="A73" s="73"/>
      <c r="B73" s="86"/>
      <c r="E73" s="88"/>
      <c r="F73" s="88"/>
      <c r="G73" s="88"/>
      <c r="H73" s="88"/>
      <c r="I73" s="88"/>
      <c r="J73" s="88"/>
      <c r="K73" s="88"/>
      <c r="L73" s="88"/>
      <c r="M73" s="89"/>
      <c r="N73" s="88"/>
      <c r="O73" s="88"/>
      <c r="P73" s="88" t="s">
        <v>193</v>
      </c>
      <c r="Q73" s="88"/>
      <c r="R73" s="17"/>
      <c r="S73" s="17"/>
      <c r="T73" s="91" t="n">
        <v>4.7</v>
      </c>
      <c r="U73" s="92"/>
      <c r="V73" s="92" t="n">
        <v>7</v>
      </c>
      <c r="W73" s="92"/>
      <c r="X73" s="92" t="n">
        <v>6.9</v>
      </c>
      <c r="Y73" s="90"/>
    </row>
    <row r="74" customFormat="false" ht="13.2" hidden="false" customHeight="false" outlineLevel="0" collapsed="false">
      <c r="A74" s="40"/>
      <c r="B74" s="86"/>
      <c r="E74" s="88"/>
      <c r="F74" s="88"/>
      <c r="G74" s="88"/>
      <c r="H74" s="88"/>
      <c r="I74" s="88"/>
      <c r="J74" s="88"/>
      <c r="K74" s="88"/>
      <c r="L74" s="88"/>
      <c r="M74" s="89"/>
      <c r="N74" s="88"/>
      <c r="O74" s="88"/>
      <c r="P74" s="88" t="s">
        <v>194</v>
      </c>
      <c r="Q74" s="88"/>
      <c r="R74" s="17"/>
      <c r="S74" s="17"/>
      <c r="T74" s="91" t="n">
        <v>1.6</v>
      </c>
      <c r="U74" s="92"/>
      <c r="V74" s="92" t="n">
        <v>2.5</v>
      </c>
      <c r="W74" s="92"/>
      <c r="X74" s="92" t="n">
        <v>2.5</v>
      </c>
      <c r="Y74" s="90"/>
    </row>
    <row r="75" customFormat="false" ht="13.2" hidden="false" customHeight="false" outlineLevel="0" collapsed="false">
      <c r="A75" s="86" t="s">
        <v>195</v>
      </c>
      <c r="B75" s="88" t="s">
        <v>196</v>
      </c>
      <c r="E75" s="88"/>
      <c r="F75" s="88"/>
      <c r="G75" s="88"/>
      <c r="H75" s="88"/>
      <c r="I75" s="88"/>
      <c r="J75" s="88"/>
      <c r="K75" s="88"/>
      <c r="L75" s="88"/>
      <c r="M75" s="89"/>
      <c r="N75" s="88"/>
      <c r="O75" s="88"/>
      <c r="P75" s="88" t="s">
        <v>197</v>
      </c>
      <c r="Q75" s="88"/>
      <c r="R75" s="17"/>
      <c r="S75" s="17"/>
      <c r="T75" s="91" t="n">
        <v>2.5</v>
      </c>
      <c r="U75" s="92"/>
      <c r="V75" s="92" t="n">
        <v>-0.5</v>
      </c>
      <c r="W75" s="92"/>
      <c r="X75" s="92" t="n">
        <v>-0.5</v>
      </c>
      <c r="Y75" s="90"/>
    </row>
    <row r="76" customFormat="false" ht="13.2" hidden="false" customHeight="false" outlineLevel="0" collapsed="false">
      <c r="A76" s="93"/>
      <c r="B76" s="94"/>
      <c r="E76" s="95"/>
      <c r="F76" s="95"/>
      <c r="G76" s="95"/>
      <c r="H76" s="95"/>
      <c r="I76" s="95"/>
      <c r="J76" s="95"/>
      <c r="K76" s="95"/>
      <c r="L76" s="95"/>
      <c r="M76" s="96"/>
      <c r="N76" s="95"/>
      <c r="O76" s="95"/>
      <c r="P76" s="95" t="s">
        <v>198</v>
      </c>
      <c r="Q76" s="97"/>
      <c r="R76" s="94"/>
      <c r="S76" s="94"/>
      <c r="T76" s="98" t="n">
        <v>-0.6</v>
      </c>
      <c r="U76" s="92"/>
      <c r="V76" s="98" t="n">
        <v>-0.8</v>
      </c>
      <c r="W76" s="92"/>
      <c r="X76" s="98" t="n">
        <v>-0.8</v>
      </c>
      <c r="Y76" s="90"/>
    </row>
    <row r="77" customFormat="false" ht="13.2" hidden="false" customHeight="false" outlineLevel="0" collapsed="false">
      <c r="A77" s="93"/>
      <c r="B77" s="94"/>
      <c r="D77" s="97"/>
      <c r="E77" s="97"/>
      <c r="F77" s="97"/>
      <c r="G77" s="97"/>
      <c r="H77" s="97"/>
      <c r="I77" s="97"/>
      <c r="J77" s="97"/>
      <c r="K77" s="97"/>
      <c r="L77" s="97"/>
      <c r="M77" s="99"/>
      <c r="N77" s="97"/>
      <c r="O77" s="97"/>
      <c r="P77" s="97"/>
      <c r="Q77" s="100" t="s">
        <v>199</v>
      </c>
      <c r="R77" s="94"/>
      <c r="S77" s="94"/>
      <c r="T77" s="101" t="n">
        <f aca="false">SUM(T73:T76)</f>
        <v>8.2</v>
      </c>
      <c r="U77" s="102"/>
      <c r="V77" s="101" t="n">
        <f aca="false">SUM(V73:V76)</f>
        <v>8.2</v>
      </c>
      <c r="W77" s="102"/>
      <c r="X77" s="101" t="n">
        <f aca="false">SUM(X73:X76)</f>
        <v>8.1</v>
      </c>
      <c r="Y77" s="90"/>
    </row>
    <row r="78" customFormat="false" ht="13.2" hidden="false" customHeight="false" outlineLevel="0" collapsed="false">
      <c r="A78" s="93"/>
      <c r="B78" s="94"/>
      <c r="D78" s="97"/>
      <c r="E78" s="97"/>
      <c r="F78" s="97"/>
      <c r="G78" s="97"/>
      <c r="H78" s="97"/>
      <c r="I78" s="97"/>
      <c r="J78" s="97"/>
      <c r="K78" s="97"/>
      <c r="L78" s="97"/>
      <c r="M78" s="99"/>
      <c r="N78" s="97"/>
      <c r="O78" s="97"/>
      <c r="P78" s="95" t="s">
        <v>200</v>
      </c>
      <c r="Q78" s="97"/>
      <c r="R78" s="94"/>
      <c r="S78" s="94"/>
      <c r="T78" s="98" t="n">
        <v>-0.1</v>
      </c>
      <c r="U78" s="92"/>
      <c r="V78" s="98" t="n">
        <v>-1.2</v>
      </c>
      <c r="W78" s="92"/>
      <c r="X78" s="98" t="n">
        <v>-1.2</v>
      </c>
      <c r="Y78" s="90"/>
    </row>
    <row r="79" customFormat="false" ht="13.8" hidden="false" customHeight="false" outlineLevel="0" collapsed="false">
      <c r="A79" s="93"/>
      <c r="B79" s="94"/>
      <c r="D79" s="94"/>
      <c r="E79" s="97"/>
      <c r="F79" s="94"/>
      <c r="G79" s="97"/>
      <c r="H79" s="97"/>
      <c r="I79" s="97"/>
      <c r="J79" s="97"/>
      <c r="K79" s="97"/>
      <c r="L79" s="97"/>
      <c r="M79" s="99"/>
      <c r="N79" s="97"/>
      <c r="O79" s="97"/>
      <c r="P79" s="97"/>
      <c r="Q79" s="95" t="s">
        <v>201</v>
      </c>
      <c r="R79" s="97"/>
      <c r="S79" s="94"/>
      <c r="T79" s="103" t="n">
        <f aca="false">T77+T78</f>
        <v>8.1</v>
      </c>
      <c r="U79" s="102"/>
      <c r="V79" s="104" t="n">
        <f aca="false">V77+V78</f>
        <v>7</v>
      </c>
      <c r="W79" s="102"/>
      <c r="X79" s="104" t="n">
        <f aca="false">X77+X78</f>
        <v>6.9</v>
      </c>
      <c r="Y79" s="90"/>
    </row>
    <row r="80" customFormat="false" ht="3.9" hidden="false" customHeight="true" outlineLevel="0" collapsed="false">
      <c r="A80" s="93"/>
      <c r="B80" s="94"/>
      <c r="D80" s="97"/>
      <c r="E80" s="97"/>
      <c r="F80" s="97"/>
      <c r="G80" s="97"/>
      <c r="H80" s="97"/>
      <c r="I80" s="97"/>
      <c r="J80" s="97"/>
      <c r="K80" s="97"/>
      <c r="L80" s="97"/>
      <c r="M80" s="105"/>
      <c r="N80" s="106"/>
      <c r="O80" s="106"/>
      <c r="P80" s="106"/>
      <c r="Q80" s="106"/>
      <c r="R80" s="107"/>
      <c r="S80" s="107"/>
      <c r="T80" s="108"/>
      <c r="U80" s="108"/>
      <c r="V80" s="108"/>
      <c r="W80" s="108"/>
      <c r="X80" s="108"/>
      <c r="Y80" s="109"/>
    </row>
    <row r="81" customFormat="false" ht="13.2" hidden="false" customHeight="false" outlineLevel="0" collapsed="false">
      <c r="A81" s="93"/>
      <c r="B81" s="94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4"/>
      <c r="S81" s="94"/>
      <c r="T81" s="102"/>
      <c r="U81" s="102"/>
      <c r="V81" s="102"/>
      <c r="W81" s="102"/>
      <c r="X81" s="102"/>
    </row>
    <row r="82" customFormat="false" ht="13.2" hidden="false" customHeight="false" outlineLevel="0" collapsed="false">
      <c r="A82" s="40" t="str">
        <f aca="true">CELL("Filename")</f>
        <v>'file:///mnt/12tb/@roms/datasets/enron/EDRM Enron Email Data Set v2 XML/filtered-attachments/xls/DetailInc.xls'#$TW Detail NI</v>
      </c>
      <c r="V82" s="67"/>
      <c r="W82" s="67"/>
      <c r="X82" s="41" t="n">
        <f aca="true">NOW()</f>
        <v>45926.9500905418</v>
      </c>
    </row>
    <row r="83" customFormat="false" ht="13.2" hidden="false" customHeight="false" outlineLevel="0" collapsed="false">
      <c r="A83" s="93"/>
      <c r="V83" s="67"/>
      <c r="W83" s="67"/>
      <c r="X83" s="67"/>
    </row>
    <row r="84" customFormat="false" ht="13.2" hidden="false" customHeight="false" outlineLevel="0" collapsed="false">
      <c r="V84" s="67"/>
      <c r="W84" s="67"/>
      <c r="X84" s="67"/>
    </row>
    <row r="85" customFormat="false" ht="13.2" hidden="false" customHeight="false" outlineLevel="0" collapsed="false">
      <c r="V85" s="67"/>
      <c r="W85" s="67"/>
      <c r="X85" s="67"/>
    </row>
    <row r="86" customFormat="false" ht="13.2" hidden="false" customHeight="false" outlineLevel="0" collapsed="false">
      <c r="V86" s="67"/>
      <c r="W86" s="67"/>
      <c r="X86" s="67"/>
    </row>
    <row r="87" customFormat="false" ht="13.2" hidden="false" customHeight="false" outlineLevel="0" collapsed="false">
      <c r="V87" s="67"/>
      <c r="W87" s="67"/>
      <c r="X87" s="67"/>
    </row>
    <row r="88" customFormat="false" ht="13.2" hidden="false" customHeight="false" outlineLevel="0" collapsed="false">
      <c r="V88" s="67"/>
      <c r="W88" s="67"/>
      <c r="X88" s="67"/>
    </row>
    <row r="89" customFormat="false" ht="13.2" hidden="false" customHeight="false" outlineLevel="0" collapsed="false">
      <c r="V89" s="67"/>
      <c r="W89" s="67"/>
      <c r="X89" s="67"/>
    </row>
    <row r="90" customFormat="false" ht="13.2" hidden="false" customHeight="false" outlineLevel="0" collapsed="false">
      <c r="V90" s="67"/>
      <c r="W90" s="67"/>
      <c r="X90" s="67"/>
    </row>
    <row r="91" customFormat="false" ht="13.2" hidden="false" customHeight="false" outlineLevel="0" collapsed="false">
      <c r="V91" s="67"/>
      <c r="W91" s="67"/>
      <c r="X91" s="67"/>
    </row>
    <row r="92" customFormat="false" ht="13.2" hidden="false" customHeight="false" outlineLevel="0" collapsed="false">
      <c r="V92" s="67"/>
      <c r="W92" s="67"/>
      <c r="X92" s="67"/>
    </row>
    <row r="93" customFormat="false" ht="13.2" hidden="false" customHeight="false" outlineLevel="0" collapsed="false">
      <c r="V93" s="67"/>
      <c r="W93" s="67"/>
      <c r="X93" s="67"/>
    </row>
    <row r="94" customFormat="false" ht="13.2" hidden="false" customHeight="false" outlineLevel="0" collapsed="false">
      <c r="V94" s="67"/>
      <c r="W94" s="67"/>
      <c r="X94" s="67"/>
    </row>
    <row r="95" customFormat="false" ht="13.2" hidden="false" customHeight="false" outlineLevel="0" collapsed="false">
      <c r="V95" s="67"/>
      <c r="W95" s="67"/>
      <c r="X95" s="67"/>
    </row>
    <row r="96" customFormat="false" ht="13.2" hidden="false" customHeight="false" outlineLevel="0" collapsed="false">
      <c r="V96" s="67"/>
      <c r="W96" s="67"/>
      <c r="X96" s="67"/>
    </row>
    <row r="97" customFormat="false" ht="13.2" hidden="false" customHeight="false" outlineLevel="0" collapsed="false">
      <c r="V97" s="67"/>
      <c r="W97" s="67"/>
      <c r="X97" s="67"/>
    </row>
    <row r="98" customFormat="false" ht="13.2" hidden="false" customHeight="false" outlineLevel="0" collapsed="false">
      <c r="V98" s="67"/>
      <c r="W98" s="67"/>
      <c r="X98" s="67"/>
    </row>
    <row r="99" customFormat="false" ht="13.2" hidden="false" customHeight="false" outlineLevel="0" collapsed="false">
      <c r="V99" s="67"/>
      <c r="W99" s="67"/>
      <c r="X99" s="67"/>
    </row>
    <row r="100" customFormat="false" ht="13.2" hidden="false" customHeight="false" outlineLevel="0" collapsed="false">
      <c r="V100" s="67"/>
      <c r="W100" s="67"/>
      <c r="X100" s="67"/>
    </row>
    <row r="101" customFormat="false" ht="13.2" hidden="false" customHeight="false" outlineLevel="0" collapsed="false">
      <c r="V101" s="67"/>
      <c r="W101" s="67"/>
      <c r="X101" s="67"/>
    </row>
    <row r="102" customFormat="false" ht="13.2" hidden="false" customHeight="false" outlineLevel="0" collapsed="false">
      <c r="V102" s="67"/>
      <c r="W102" s="67"/>
      <c r="X102" s="67"/>
    </row>
    <row r="103" customFormat="false" ht="13.2" hidden="false" customHeight="false" outlineLevel="0" collapsed="false">
      <c r="V103" s="67"/>
      <c r="W103" s="67"/>
      <c r="X103" s="67"/>
    </row>
    <row r="104" customFormat="false" ht="13.2" hidden="false" customHeight="false" outlineLevel="0" collapsed="false">
      <c r="V104" s="67"/>
      <c r="W104" s="67"/>
      <c r="X104" s="67"/>
    </row>
    <row r="105" customFormat="false" ht="13.2" hidden="false" customHeight="false" outlineLevel="0" collapsed="false">
      <c r="V105" s="67"/>
      <c r="W105" s="67"/>
      <c r="X105" s="67"/>
    </row>
    <row r="106" customFormat="false" ht="13.2" hidden="false" customHeight="false" outlineLevel="0" collapsed="false">
      <c r="V106" s="67"/>
      <c r="W106" s="67"/>
      <c r="X106" s="67"/>
    </row>
    <row r="107" customFormat="false" ht="13.2" hidden="false" customHeight="false" outlineLevel="0" collapsed="false">
      <c r="V107" s="67"/>
      <c r="W107" s="67"/>
      <c r="X107" s="67"/>
    </row>
    <row r="108" customFormat="false" ht="13.2" hidden="false" customHeight="false" outlineLevel="0" collapsed="false">
      <c r="V108" s="67"/>
      <c r="W108" s="67"/>
      <c r="X108" s="67"/>
    </row>
    <row r="109" customFormat="false" ht="13.2" hidden="false" customHeight="false" outlineLevel="0" collapsed="false">
      <c r="V109" s="67"/>
      <c r="W109" s="67"/>
      <c r="X109" s="67"/>
    </row>
    <row r="110" customFormat="false" ht="13.2" hidden="false" customHeight="false" outlineLevel="0" collapsed="false">
      <c r="V110" s="67"/>
      <c r="W110" s="67"/>
      <c r="X110" s="67"/>
    </row>
    <row r="111" customFormat="false" ht="13.2" hidden="false" customHeight="false" outlineLevel="0" collapsed="false">
      <c r="V111" s="67"/>
      <c r="W111" s="67"/>
      <c r="X111" s="67"/>
    </row>
    <row r="112" customFormat="false" ht="13.2" hidden="false" customHeight="false" outlineLevel="0" collapsed="false">
      <c r="V112" s="67"/>
      <c r="W112" s="67"/>
      <c r="X112" s="67"/>
    </row>
    <row r="113" customFormat="false" ht="13.2" hidden="false" customHeight="false" outlineLevel="0" collapsed="false">
      <c r="V113" s="67"/>
      <c r="W113" s="67"/>
      <c r="X113" s="67"/>
    </row>
    <row r="114" customFormat="false" ht="13.2" hidden="false" customHeight="false" outlineLevel="0" collapsed="false">
      <c r="V114" s="67"/>
      <c r="W114" s="67"/>
      <c r="X114" s="67"/>
    </row>
    <row r="115" customFormat="false" ht="13.2" hidden="false" customHeight="false" outlineLevel="0" collapsed="false">
      <c r="V115" s="67"/>
      <c r="W115" s="67"/>
      <c r="X115" s="67"/>
    </row>
    <row r="116" customFormat="false" ht="13.2" hidden="false" customHeight="false" outlineLevel="0" collapsed="false">
      <c r="V116" s="67"/>
      <c r="W116" s="67"/>
      <c r="X116" s="67"/>
    </row>
    <row r="117" customFormat="false" ht="13.2" hidden="false" customHeight="false" outlineLevel="0" collapsed="false">
      <c r="V117" s="67"/>
      <c r="W117" s="67"/>
      <c r="X117" s="67"/>
    </row>
    <row r="118" customFormat="false" ht="13.2" hidden="false" customHeight="false" outlineLevel="0" collapsed="false">
      <c r="V118" s="67"/>
      <c r="W118" s="67"/>
      <c r="X118" s="67"/>
    </row>
  </sheetData>
  <mergeCells count="3">
    <mergeCell ref="A1:X1"/>
    <mergeCell ref="A2:X2"/>
    <mergeCell ref="A3:X3"/>
  </mergeCells>
  <printOptions headings="false" gridLines="false" gridLinesSet="true" horizontalCentered="true" verticalCentered="false"/>
  <pageMargins left="0.5" right="0.5" top="0.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2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pane xSplit="4" ySplit="2" topLeftCell="H31" activePane="bottomRight" state="frozen"/>
      <selection pane="topLeft" activeCell="A6" activeCellId="0" sqref="A6"/>
      <selection pane="topRight" activeCell="H6" activeCellId="0" sqref="H6"/>
      <selection pane="bottomLeft" activeCell="A31" activeCellId="0" sqref="A31"/>
      <selection pane="bottomRight" activeCell="Q46" activeCellId="0" sqref="Q46"/>
    </sheetView>
  </sheetViews>
  <sheetFormatPr defaultColWidth="9.1015625" defaultRowHeight="13.2" customHeight="true" zeroHeight="false" outlineLevelRow="0" outlineLevelCol="0"/>
  <cols>
    <col collapsed="false" customWidth="true" hidden="false" outlineLevel="0" max="2" min="1" style="54" width="1.66"/>
    <col collapsed="false" customWidth="true" hidden="false" outlineLevel="0" max="3" min="3" style="54" width="35.66"/>
    <col collapsed="false" customWidth="true" hidden="false" outlineLevel="0" max="4" min="4" style="54" width="5.66"/>
    <col collapsed="false" customWidth="true" hidden="false" outlineLevel="0" max="5" min="5" style="54" width="8.66"/>
    <col collapsed="false" customWidth="true" hidden="false" outlineLevel="0" max="6" min="6" style="54" width="2.66"/>
    <col collapsed="false" customWidth="true" hidden="false" outlineLevel="0" max="7" min="7" style="54" width="8.66"/>
    <col collapsed="false" customWidth="true" hidden="false" outlineLevel="0" max="8" min="8" style="54" width="2.66"/>
    <col collapsed="false" customWidth="true" hidden="false" outlineLevel="0" max="9" min="9" style="54" width="8.66"/>
    <col collapsed="false" customWidth="true" hidden="false" outlineLevel="0" max="10" min="10" style="54" width="2.66"/>
    <col collapsed="false" customWidth="true" hidden="false" outlineLevel="0" max="11" min="11" style="54" width="8.66"/>
    <col collapsed="false" customWidth="true" hidden="false" outlineLevel="0" max="12" min="12" style="54" width="2.66"/>
    <col collapsed="false" customWidth="true" hidden="false" outlineLevel="0" max="13" min="13" style="54" width="8.66"/>
    <col collapsed="false" customWidth="true" hidden="false" outlineLevel="0" max="14" min="14" style="54" width="2.66"/>
    <col collapsed="false" customWidth="true" hidden="false" outlineLevel="0" max="15" min="15" style="54" width="8.66"/>
    <col collapsed="false" customWidth="true" hidden="false" outlineLevel="0" max="16" min="16" style="54" width="2.66"/>
    <col collapsed="false" customWidth="true" hidden="false" outlineLevel="0" max="17" min="17" style="54" width="8.66"/>
    <col collapsed="false" customWidth="true" hidden="false" outlineLevel="0" max="18" min="18" style="54" width="2.66"/>
    <col collapsed="false" customWidth="true" hidden="false" outlineLevel="0" max="19" min="19" style="54" width="8.66"/>
    <col collapsed="false" customWidth="true" hidden="false" outlineLevel="0" max="20" min="20" style="54" width="2.66"/>
    <col collapsed="false" customWidth="true" hidden="false" outlineLevel="0" max="21" min="21" style="54" width="8.66"/>
    <col collapsed="false" customWidth="true" hidden="false" outlineLevel="0" max="22" min="22" style="54" width="2.66"/>
    <col collapsed="false" customWidth="true" hidden="false" outlineLevel="0" max="23" min="23" style="54" width="8.66"/>
    <col collapsed="false" customWidth="false" hidden="false" outlineLevel="0" max="257" min="24" style="54" width="9.1"/>
  </cols>
  <sheetData>
    <row r="1" customFormat="false" ht="15.6" hidden="false" customHeight="false" outlineLevel="0" collapsed="false">
      <c r="A1" s="56" t="str">
        <f aca="false">+'TW Detail NI'!A1</f>
        <v>TRANSWESTERN PIPELINE GROUP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0"/>
      <c r="BY1" s="110"/>
      <c r="BZ1" s="110"/>
      <c r="CA1" s="110"/>
      <c r="CB1" s="110"/>
      <c r="CC1" s="110"/>
      <c r="CD1" s="110"/>
      <c r="CE1" s="110"/>
      <c r="CF1" s="110"/>
      <c r="CG1" s="110"/>
      <c r="CH1" s="110"/>
      <c r="CI1" s="110"/>
      <c r="CJ1" s="110"/>
      <c r="CK1" s="110"/>
      <c r="CL1" s="110"/>
      <c r="CM1" s="110"/>
      <c r="CN1" s="110"/>
      <c r="CO1" s="110"/>
      <c r="CP1" s="110"/>
      <c r="CQ1" s="110"/>
      <c r="CR1" s="110"/>
      <c r="CS1" s="110"/>
      <c r="CT1" s="110"/>
      <c r="CU1" s="110"/>
      <c r="CV1" s="110"/>
      <c r="CW1" s="110"/>
      <c r="CX1" s="110"/>
      <c r="CY1" s="110"/>
      <c r="CZ1" s="110"/>
      <c r="DA1" s="110"/>
      <c r="DB1" s="110"/>
      <c r="DC1" s="110"/>
      <c r="DD1" s="110"/>
      <c r="DE1" s="110"/>
      <c r="DF1" s="110"/>
      <c r="DG1" s="110"/>
      <c r="DH1" s="110"/>
      <c r="DI1" s="110"/>
      <c r="DJ1" s="110"/>
      <c r="DK1" s="110"/>
      <c r="DL1" s="110"/>
      <c r="DM1" s="110"/>
      <c r="DN1" s="110"/>
      <c r="DO1" s="110"/>
      <c r="DP1" s="110"/>
      <c r="DQ1" s="110"/>
      <c r="DR1" s="110"/>
      <c r="DS1" s="110"/>
      <c r="DT1" s="110"/>
      <c r="DU1" s="110"/>
      <c r="DV1" s="110"/>
      <c r="DW1" s="110"/>
      <c r="DX1" s="110"/>
      <c r="DY1" s="110"/>
      <c r="DZ1" s="110"/>
      <c r="EA1" s="110"/>
      <c r="EB1" s="110"/>
      <c r="EC1" s="110"/>
      <c r="ED1" s="110"/>
      <c r="EE1" s="110"/>
      <c r="EF1" s="110"/>
      <c r="EG1" s="110"/>
      <c r="EH1" s="110"/>
      <c r="EI1" s="110"/>
      <c r="EJ1" s="110"/>
      <c r="EK1" s="110"/>
      <c r="EL1" s="110"/>
      <c r="EM1" s="110"/>
      <c r="EN1" s="110"/>
      <c r="EO1" s="110"/>
      <c r="EP1" s="110"/>
      <c r="EQ1" s="110"/>
      <c r="ER1" s="110"/>
      <c r="ES1" s="110"/>
      <c r="ET1" s="110"/>
      <c r="EU1" s="110"/>
      <c r="EV1" s="110"/>
      <c r="EW1" s="110"/>
      <c r="EX1" s="110"/>
      <c r="EY1" s="110"/>
      <c r="EZ1" s="110"/>
      <c r="FA1" s="110"/>
      <c r="FB1" s="110"/>
      <c r="FC1" s="110"/>
      <c r="FD1" s="110"/>
      <c r="FE1" s="110"/>
      <c r="FF1" s="110"/>
      <c r="FG1" s="110"/>
      <c r="FH1" s="110"/>
      <c r="FI1" s="110"/>
      <c r="FJ1" s="110"/>
      <c r="FK1" s="110"/>
      <c r="FL1" s="110"/>
      <c r="FM1" s="110"/>
      <c r="FN1" s="110"/>
      <c r="FO1" s="110"/>
      <c r="FP1" s="110"/>
      <c r="FQ1" s="110"/>
      <c r="FR1" s="110"/>
      <c r="FS1" s="110"/>
      <c r="FT1" s="110"/>
      <c r="FU1" s="110"/>
      <c r="FV1" s="110"/>
      <c r="FW1" s="110"/>
      <c r="FX1" s="110"/>
      <c r="FY1" s="110"/>
      <c r="FZ1" s="110"/>
      <c r="GA1" s="110"/>
      <c r="GB1" s="110"/>
      <c r="GC1" s="110"/>
      <c r="GD1" s="110"/>
      <c r="GE1" s="110"/>
      <c r="GF1" s="110"/>
      <c r="GG1" s="110"/>
      <c r="GH1" s="110"/>
      <c r="GI1" s="110"/>
      <c r="GJ1" s="110"/>
      <c r="GK1" s="110"/>
      <c r="GL1" s="110"/>
      <c r="GM1" s="110"/>
      <c r="GN1" s="110"/>
      <c r="GO1" s="110"/>
      <c r="GP1" s="110"/>
      <c r="GQ1" s="110"/>
      <c r="GR1" s="110"/>
      <c r="GS1" s="110"/>
      <c r="GT1" s="110"/>
      <c r="GU1" s="110"/>
      <c r="GV1" s="110"/>
      <c r="GW1" s="110"/>
      <c r="GX1" s="110"/>
      <c r="GY1" s="110"/>
      <c r="GZ1" s="110"/>
      <c r="HA1" s="110"/>
      <c r="HB1" s="110"/>
      <c r="HC1" s="110"/>
      <c r="HD1" s="110"/>
      <c r="HE1" s="110"/>
      <c r="HF1" s="110"/>
      <c r="HG1" s="110"/>
      <c r="HH1" s="110"/>
      <c r="HI1" s="110"/>
      <c r="HJ1" s="110"/>
      <c r="HK1" s="110"/>
      <c r="HL1" s="110"/>
      <c r="HM1" s="110"/>
      <c r="HN1" s="110"/>
      <c r="HO1" s="110"/>
      <c r="HP1" s="110"/>
      <c r="HQ1" s="110"/>
      <c r="HR1" s="110"/>
      <c r="HS1" s="110"/>
      <c r="HT1" s="110"/>
      <c r="HU1" s="110"/>
      <c r="HV1" s="110"/>
      <c r="HW1" s="110"/>
      <c r="HX1" s="110"/>
      <c r="HY1" s="110"/>
      <c r="HZ1" s="110"/>
      <c r="IA1" s="110"/>
      <c r="IB1" s="110"/>
      <c r="IC1" s="110"/>
      <c r="ID1" s="110"/>
      <c r="IE1" s="110"/>
      <c r="IF1" s="110"/>
      <c r="IG1" s="110"/>
      <c r="IH1" s="110"/>
      <c r="II1" s="110"/>
      <c r="IJ1" s="110"/>
      <c r="IK1" s="110"/>
      <c r="IL1" s="110"/>
      <c r="IM1" s="110"/>
      <c r="IN1" s="110"/>
      <c r="IO1" s="110"/>
      <c r="IP1" s="110"/>
      <c r="IQ1" s="110"/>
      <c r="IR1" s="110"/>
      <c r="IS1" s="110"/>
      <c r="IT1" s="110"/>
      <c r="IU1" s="110"/>
      <c r="IV1" s="110"/>
      <c r="IW1" s="110"/>
    </row>
    <row r="2" customFormat="false" ht="15.6" hidden="false" customHeight="false" outlineLevel="0" collapsed="false">
      <c r="A2" s="56" t="str">
        <f aca="false">+'NNG-Disc.,Assets,Reserves'!A2</f>
        <v>DETAIL OF NON RECURRING IBIT ITEMS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  <c r="BM2" s="110"/>
      <c r="BN2" s="110"/>
      <c r="BO2" s="110"/>
      <c r="BP2" s="110"/>
      <c r="BQ2" s="110"/>
      <c r="BR2" s="110"/>
      <c r="BS2" s="110"/>
      <c r="BT2" s="110"/>
      <c r="BU2" s="110"/>
      <c r="BV2" s="110"/>
      <c r="BW2" s="110"/>
      <c r="BX2" s="110"/>
      <c r="BY2" s="110"/>
      <c r="BZ2" s="110"/>
      <c r="CA2" s="110"/>
      <c r="CB2" s="110"/>
      <c r="CC2" s="110"/>
      <c r="CD2" s="110"/>
      <c r="CE2" s="110"/>
      <c r="CF2" s="110"/>
      <c r="CG2" s="110"/>
      <c r="CH2" s="110"/>
      <c r="CI2" s="110"/>
      <c r="CJ2" s="110"/>
      <c r="CK2" s="110"/>
      <c r="CL2" s="110"/>
      <c r="CM2" s="110"/>
      <c r="CN2" s="110"/>
      <c r="CO2" s="110"/>
      <c r="CP2" s="110"/>
      <c r="CQ2" s="110"/>
      <c r="CR2" s="110"/>
      <c r="CS2" s="110"/>
      <c r="CT2" s="110"/>
      <c r="CU2" s="110"/>
      <c r="CV2" s="110"/>
      <c r="CW2" s="110"/>
      <c r="CX2" s="110"/>
      <c r="CY2" s="110"/>
      <c r="CZ2" s="110"/>
      <c r="DA2" s="110"/>
      <c r="DB2" s="110"/>
      <c r="DC2" s="110"/>
      <c r="DD2" s="110"/>
      <c r="DE2" s="110"/>
      <c r="DF2" s="110"/>
      <c r="DG2" s="110"/>
      <c r="DH2" s="110"/>
      <c r="DI2" s="110"/>
      <c r="DJ2" s="110"/>
      <c r="DK2" s="110"/>
      <c r="DL2" s="110"/>
      <c r="DM2" s="110"/>
      <c r="DN2" s="110"/>
      <c r="DO2" s="110"/>
      <c r="DP2" s="110"/>
      <c r="DQ2" s="110"/>
      <c r="DR2" s="110"/>
      <c r="DS2" s="110"/>
      <c r="DT2" s="110"/>
      <c r="DU2" s="110"/>
      <c r="DV2" s="110"/>
      <c r="DW2" s="110"/>
      <c r="DX2" s="110"/>
      <c r="DY2" s="110"/>
      <c r="DZ2" s="110"/>
      <c r="EA2" s="110"/>
      <c r="EB2" s="110"/>
      <c r="EC2" s="110"/>
      <c r="ED2" s="110"/>
      <c r="EE2" s="110"/>
      <c r="EF2" s="110"/>
      <c r="EG2" s="110"/>
      <c r="EH2" s="110"/>
      <c r="EI2" s="110"/>
      <c r="EJ2" s="110"/>
      <c r="EK2" s="110"/>
      <c r="EL2" s="110"/>
      <c r="EM2" s="110"/>
      <c r="EN2" s="110"/>
      <c r="EO2" s="110"/>
      <c r="EP2" s="110"/>
      <c r="EQ2" s="110"/>
      <c r="ER2" s="110"/>
      <c r="ES2" s="110"/>
      <c r="ET2" s="110"/>
      <c r="EU2" s="110"/>
      <c r="EV2" s="110"/>
      <c r="EW2" s="110"/>
      <c r="EX2" s="110"/>
      <c r="EY2" s="110"/>
      <c r="EZ2" s="110"/>
      <c r="FA2" s="110"/>
      <c r="FB2" s="110"/>
      <c r="FC2" s="110"/>
      <c r="FD2" s="110"/>
      <c r="FE2" s="110"/>
      <c r="FF2" s="110"/>
      <c r="FG2" s="110"/>
      <c r="FH2" s="110"/>
      <c r="FI2" s="110"/>
      <c r="FJ2" s="110"/>
      <c r="FK2" s="110"/>
      <c r="FL2" s="110"/>
      <c r="FM2" s="110"/>
      <c r="FN2" s="110"/>
      <c r="FO2" s="110"/>
      <c r="FP2" s="110"/>
      <c r="FQ2" s="110"/>
      <c r="FR2" s="110"/>
      <c r="FS2" s="110"/>
      <c r="FT2" s="110"/>
      <c r="FU2" s="110"/>
      <c r="FV2" s="110"/>
      <c r="FW2" s="110"/>
      <c r="FX2" s="110"/>
      <c r="FY2" s="110"/>
      <c r="FZ2" s="110"/>
      <c r="GA2" s="110"/>
      <c r="GB2" s="110"/>
      <c r="GC2" s="110"/>
      <c r="GD2" s="110"/>
      <c r="GE2" s="110"/>
      <c r="GF2" s="110"/>
      <c r="GG2" s="110"/>
      <c r="GH2" s="110"/>
      <c r="GI2" s="110"/>
      <c r="GJ2" s="110"/>
      <c r="GK2" s="110"/>
      <c r="GL2" s="110"/>
      <c r="GM2" s="110"/>
      <c r="GN2" s="110"/>
      <c r="GO2" s="110"/>
      <c r="GP2" s="110"/>
      <c r="GQ2" s="110"/>
      <c r="GR2" s="110"/>
      <c r="GS2" s="110"/>
      <c r="GT2" s="110"/>
      <c r="GU2" s="110"/>
      <c r="GV2" s="110"/>
      <c r="GW2" s="110"/>
      <c r="GX2" s="110"/>
      <c r="GY2" s="110"/>
      <c r="GZ2" s="110"/>
      <c r="HA2" s="110"/>
      <c r="HB2" s="110"/>
      <c r="HC2" s="110"/>
      <c r="HD2" s="110"/>
      <c r="HE2" s="110"/>
      <c r="HF2" s="110"/>
      <c r="HG2" s="110"/>
      <c r="HH2" s="110"/>
      <c r="HI2" s="110"/>
      <c r="HJ2" s="110"/>
      <c r="HK2" s="110"/>
      <c r="HL2" s="110"/>
      <c r="HM2" s="110"/>
      <c r="HN2" s="110"/>
      <c r="HO2" s="110"/>
      <c r="HP2" s="110"/>
      <c r="HQ2" s="110"/>
      <c r="HR2" s="110"/>
      <c r="HS2" s="110"/>
      <c r="HT2" s="110"/>
      <c r="HU2" s="110"/>
      <c r="HV2" s="110"/>
      <c r="HW2" s="110"/>
      <c r="HX2" s="110"/>
      <c r="HY2" s="110"/>
      <c r="HZ2" s="110"/>
      <c r="IA2" s="110"/>
      <c r="IB2" s="110"/>
      <c r="IC2" s="110"/>
      <c r="ID2" s="110"/>
      <c r="IE2" s="110"/>
      <c r="IF2" s="110"/>
      <c r="IG2" s="110"/>
      <c r="IH2" s="110"/>
      <c r="II2" s="110"/>
      <c r="IJ2" s="110"/>
      <c r="IK2" s="110"/>
      <c r="IL2" s="110"/>
      <c r="IM2" s="110"/>
      <c r="IN2" s="110"/>
      <c r="IO2" s="110"/>
      <c r="IP2" s="110"/>
      <c r="IQ2" s="110"/>
      <c r="IR2" s="110"/>
      <c r="IS2" s="110"/>
      <c r="IT2" s="110"/>
      <c r="IU2" s="110"/>
      <c r="IV2" s="110"/>
      <c r="IW2" s="110"/>
    </row>
    <row r="3" customFormat="false" ht="13.2" hidden="false" customHeight="false" outlineLevel="0" collapsed="false">
      <c r="A3" s="57" t="str">
        <f aca="false">+'NNG-Disc.,Assets,Reserves'!A3</f>
        <v>($ Millions)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</row>
    <row r="4" customFormat="false" ht="12.75" hidden="false" customHeight="true" outlineLevel="0" collapsed="false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60"/>
      <c r="T4" s="60"/>
    </row>
    <row r="5" customFormat="false" ht="12.75" hidden="false" customHeight="true" outlineLevel="0" collapsed="false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111"/>
      <c r="Q5" s="58"/>
      <c r="R5" s="111"/>
      <c r="S5" s="57"/>
      <c r="T5" s="60"/>
    </row>
    <row r="6" customFormat="false" ht="12.75" hidden="false" customHeight="true" outlineLevel="0" collapsed="false">
      <c r="A6" s="59"/>
      <c r="B6" s="59"/>
      <c r="C6" s="59"/>
      <c r="D6" s="59"/>
      <c r="E6" s="4" t="str">
        <f aca="false">+'NNG Detail NI'!E6</f>
        <v>1993</v>
      </c>
      <c r="F6" s="59"/>
      <c r="G6" s="4" t="str">
        <f aca="false">+'NNG Detail NI'!G6</f>
        <v>1994</v>
      </c>
      <c r="H6" s="59"/>
      <c r="I6" s="4" t="str">
        <f aca="false">+'NNG Detail NI'!I6</f>
        <v>1995</v>
      </c>
      <c r="J6" s="59"/>
      <c r="K6" s="4" t="str">
        <f aca="false">+'NNG Detail NI'!K6</f>
        <v>1996</v>
      </c>
      <c r="L6" s="59"/>
      <c r="M6" s="4" t="str">
        <f aca="false">+'NNG Detail NI'!M6</f>
        <v>1997</v>
      </c>
      <c r="N6" s="59"/>
      <c r="O6" s="4" t="str">
        <f aca="false">+'NNG Detail NI'!O6</f>
        <v>1998</v>
      </c>
      <c r="P6" s="4"/>
      <c r="Q6" s="4" t="str">
        <f aca="false">+'NNG Detail NI'!Q6</f>
        <v>1999</v>
      </c>
      <c r="R6" s="47"/>
      <c r="S6" s="4" t="n">
        <f aca="false">+'NNG Detail NI'!S6</f>
        <v>2000</v>
      </c>
      <c r="T6" s="6"/>
      <c r="U6" s="4" t="n">
        <f aca="false">+'NNG Detail NI'!U6</f>
        <v>2001</v>
      </c>
      <c r="V6" s="1"/>
      <c r="W6" s="4" t="n">
        <f aca="false">+'NNG Detail NI'!W6</f>
        <v>2002</v>
      </c>
    </row>
    <row r="7" customFormat="false" ht="12.75" hidden="false" customHeight="true" outlineLevel="0" collapsed="false">
      <c r="A7" s="60"/>
      <c r="B7" s="60"/>
      <c r="C7" s="60"/>
      <c r="D7" s="61"/>
      <c r="E7" s="48" t="str">
        <f aca="false">+'NNG Detail NI'!E7</f>
        <v>Actual</v>
      </c>
      <c r="F7" s="61"/>
      <c r="G7" s="48" t="str">
        <f aca="false">+'NNG Detail NI'!G7</f>
        <v>Actual</v>
      </c>
      <c r="H7" s="61"/>
      <c r="I7" s="48" t="str">
        <f aca="false">+'NNG Detail NI'!I7</f>
        <v>Actual</v>
      </c>
      <c r="J7" s="61"/>
      <c r="K7" s="48" t="str">
        <f aca="false">+'NNG Detail NI'!K7</f>
        <v>Actual</v>
      </c>
      <c r="L7" s="61"/>
      <c r="M7" s="48" t="str">
        <f aca="false">+'NNG Detail NI'!M7</f>
        <v>Actual</v>
      </c>
      <c r="N7" s="61"/>
      <c r="O7" s="48" t="str">
        <f aca="false">+'NNG Detail NI'!O7</f>
        <v>Actual</v>
      </c>
      <c r="P7" s="45"/>
      <c r="Q7" s="48" t="str">
        <f aca="false">+'NNG Detail NI'!Q7</f>
        <v>Actual</v>
      </c>
      <c r="R7" s="6"/>
      <c r="S7" s="48" t="str">
        <f aca="false">+'NNG Detail NI'!S7</f>
        <v>Plan</v>
      </c>
      <c r="T7" s="6"/>
      <c r="U7" s="48" t="str">
        <f aca="false">+'NNG Detail NI'!U7</f>
        <v>Plan</v>
      </c>
      <c r="V7" s="1"/>
      <c r="W7" s="48" t="str">
        <f aca="false">+'NNG Detail NI'!W7</f>
        <v>Plan</v>
      </c>
    </row>
    <row r="8" customFormat="false" ht="12.75" hidden="false" customHeight="true" outlineLevel="0" collapsed="false">
      <c r="A8" s="33" t="s">
        <v>65</v>
      </c>
      <c r="B8" s="6"/>
      <c r="C8" s="6"/>
      <c r="D8" s="13"/>
      <c r="E8" s="45"/>
      <c r="F8" s="13"/>
      <c r="G8" s="45"/>
      <c r="H8" s="13"/>
      <c r="I8" s="45"/>
      <c r="J8" s="13"/>
      <c r="K8" s="45"/>
      <c r="L8" s="13"/>
      <c r="M8" s="45"/>
      <c r="N8" s="13"/>
      <c r="O8" s="45"/>
      <c r="P8" s="45"/>
      <c r="Q8" s="45"/>
      <c r="R8" s="6"/>
      <c r="S8" s="45"/>
      <c r="T8" s="6"/>
      <c r="U8" s="45"/>
      <c r="V8" s="1"/>
      <c r="W8" s="45"/>
    </row>
    <row r="9" customFormat="false" ht="12.75" hidden="false" customHeight="true" outlineLevel="0" collapsed="false">
      <c r="A9" s="6"/>
      <c r="B9" s="22" t="s">
        <v>66</v>
      </c>
      <c r="C9" s="22"/>
      <c r="D9" s="17"/>
      <c r="E9" s="19" t="n">
        <v>2.1</v>
      </c>
      <c r="F9" s="17"/>
      <c r="G9" s="19" t="n">
        <v>-1.4</v>
      </c>
      <c r="H9" s="17"/>
      <c r="I9" s="19" t="n">
        <v>0.4</v>
      </c>
      <c r="J9" s="17"/>
      <c r="K9" s="19" t="n">
        <v>2.5</v>
      </c>
      <c r="L9" s="17"/>
      <c r="M9" s="19" t="n">
        <v>0.7</v>
      </c>
      <c r="N9" s="17"/>
      <c r="O9" s="19" t="n">
        <v>0</v>
      </c>
      <c r="P9" s="19"/>
      <c r="Q9" s="19" t="n">
        <v>0</v>
      </c>
      <c r="R9" s="66"/>
      <c r="S9" s="19" t="n">
        <v>0</v>
      </c>
      <c r="T9" s="66"/>
      <c r="U9" s="19" t="n">
        <v>0</v>
      </c>
      <c r="V9" s="66"/>
      <c r="W9" s="19" t="n">
        <v>0</v>
      </c>
    </row>
    <row r="10" customFormat="false" ht="12.75" hidden="false" customHeight="true" outlineLevel="0" collapsed="false">
      <c r="A10" s="6"/>
      <c r="B10" s="22" t="s">
        <v>202</v>
      </c>
      <c r="C10" s="22"/>
      <c r="D10" s="17"/>
      <c r="E10" s="19" t="n">
        <v>3.5</v>
      </c>
      <c r="F10" s="17"/>
      <c r="G10" s="19" t="n">
        <v>3.5</v>
      </c>
      <c r="H10" s="17"/>
      <c r="I10" s="19" t="n">
        <v>3.5</v>
      </c>
      <c r="J10" s="17"/>
      <c r="K10" s="19" t="n">
        <v>0</v>
      </c>
      <c r="L10" s="17"/>
      <c r="M10" s="19" t="n">
        <v>0</v>
      </c>
      <c r="N10" s="17"/>
      <c r="O10" s="19" t="n">
        <v>0</v>
      </c>
      <c r="P10" s="19"/>
      <c r="Q10" s="19" t="n">
        <v>0</v>
      </c>
      <c r="R10" s="66"/>
      <c r="S10" s="19" t="n">
        <v>0</v>
      </c>
      <c r="T10" s="66"/>
      <c r="U10" s="19" t="n">
        <v>0</v>
      </c>
      <c r="V10" s="66"/>
      <c r="W10" s="19" t="n">
        <v>0</v>
      </c>
    </row>
    <row r="11" customFormat="false" ht="12.75" hidden="false" customHeight="true" outlineLevel="0" collapsed="false">
      <c r="A11" s="6"/>
      <c r="B11" s="22" t="s">
        <v>70</v>
      </c>
      <c r="C11" s="22"/>
      <c r="D11" s="17"/>
      <c r="E11" s="26" t="n">
        <v>1.4</v>
      </c>
      <c r="F11" s="17"/>
      <c r="G11" s="26" t="n">
        <v>1.2</v>
      </c>
      <c r="H11" s="17"/>
      <c r="I11" s="26" t="n">
        <v>0.9</v>
      </c>
      <c r="J11" s="17"/>
      <c r="K11" s="26" t="n">
        <v>0.4</v>
      </c>
      <c r="L11" s="17"/>
      <c r="M11" s="26" t="n">
        <v>0.2</v>
      </c>
      <c r="N11" s="17"/>
      <c r="O11" s="26" t="n">
        <v>0</v>
      </c>
      <c r="P11" s="19"/>
      <c r="Q11" s="26" t="n">
        <v>0</v>
      </c>
      <c r="R11" s="6"/>
      <c r="S11" s="26" t="n">
        <v>0</v>
      </c>
      <c r="T11" s="11"/>
      <c r="U11" s="26" t="n">
        <v>0</v>
      </c>
      <c r="V11" s="1"/>
      <c r="W11" s="26" t="n">
        <v>0</v>
      </c>
    </row>
    <row r="12" customFormat="false" ht="3.9" hidden="false" customHeight="true" outlineLevel="0" collapsed="false">
      <c r="A12" s="6"/>
      <c r="B12" s="6"/>
      <c r="C12" s="6"/>
      <c r="D12" s="13"/>
      <c r="E12" s="45"/>
      <c r="F12" s="13"/>
      <c r="G12" s="45"/>
      <c r="H12" s="13"/>
      <c r="I12" s="45"/>
      <c r="J12" s="13"/>
      <c r="K12" s="45"/>
      <c r="L12" s="13"/>
      <c r="M12" s="45"/>
      <c r="N12" s="13"/>
      <c r="O12" s="45"/>
      <c r="P12" s="45"/>
      <c r="Q12" s="45"/>
      <c r="R12" s="6"/>
      <c r="S12" s="45"/>
      <c r="T12" s="6"/>
      <c r="U12" s="45"/>
      <c r="V12" s="1"/>
      <c r="W12" s="45"/>
    </row>
    <row r="13" customFormat="false" ht="12.75" hidden="false" customHeight="true" outlineLevel="0" collapsed="false">
      <c r="A13" s="6"/>
      <c r="B13" s="6"/>
      <c r="C13" s="16" t="s">
        <v>71</v>
      </c>
      <c r="D13" s="29"/>
      <c r="E13" s="38" t="n">
        <f aca="false">SUM(E9:E11)</f>
        <v>7</v>
      </c>
      <c r="F13" s="29"/>
      <c r="G13" s="38" t="n">
        <f aca="false">SUM(G9:G11)</f>
        <v>3.3</v>
      </c>
      <c r="H13" s="29"/>
      <c r="I13" s="38" t="n">
        <f aca="false">SUM(I9:I11)</f>
        <v>4.8</v>
      </c>
      <c r="J13" s="29"/>
      <c r="K13" s="38" t="n">
        <f aca="false">SUM(K9:K11)</f>
        <v>2.9</v>
      </c>
      <c r="L13" s="29"/>
      <c r="M13" s="38" t="n">
        <f aca="false">SUM(M9:M11)</f>
        <v>0.9</v>
      </c>
      <c r="N13" s="29"/>
      <c r="O13" s="38" t="n">
        <f aca="false">SUM(O9:O11)</f>
        <v>0</v>
      </c>
      <c r="P13" s="29"/>
      <c r="Q13" s="38" t="n">
        <f aca="false">SUM(Q9:Q11)</f>
        <v>0</v>
      </c>
      <c r="R13" s="6"/>
      <c r="S13" s="38" t="n">
        <f aca="false">SUM(S9:S11)</f>
        <v>0</v>
      </c>
      <c r="T13" s="28"/>
      <c r="U13" s="38" t="n">
        <f aca="false">SUM(U9:U11)</f>
        <v>0</v>
      </c>
      <c r="V13" s="1"/>
      <c r="W13" s="38" t="n">
        <f aca="false">SUM(W9:W11)</f>
        <v>0</v>
      </c>
    </row>
    <row r="14" customFormat="false" ht="12.75" hidden="false" customHeight="true" outlineLevel="0" collapsed="false">
      <c r="A14" s="60"/>
      <c r="B14" s="60"/>
      <c r="C14" s="60"/>
      <c r="D14" s="61"/>
      <c r="E14" s="45"/>
      <c r="F14" s="61"/>
      <c r="G14" s="45"/>
      <c r="H14" s="61"/>
      <c r="I14" s="45"/>
      <c r="J14" s="61"/>
      <c r="K14" s="45"/>
      <c r="L14" s="61"/>
      <c r="M14" s="45"/>
      <c r="N14" s="61"/>
      <c r="O14" s="45"/>
      <c r="P14" s="45"/>
      <c r="Q14" s="45"/>
      <c r="R14" s="6"/>
      <c r="S14" s="45"/>
      <c r="T14" s="6"/>
      <c r="U14" s="45"/>
      <c r="V14" s="1"/>
      <c r="W14" s="45"/>
    </row>
    <row r="15" customFormat="false" ht="12.75" hidden="false" customHeight="true" outlineLevel="0" collapsed="false">
      <c r="A15" s="73" t="s">
        <v>72</v>
      </c>
      <c r="B15" s="60"/>
      <c r="C15" s="60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60"/>
      <c r="S15" s="17"/>
      <c r="T15" s="60"/>
    </row>
    <row r="16" customFormat="false" ht="13.2" hidden="false" customHeight="false" outlineLevel="0" collapsed="false">
      <c r="A16" s="60"/>
      <c r="B16" s="52" t="s">
        <v>203</v>
      </c>
      <c r="C16" s="60"/>
      <c r="D16" s="17"/>
      <c r="E16" s="19" t="n">
        <v>0</v>
      </c>
      <c r="F16" s="17"/>
      <c r="G16" s="19" t="n">
        <v>0</v>
      </c>
      <c r="H16" s="17"/>
      <c r="I16" s="19" t="n">
        <v>0</v>
      </c>
      <c r="J16" s="17"/>
      <c r="K16" s="19" t="n">
        <v>0</v>
      </c>
      <c r="L16" s="17"/>
      <c r="M16" s="19" t="n">
        <v>0</v>
      </c>
      <c r="N16" s="17"/>
      <c r="O16" s="19" t="n">
        <v>0</v>
      </c>
      <c r="P16" s="19"/>
      <c r="Q16" s="19" t="n">
        <v>1.9</v>
      </c>
      <c r="R16" s="66"/>
      <c r="S16" s="19" t="n">
        <v>0</v>
      </c>
      <c r="T16" s="60"/>
      <c r="U16" s="19" t="n">
        <v>0</v>
      </c>
      <c r="W16" s="19" t="n">
        <v>0</v>
      </c>
    </row>
    <row r="17" customFormat="false" ht="13.2" hidden="false" customHeight="false" outlineLevel="0" collapsed="false">
      <c r="A17" s="60"/>
      <c r="B17" s="52" t="s">
        <v>204</v>
      </c>
      <c r="C17" s="60"/>
      <c r="D17" s="17"/>
      <c r="E17" s="19" t="n">
        <v>0</v>
      </c>
      <c r="F17" s="17"/>
      <c r="G17" s="19" t="n">
        <v>0</v>
      </c>
      <c r="H17" s="17"/>
      <c r="I17" s="19" t="n">
        <v>0</v>
      </c>
      <c r="J17" s="17"/>
      <c r="K17" s="19" t="n">
        <v>0</v>
      </c>
      <c r="L17" s="17"/>
      <c r="M17" s="19" t="n">
        <v>0.2</v>
      </c>
      <c r="N17" s="17"/>
      <c r="O17" s="19" t="n">
        <v>0</v>
      </c>
      <c r="P17" s="19"/>
      <c r="Q17" s="19" t="n">
        <v>0</v>
      </c>
      <c r="R17" s="66"/>
      <c r="S17" s="19" t="n">
        <v>0</v>
      </c>
      <c r="T17" s="60"/>
      <c r="U17" s="19" t="n">
        <v>0</v>
      </c>
      <c r="W17" s="19" t="n">
        <v>0</v>
      </c>
    </row>
    <row r="18" customFormat="false" ht="13.2" hidden="false" customHeight="false" outlineLevel="0" collapsed="false">
      <c r="A18" s="60"/>
      <c r="B18" s="52" t="s">
        <v>205</v>
      </c>
      <c r="C18" s="60"/>
      <c r="D18" s="17"/>
      <c r="E18" s="19" t="n">
        <v>0</v>
      </c>
      <c r="F18" s="17"/>
      <c r="G18" s="19" t="n">
        <v>0</v>
      </c>
      <c r="H18" s="17"/>
      <c r="I18" s="19" t="n">
        <v>0</v>
      </c>
      <c r="J18" s="17"/>
      <c r="K18" s="19" t="n">
        <v>0</v>
      </c>
      <c r="L18" s="17"/>
      <c r="M18" s="19" t="n">
        <v>0</v>
      </c>
      <c r="N18" s="17"/>
      <c r="O18" s="19" t="n">
        <v>0</v>
      </c>
      <c r="P18" s="19"/>
      <c r="Q18" s="19" t="n">
        <v>0</v>
      </c>
      <c r="R18" s="66"/>
      <c r="S18" s="19" t="n">
        <v>2.5</v>
      </c>
      <c r="T18" s="60"/>
      <c r="U18" s="19" t="n">
        <v>0</v>
      </c>
      <c r="W18" s="19" t="n">
        <v>0</v>
      </c>
    </row>
    <row r="19" customFormat="false" ht="13.2" hidden="false" customHeight="false" outlineLevel="0" collapsed="false">
      <c r="A19" s="60"/>
      <c r="B19" s="52" t="s">
        <v>206</v>
      </c>
      <c r="C19" s="60"/>
      <c r="D19" s="17"/>
      <c r="E19" s="19" t="n">
        <v>0</v>
      </c>
      <c r="F19" s="17"/>
      <c r="G19" s="19" t="n">
        <v>0</v>
      </c>
      <c r="H19" s="17"/>
      <c r="I19" s="19" t="n">
        <v>0</v>
      </c>
      <c r="J19" s="17"/>
      <c r="K19" s="19" t="n">
        <v>0</v>
      </c>
      <c r="L19" s="17"/>
      <c r="M19" s="19" t="n">
        <v>0</v>
      </c>
      <c r="N19" s="17"/>
      <c r="O19" s="19" t="n">
        <v>0</v>
      </c>
      <c r="P19" s="19"/>
      <c r="Q19" s="19" t="n">
        <v>0</v>
      </c>
      <c r="R19" s="66"/>
      <c r="S19" s="19" t="n">
        <v>0.5</v>
      </c>
      <c r="T19" s="60"/>
      <c r="U19" s="19" t="n">
        <v>0</v>
      </c>
      <c r="W19" s="19" t="n">
        <v>0</v>
      </c>
    </row>
    <row r="20" customFormat="false" ht="13.2" hidden="false" customHeight="false" outlineLevel="0" collapsed="false">
      <c r="A20" s="60"/>
      <c r="B20" s="52" t="s">
        <v>207</v>
      </c>
      <c r="C20" s="60"/>
      <c r="D20" s="17"/>
      <c r="E20" s="19" t="n">
        <v>0</v>
      </c>
      <c r="F20" s="17"/>
      <c r="G20" s="19" t="n">
        <v>0</v>
      </c>
      <c r="H20" s="17"/>
      <c r="I20" s="19" t="n">
        <v>0</v>
      </c>
      <c r="J20" s="17"/>
      <c r="K20" s="19" t="n">
        <v>3.6</v>
      </c>
      <c r="L20" s="17"/>
      <c r="M20" s="19" t="n">
        <v>0</v>
      </c>
      <c r="N20" s="17"/>
      <c r="O20" s="19" t="n">
        <v>0</v>
      </c>
      <c r="P20" s="19"/>
      <c r="Q20" s="19" t="n">
        <v>0</v>
      </c>
      <c r="R20" s="66"/>
      <c r="S20" s="19" t="n">
        <v>0</v>
      </c>
      <c r="T20" s="60"/>
      <c r="U20" s="19" t="n">
        <v>0</v>
      </c>
      <c r="W20" s="19" t="n">
        <v>0</v>
      </c>
    </row>
    <row r="21" customFormat="false" ht="13.2" hidden="false" customHeight="false" outlineLevel="0" collapsed="false">
      <c r="A21" s="60"/>
      <c r="B21" s="112" t="s">
        <v>88</v>
      </c>
      <c r="C21" s="60"/>
      <c r="D21" s="17"/>
      <c r="E21" s="26" t="n">
        <v>0</v>
      </c>
      <c r="F21" s="17"/>
      <c r="G21" s="26" t="n">
        <v>0</v>
      </c>
      <c r="H21" s="17"/>
      <c r="I21" s="26" t="n">
        <v>0</v>
      </c>
      <c r="J21" s="17"/>
      <c r="K21" s="26" t="n">
        <v>0</v>
      </c>
      <c r="L21" s="17"/>
      <c r="M21" s="26" t="n">
        <v>0</v>
      </c>
      <c r="N21" s="17"/>
      <c r="O21" s="26" t="n">
        <v>0</v>
      </c>
      <c r="P21" s="19"/>
      <c r="Q21" s="26" t="n">
        <v>0</v>
      </c>
      <c r="R21" s="66"/>
      <c r="S21" s="26" t="n">
        <v>0</v>
      </c>
      <c r="T21" s="60"/>
      <c r="U21" s="26" t="n">
        <v>5</v>
      </c>
      <c r="V21" s="113"/>
      <c r="W21" s="26" t="n">
        <v>5</v>
      </c>
    </row>
    <row r="22" customFormat="false" ht="3.9" hidden="false" customHeight="true" outlineLevel="0" collapsed="false">
      <c r="A22" s="60"/>
      <c r="B22" s="60"/>
      <c r="C22" s="60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60"/>
      <c r="S22" s="17"/>
      <c r="T22" s="60"/>
    </row>
    <row r="23" customFormat="false" ht="13.8" hidden="false" customHeight="false" outlineLevel="0" collapsed="false">
      <c r="A23" s="60"/>
      <c r="B23" s="60"/>
      <c r="C23" s="64" t="s">
        <v>89</v>
      </c>
      <c r="D23" s="29"/>
      <c r="E23" s="38" t="n">
        <f aca="false">SUM(E16:E22)</f>
        <v>0</v>
      </c>
      <c r="F23" s="29"/>
      <c r="G23" s="38" t="n">
        <f aca="false">SUM(G16:G22)</f>
        <v>0</v>
      </c>
      <c r="H23" s="29"/>
      <c r="I23" s="38" t="n">
        <f aca="false">SUM(I16:I22)</f>
        <v>0</v>
      </c>
      <c r="J23" s="29"/>
      <c r="K23" s="38" t="n">
        <f aca="false">SUM(K16:K22)</f>
        <v>3.6</v>
      </c>
      <c r="L23" s="29"/>
      <c r="M23" s="38" t="n">
        <f aca="false">SUM(M16:M22)</f>
        <v>0.2</v>
      </c>
      <c r="N23" s="29"/>
      <c r="O23" s="38" t="n">
        <f aca="false">SUM(O16:O22)</f>
        <v>0</v>
      </c>
      <c r="P23" s="29"/>
      <c r="Q23" s="38" t="n">
        <f aca="false">SUM(Q16:Q22)</f>
        <v>1.9</v>
      </c>
      <c r="R23" s="60"/>
      <c r="S23" s="38" t="n">
        <f aca="false">SUM(S16:S22)</f>
        <v>3</v>
      </c>
      <c r="T23" s="68"/>
      <c r="U23" s="38" t="n">
        <f aca="false">SUM(U16:U22)</f>
        <v>5</v>
      </c>
      <c r="W23" s="38" t="n">
        <f aca="false">SUM(W16:W22)</f>
        <v>5</v>
      </c>
    </row>
    <row r="24" customFormat="false" ht="13.8" hidden="false" customHeight="false" outlineLevel="0" collapsed="false">
      <c r="A24" s="60"/>
      <c r="B24" s="60"/>
      <c r="C24" s="52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60"/>
      <c r="S24" s="29"/>
      <c r="T24" s="68"/>
      <c r="U24" s="29"/>
      <c r="W24" s="29"/>
    </row>
    <row r="25" customFormat="false" ht="13.2" hidden="false" customHeight="false" outlineLevel="0" collapsed="false">
      <c r="A25" s="33" t="s">
        <v>90</v>
      </c>
      <c r="B25" s="6"/>
      <c r="C25" s="6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6"/>
      <c r="S25" s="17"/>
      <c r="T25" s="6"/>
      <c r="U25" s="1"/>
      <c r="V25" s="1"/>
      <c r="W25" s="1"/>
    </row>
    <row r="26" customFormat="false" ht="13.2" hidden="false" customHeight="false" outlineLevel="0" collapsed="false">
      <c r="A26" s="6"/>
      <c r="B26" s="22" t="s">
        <v>208</v>
      </c>
      <c r="C26" s="6"/>
      <c r="D26" s="17"/>
      <c r="E26" s="19" t="n">
        <v>-3.6</v>
      </c>
      <c r="F26" s="17"/>
      <c r="G26" s="19" t="n">
        <v>3.6</v>
      </c>
      <c r="H26" s="17"/>
      <c r="I26" s="19" t="n">
        <v>0</v>
      </c>
      <c r="J26" s="17"/>
      <c r="K26" s="19" t="n">
        <v>0</v>
      </c>
      <c r="L26" s="17"/>
      <c r="M26" s="19" t="n">
        <v>0</v>
      </c>
      <c r="N26" s="17"/>
      <c r="O26" s="19" t="n">
        <v>0</v>
      </c>
      <c r="P26" s="19"/>
      <c r="Q26" s="19" t="n">
        <v>0</v>
      </c>
      <c r="R26" s="11"/>
      <c r="S26" s="19" t="n">
        <v>0</v>
      </c>
      <c r="T26" s="6"/>
      <c r="U26" s="19" t="n">
        <v>0</v>
      </c>
      <c r="V26" s="1"/>
      <c r="W26" s="19" t="n">
        <v>0</v>
      </c>
    </row>
    <row r="27" customFormat="false" ht="13.2" hidden="false" customHeight="false" outlineLevel="0" collapsed="false">
      <c r="A27" s="6"/>
      <c r="B27" s="22" t="s">
        <v>209</v>
      </c>
      <c r="C27" s="6"/>
      <c r="D27" s="17"/>
      <c r="E27" s="19" t="n">
        <v>-12.9</v>
      </c>
      <c r="F27" s="17"/>
      <c r="G27" s="19" t="n">
        <v>2.7</v>
      </c>
      <c r="H27" s="17"/>
      <c r="I27" s="19" t="n">
        <v>6.5</v>
      </c>
      <c r="J27" s="17"/>
      <c r="K27" s="19" t="n">
        <v>2.3</v>
      </c>
      <c r="L27" s="17"/>
      <c r="M27" s="19" t="n">
        <v>1.4</v>
      </c>
      <c r="N27" s="17"/>
      <c r="O27" s="19" t="n">
        <v>0</v>
      </c>
      <c r="P27" s="19"/>
      <c r="Q27" s="19" t="n">
        <v>0</v>
      </c>
      <c r="R27" s="11"/>
      <c r="S27" s="19" t="n">
        <v>0</v>
      </c>
      <c r="T27" s="6"/>
      <c r="U27" s="19" t="n">
        <v>0</v>
      </c>
      <c r="V27" s="1"/>
      <c r="W27" s="19" t="n">
        <v>0</v>
      </c>
    </row>
    <row r="28" customFormat="false" ht="13.2" hidden="false" customHeight="false" outlineLevel="0" collapsed="false">
      <c r="A28" s="6"/>
      <c r="B28" s="16" t="s">
        <v>210</v>
      </c>
      <c r="C28" s="6"/>
      <c r="D28" s="17"/>
      <c r="E28" s="19" t="n">
        <v>0</v>
      </c>
      <c r="F28" s="17"/>
      <c r="G28" s="19" t="n">
        <v>0</v>
      </c>
      <c r="H28" s="17"/>
      <c r="I28" s="114" t="n">
        <v>-2</v>
      </c>
      <c r="J28" s="17"/>
      <c r="K28" s="114" t="n">
        <v>2</v>
      </c>
      <c r="L28" s="17"/>
      <c r="M28" s="19" t="n">
        <v>0</v>
      </c>
      <c r="N28" s="17"/>
      <c r="O28" s="19" t="n">
        <v>0</v>
      </c>
      <c r="P28" s="19"/>
      <c r="Q28" s="19" t="n">
        <v>0</v>
      </c>
      <c r="R28" s="11"/>
      <c r="S28" s="19" t="n">
        <v>0</v>
      </c>
      <c r="T28" s="6"/>
      <c r="U28" s="19" t="n">
        <v>0</v>
      </c>
      <c r="V28" s="1"/>
      <c r="W28" s="19" t="n">
        <v>0</v>
      </c>
    </row>
    <row r="29" customFormat="false" ht="13.2" hidden="false" customHeight="false" outlineLevel="0" collapsed="false">
      <c r="A29" s="6"/>
      <c r="B29" s="22" t="s">
        <v>211</v>
      </c>
      <c r="C29" s="6"/>
      <c r="D29" s="17"/>
      <c r="E29" s="19" t="n">
        <v>0</v>
      </c>
      <c r="F29" s="17"/>
      <c r="G29" s="19" t="n">
        <v>0</v>
      </c>
      <c r="H29" s="17"/>
      <c r="I29" s="19" t="n">
        <v>-11</v>
      </c>
      <c r="J29" s="17"/>
      <c r="K29" s="19" t="n">
        <v>11</v>
      </c>
      <c r="L29" s="17"/>
      <c r="M29" s="19" t="n">
        <v>0</v>
      </c>
      <c r="N29" s="17"/>
      <c r="O29" s="19" t="n">
        <v>0</v>
      </c>
      <c r="P29" s="19"/>
      <c r="Q29" s="19" t="n">
        <v>0</v>
      </c>
      <c r="R29" s="11"/>
      <c r="S29" s="19" t="n">
        <v>0</v>
      </c>
      <c r="T29" s="6"/>
      <c r="U29" s="19" t="n">
        <v>0</v>
      </c>
      <c r="V29" s="1"/>
      <c r="W29" s="19" t="n">
        <v>0</v>
      </c>
    </row>
    <row r="30" customFormat="false" ht="13.2" hidden="false" customHeight="false" outlineLevel="0" collapsed="false">
      <c r="A30" s="6"/>
      <c r="B30" s="22" t="s">
        <v>212</v>
      </c>
      <c r="C30" s="6"/>
      <c r="D30" s="17"/>
      <c r="E30" s="19" t="n">
        <v>-1.5</v>
      </c>
      <c r="F30" s="17"/>
      <c r="G30" s="19" t="n">
        <v>-3.8</v>
      </c>
      <c r="H30" s="17"/>
      <c r="I30" s="19" t="n">
        <v>-2.3</v>
      </c>
      <c r="J30" s="17"/>
      <c r="K30" s="19" t="n">
        <v>7.6</v>
      </c>
      <c r="L30" s="17"/>
      <c r="M30" s="19" t="n">
        <v>0</v>
      </c>
      <c r="N30" s="17"/>
      <c r="O30" s="19" t="n">
        <v>0</v>
      </c>
      <c r="P30" s="19"/>
      <c r="Q30" s="19" t="n">
        <v>0</v>
      </c>
      <c r="R30" s="11"/>
      <c r="S30" s="19" t="n">
        <v>0</v>
      </c>
      <c r="T30" s="6"/>
      <c r="U30" s="19" t="n">
        <v>0</v>
      </c>
      <c r="V30" s="1"/>
      <c r="W30" s="19" t="n">
        <v>0</v>
      </c>
    </row>
    <row r="31" customFormat="false" ht="13.2" hidden="false" customHeight="false" outlineLevel="0" collapsed="false">
      <c r="A31" s="6"/>
      <c r="B31" s="6" t="s">
        <v>213</v>
      </c>
      <c r="C31" s="1"/>
      <c r="D31" s="17"/>
      <c r="E31" s="19" t="n">
        <v>-8.9</v>
      </c>
      <c r="F31" s="17"/>
      <c r="G31" s="19" t="n">
        <v>0.5</v>
      </c>
      <c r="H31" s="17"/>
      <c r="I31" s="19" t="n">
        <v>0</v>
      </c>
      <c r="J31" s="17"/>
      <c r="K31" s="19" t="n">
        <v>8.4</v>
      </c>
      <c r="L31" s="17"/>
      <c r="M31" s="19" t="n">
        <v>0</v>
      </c>
      <c r="N31" s="17"/>
      <c r="O31" s="19" t="n">
        <v>0</v>
      </c>
      <c r="P31" s="19"/>
      <c r="Q31" s="19" t="n">
        <v>0</v>
      </c>
      <c r="R31" s="11"/>
      <c r="S31" s="19" t="n">
        <v>0</v>
      </c>
      <c r="T31" s="6"/>
      <c r="U31" s="19" t="n">
        <v>0</v>
      </c>
      <c r="V31" s="11"/>
      <c r="W31" s="19" t="n">
        <v>0</v>
      </c>
    </row>
    <row r="32" customFormat="false" ht="13.2" hidden="false" customHeight="false" outlineLevel="0" collapsed="false">
      <c r="A32" s="6"/>
      <c r="B32" s="52" t="s">
        <v>214</v>
      </c>
      <c r="C32" s="6"/>
      <c r="D32" s="17"/>
      <c r="E32" s="26" t="n">
        <v>0</v>
      </c>
      <c r="F32" s="17"/>
      <c r="G32" s="26" t="n">
        <v>0</v>
      </c>
      <c r="H32" s="17"/>
      <c r="I32" s="26" t="n">
        <v>0</v>
      </c>
      <c r="J32" s="17"/>
      <c r="K32" s="26" t="n">
        <v>0</v>
      </c>
      <c r="L32" s="17"/>
      <c r="M32" s="26" t="n">
        <v>0</v>
      </c>
      <c r="N32" s="17"/>
      <c r="O32" s="26" t="n">
        <v>0.2</v>
      </c>
      <c r="P32" s="19"/>
      <c r="Q32" s="26" t="n">
        <v>0</v>
      </c>
      <c r="R32" s="11"/>
      <c r="S32" s="26" t="n">
        <v>0</v>
      </c>
      <c r="T32" s="6"/>
      <c r="U32" s="26" t="n">
        <v>0</v>
      </c>
      <c r="V32" s="11"/>
      <c r="W32" s="26" t="n">
        <v>0</v>
      </c>
    </row>
    <row r="33" customFormat="false" ht="3.9" hidden="false" customHeight="true" outlineLevel="0" collapsed="false">
      <c r="A33" s="6"/>
      <c r="B33" s="6"/>
      <c r="C33" s="6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6"/>
      <c r="S33" s="17"/>
      <c r="T33" s="6"/>
      <c r="U33" s="17"/>
      <c r="V33" s="1"/>
      <c r="W33" s="17"/>
    </row>
    <row r="34" customFormat="false" ht="13.8" hidden="false" customHeight="false" outlineLevel="0" collapsed="false">
      <c r="A34" s="6"/>
      <c r="B34" s="6"/>
      <c r="C34" s="33" t="s">
        <v>105</v>
      </c>
      <c r="D34" s="29"/>
      <c r="E34" s="38" t="n">
        <f aca="false">SUM(E26:E32)</f>
        <v>-26.9</v>
      </c>
      <c r="F34" s="29"/>
      <c r="G34" s="38" t="n">
        <f aca="false">SUM(G26:G32)</f>
        <v>3</v>
      </c>
      <c r="H34" s="29"/>
      <c r="I34" s="38" t="n">
        <f aca="false">SUM(I26:I32)</f>
        <v>-8.8</v>
      </c>
      <c r="J34" s="29"/>
      <c r="K34" s="38" t="n">
        <f aca="false">SUM(K26:K32)</f>
        <v>31.3</v>
      </c>
      <c r="L34" s="29"/>
      <c r="M34" s="38" t="n">
        <f aca="false">SUM(M26:M32)</f>
        <v>1.4</v>
      </c>
      <c r="N34" s="29"/>
      <c r="O34" s="38" t="n">
        <f aca="false">SUM(O26:O32)</f>
        <v>0.2</v>
      </c>
      <c r="P34" s="29"/>
      <c r="Q34" s="38" t="n">
        <f aca="false">SUM(Q26:Q32)</f>
        <v>0</v>
      </c>
      <c r="R34" s="6"/>
      <c r="S34" s="38" t="n">
        <f aca="false">SUM(S26:S32)</f>
        <v>0</v>
      </c>
      <c r="T34" s="28"/>
      <c r="U34" s="38" t="n">
        <f aca="false">SUM(U26:U32)</f>
        <v>0</v>
      </c>
      <c r="V34" s="1"/>
      <c r="W34" s="38" t="n">
        <f aca="false">SUM(W26:W32)</f>
        <v>0</v>
      </c>
    </row>
    <row r="35" customFormat="false" ht="13.8" hidden="false" customHeight="false" outlineLevel="0" collapsed="false">
      <c r="A35" s="60"/>
      <c r="B35" s="60"/>
      <c r="C35" s="52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60"/>
      <c r="S35" s="29"/>
      <c r="T35" s="68"/>
      <c r="U35" s="29"/>
      <c r="W35" s="29"/>
    </row>
    <row r="36" customFormat="false" ht="12.75" hidden="false" customHeight="true" outlineLevel="0" collapsed="false">
      <c r="A36" s="73" t="s">
        <v>106</v>
      </c>
      <c r="B36" s="60"/>
      <c r="C36" s="60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60"/>
      <c r="S36" s="17"/>
      <c r="T36" s="60"/>
    </row>
    <row r="37" customFormat="false" ht="12.75" hidden="false" customHeight="true" outlineLevel="0" collapsed="false">
      <c r="A37" s="73"/>
      <c r="B37" s="52" t="s">
        <v>215</v>
      </c>
      <c r="C37" s="60"/>
      <c r="D37" s="17"/>
      <c r="E37" s="19" t="n">
        <v>0</v>
      </c>
      <c r="F37" s="17"/>
      <c r="G37" s="19" t="n">
        <v>0</v>
      </c>
      <c r="H37" s="17"/>
      <c r="I37" s="19" t="n">
        <v>0</v>
      </c>
      <c r="J37" s="17"/>
      <c r="K37" s="19" t="n">
        <v>0</v>
      </c>
      <c r="L37" s="17"/>
      <c r="M37" s="19" t="n">
        <v>0</v>
      </c>
      <c r="N37" s="17"/>
      <c r="O37" s="19" t="n">
        <v>3.1</v>
      </c>
      <c r="P37" s="19"/>
      <c r="Q37" s="19" t="n">
        <v>0</v>
      </c>
      <c r="R37" s="66"/>
      <c r="S37" s="19" t="n">
        <v>0</v>
      </c>
      <c r="T37" s="66"/>
      <c r="U37" s="19" t="n">
        <v>0</v>
      </c>
      <c r="V37" s="66"/>
      <c r="W37" s="19" t="n">
        <v>0</v>
      </c>
    </row>
    <row r="38" customFormat="false" ht="12.75" hidden="false" customHeight="true" outlineLevel="0" collapsed="false">
      <c r="A38" s="73"/>
      <c r="B38" s="22" t="s">
        <v>216</v>
      </c>
      <c r="C38" s="60"/>
      <c r="D38" s="17"/>
      <c r="E38" s="19" t="n">
        <v>0</v>
      </c>
      <c r="F38" s="17"/>
      <c r="G38" s="19" t="n">
        <v>5</v>
      </c>
      <c r="H38" s="17"/>
      <c r="I38" s="19" t="n">
        <v>0</v>
      </c>
      <c r="J38" s="17"/>
      <c r="K38" s="19" t="n">
        <v>0</v>
      </c>
      <c r="L38" s="17"/>
      <c r="M38" s="19" t="n">
        <v>0</v>
      </c>
      <c r="N38" s="17"/>
      <c r="O38" s="19" t="n">
        <v>0</v>
      </c>
      <c r="P38" s="19"/>
      <c r="Q38" s="19" t="n">
        <v>0</v>
      </c>
      <c r="R38" s="66"/>
      <c r="S38" s="19" t="n">
        <v>0</v>
      </c>
      <c r="T38" s="66"/>
      <c r="U38" s="19" t="n">
        <v>0</v>
      </c>
      <c r="V38" s="66"/>
      <c r="W38" s="19" t="n">
        <v>0</v>
      </c>
    </row>
    <row r="39" customFormat="false" ht="12.75" hidden="false" customHeight="true" outlineLevel="0" collapsed="false">
      <c r="A39" s="73"/>
      <c r="B39" s="112" t="s">
        <v>217</v>
      </c>
      <c r="E39" s="19" t="n">
        <v>0</v>
      </c>
      <c r="F39" s="17"/>
      <c r="G39" s="19" t="n">
        <v>0</v>
      </c>
      <c r="H39" s="17"/>
      <c r="I39" s="19" t="n">
        <v>0</v>
      </c>
      <c r="J39" s="17"/>
      <c r="K39" s="19" t="n">
        <v>-1.4</v>
      </c>
      <c r="L39" s="17"/>
      <c r="M39" s="19" t="n">
        <v>1.4</v>
      </c>
      <c r="N39" s="17"/>
      <c r="O39" s="19" t="n">
        <v>0</v>
      </c>
      <c r="P39" s="19"/>
      <c r="Q39" s="19" t="n">
        <v>0</v>
      </c>
      <c r="R39" s="115"/>
      <c r="S39" s="19" t="n">
        <v>0</v>
      </c>
      <c r="T39" s="60"/>
      <c r="U39" s="19" t="n">
        <v>0</v>
      </c>
      <c r="W39" s="19" t="n">
        <v>0</v>
      </c>
    </row>
    <row r="40" customFormat="false" ht="12.75" hidden="false" customHeight="true" outlineLevel="0" collapsed="false">
      <c r="A40" s="73"/>
      <c r="B40" s="52" t="s">
        <v>154</v>
      </c>
      <c r="C40" s="60"/>
      <c r="D40" s="17"/>
      <c r="E40" s="19" t="n">
        <v>0</v>
      </c>
      <c r="F40" s="17"/>
      <c r="G40" s="19" t="n">
        <v>0</v>
      </c>
      <c r="H40" s="17"/>
      <c r="I40" s="19" t="n">
        <v>0</v>
      </c>
      <c r="J40" s="17"/>
      <c r="K40" s="19" t="n">
        <v>0</v>
      </c>
      <c r="L40" s="17"/>
      <c r="M40" s="19" t="n">
        <v>0</v>
      </c>
      <c r="N40" s="17"/>
      <c r="O40" s="19" t="n">
        <v>0.2</v>
      </c>
      <c r="P40" s="19"/>
      <c r="Q40" s="19" t="n">
        <v>0</v>
      </c>
      <c r="R40" s="66"/>
      <c r="S40" s="19" t="n">
        <v>0</v>
      </c>
      <c r="T40" s="66"/>
      <c r="U40" s="19" t="n">
        <v>0</v>
      </c>
      <c r="V40" s="66"/>
      <c r="W40" s="19" t="n">
        <v>0</v>
      </c>
    </row>
    <row r="41" customFormat="false" ht="12.75" hidden="false" customHeight="true" outlineLevel="0" collapsed="false">
      <c r="A41" s="73"/>
      <c r="B41" s="52" t="s">
        <v>218</v>
      </c>
      <c r="C41" s="60"/>
      <c r="D41" s="17"/>
      <c r="E41" s="19" t="n">
        <v>0</v>
      </c>
      <c r="F41" s="17"/>
      <c r="G41" s="19" t="n">
        <v>0</v>
      </c>
      <c r="H41" s="17"/>
      <c r="I41" s="19" t="n">
        <v>0</v>
      </c>
      <c r="J41" s="17"/>
      <c r="K41" s="19" t="n">
        <v>0</v>
      </c>
      <c r="L41" s="17"/>
      <c r="M41" s="19" t="n">
        <v>0</v>
      </c>
      <c r="N41" s="17"/>
      <c r="O41" s="19" t="n">
        <v>0.2</v>
      </c>
      <c r="P41" s="19"/>
      <c r="Q41" s="19" t="n">
        <v>0</v>
      </c>
      <c r="R41" s="66"/>
      <c r="S41" s="19" t="n">
        <v>0</v>
      </c>
      <c r="T41" s="66"/>
      <c r="U41" s="19" t="n">
        <v>0</v>
      </c>
      <c r="V41" s="66"/>
      <c r="W41" s="19" t="n">
        <v>0</v>
      </c>
    </row>
    <row r="42" customFormat="false" ht="12.75" hidden="false" customHeight="true" outlineLevel="0" collapsed="false">
      <c r="A42" s="73"/>
      <c r="B42" s="52" t="s">
        <v>219</v>
      </c>
      <c r="C42" s="60"/>
      <c r="D42" s="17"/>
      <c r="E42" s="19" t="n">
        <v>0</v>
      </c>
      <c r="F42" s="17"/>
      <c r="G42" s="19" t="n">
        <v>0</v>
      </c>
      <c r="H42" s="17"/>
      <c r="I42" s="19" t="n">
        <v>0</v>
      </c>
      <c r="J42" s="17"/>
      <c r="K42" s="19" t="n">
        <v>0</v>
      </c>
      <c r="L42" s="17"/>
      <c r="M42" s="19" t="n">
        <v>0</v>
      </c>
      <c r="N42" s="17"/>
      <c r="O42" s="19" t="n">
        <v>0</v>
      </c>
      <c r="P42" s="19"/>
      <c r="Q42" s="20" t="n">
        <f aca="false">3.6-0.4</f>
        <v>3.2</v>
      </c>
      <c r="R42" s="115"/>
      <c r="S42" s="19" t="n">
        <v>-0.3</v>
      </c>
      <c r="T42" s="60"/>
      <c r="U42" s="19" t="n">
        <v>0</v>
      </c>
      <c r="W42" s="19" t="n">
        <v>0</v>
      </c>
    </row>
    <row r="43" customFormat="false" ht="12.75" hidden="false" customHeight="true" outlineLevel="0" collapsed="false">
      <c r="A43" s="73"/>
      <c r="B43" s="52" t="s">
        <v>220</v>
      </c>
      <c r="C43" s="60"/>
      <c r="D43" s="17"/>
      <c r="E43" s="19" t="n">
        <v>0</v>
      </c>
      <c r="F43" s="17"/>
      <c r="G43" s="19" t="n">
        <v>0</v>
      </c>
      <c r="H43" s="17"/>
      <c r="I43" s="19" t="n">
        <v>0</v>
      </c>
      <c r="J43" s="17"/>
      <c r="K43" s="19" t="n">
        <v>0</v>
      </c>
      <c r="L43" s="17"/>
      <c r="M43" s="19" t="n">
        <v>0</v>
      </c>
      <c r="N43" s="17"/>
      <c r="O43" s="19" t="n">
        <v>0</v>
      </c>
      <c r="P43" s="19"/>
      <c r="Q43" s="51" t="n">
        <v>-0.4</v>
      </c>
      <c r="R43" s="115"/>
      <c r="S43" s="19" t="n">
        <v>0</v>
      </c>
      <c r="T43" s="60"/>
      <c r="U43" s="19" t="n">
        <v>0</v>
      </c>
      <c r="W43" s="19" t="n">
        <v>0</v>
      </c>
    </row>
    <row r="44" customFormat="false" ht="12.75" hidden="false" customHeight="true" outlineLevel="0" collapsed="false">
      <c r="A44" s="73"/>
      <c r="B44" s="52" t="s">
        <v>221</v>
      </c>
      <c r="C44" s="60"/>
      <c r="D44" s="17"/>
      <c r="E44" s="19" t="n">
        <v>0</v>
      </c>
      <c r="F44" s="17"/>
      <c r="G44" s="19" t="n">
        <v>0</v>
      </c>
      <c r="H44" s="17"/>
      <c r="I44" s="19" t="n">
        <v>0</v>
      </c>
      <c r="J44" s="17"/>
      <c r="K44" s="19" t="n">
        <v>0</v>
      </c>
      <c r="L44" s="17"/>
      <c r="M44" s="19" t="n">
        <v>0</v>
      </c>
      <c r="N44" s="17"/>
      <c r="O44" s="19" t="n">
        <v>0</v>
      </c>
      <c r="P44" s="19"/>
      <c r="Q44" s="51" t="n">
        <v>-0.2</v>
      </c>
      <c r="R44" s="115"/>
      <c r="S44" s="19" t="n">
        <v>0</v>
      </c>
      <c r="T44" s="60"/>
      <c r="U44" s="19" t="n">
        <v>0</v>
      </c>
      <c r="W44" s="19" t="n">
        <v>0</v>
      </c>
    </row>
    <row r="45" customFormat="false" ht="12.75" hidden="false" customHeight="true" outlineLevel="0" collapsed="false">
      <c r="A45" s="73"/>
      <c r="B45" s="22" t="s">
        <v>131</v>
      </c>
      <c r="C45" s="60"/>
      <c r="D45" s="17"/>
      <c r="E45" s="19" t="n">
        <v>0</v>
      </c>
      <c r="F45" s="17"/>
      <c r="G45" s="19" t="n">
        <v>0</v>
      </c>
      <c r="H45" s="17"/>
      <c r="I45" s="19" t="n">
        <v>0</v>
      </c>
      <c r="J45" s="17"/>
      <c r="K45" s="19" t="n">
        <v>0</v>
      </c>
      <c r="L45" s="17"/>
      <c r="M45" s="19" t="n">
        <v>0</v>
      </c>
      <c r="N45" s="17"/>
      <c r="O45" s="19" t="n">
        <v>0</v>
      </c>
      <c r="P45" s="19"/>
      <c r="Q45" s="51" t="n">
        <v>-0.2</v>
      </c>
      <c r="R45" s="115"/>
      <c r="S45" s="19" t="n">
        <v>0</v>
      </c>
      <c r="T45" s="60"/>
      <c r="U45" s="19" t="n">
        <v>0</v>
      </c>
      <c r="W45" s="19" t="n">
        <v>0</v>
      </c>
    </row>
    <row r="46" customFormat="false" ht="12.75" hidden="false" customHeight="true" outlineLevel="0" collapsed="false">
      <c r="A46" s="73"/>
      <c r="B46" s="22" t="s">
        <v>222</v>
      </c>
      <c r="C46" s="6"/>
      <c r="D46" s="17"/>
      <c r="E46" s="19" t="n">
        <v>0</v>
      </c>
      <c r="F46" s="17"/>
      <c r="G46" s="19" t="n">
        <v>0</v>
      </c>
      <c r="H46" s="17"/>
      <c r="I46" s="19" t="n">
        <v>0</v>
      </c>
      <c r="J46" s="17"/>
      <c r="K46" s="19" t="n">
        <v>0</v>
      </c>
      <c r="L46" s="17"/>
      <c r="M46" s="19" t="n">
        <v>0</v>
      </c>
      <c r="N46" s="17"/>
      <c r="O46" s="19" t="n">
        <v>0</v>
      </c>
      <c r="P46" s="19"/>
      <c r="Q46" s="19" t="n">
        <f aca="false">0.4-0.4</f>
        <v>0</v>
      </c>
      <c r="R46" s="35"/>
      <c r="S46" s="19" t="n">
        <v>0</v>
      </c>
      <c r="T46" s="6"/>
      <c r="U46" s="19" t="n">
        <v>0</v>
      </c>
      <c r="V46" s="1"/>
      <c r="W46" s="19" t="n">
        <v>0</v>
      </c>
    </row>
    <row r="47" customFormat="false" ht="12.75" hidden="false" customHeight="true" outlineLevel="0" collapsed="false">
      <c r="A47" s="73"/>
      <c r="B47" s="22" t="s">
        <v>223</v>
      </c>
      <c r="C47" s="6"/>
      <c r="D47" s="6"/>
      <c r="E47" s="19" t="n">
        <v>0</v>
      </c>
      <c r="F47" s="6"/>
      <c r="G47" s="19" t="n">
        <v>0</v>
      </c>
      <c r="H47" s="6"/>
      <c r="I47" s="19" t="n">
        <v>0</v>
      </c>
      <c r="J47" s="6"/>
      <c r="K47" s="19" t="n">
        <v>0</v>
      </c>
      <c r="L47" s="6"/>
      <c r="M47" s="19" t="n">
        <v>0</v>
      </c>
      <c r="N47" s="6"/>
      <c r="O47" s="19" t="n">
        <v>0</v>
      </c>
      <c r="P47" s="19"/>
      <c r="Q47" s="19" t="n">
        <v>-0.2</v>
      </c>
      <c r="R47" s="6"/>
      <c r="S47" s="19" t="n">
        <v>0</v>
      </c>
      <c r="T47" s="6"/>
      <c r="U47" s="19" t="n">
        <v>0</v>
      </c>
      <c r="V47" s="1"/>
      <c r="W47" s="19" t="n">
        <v>0</v>
      </c>
    </row>
    <row r="48" customFormat="false" ht="12.75" hidden="false" customHeight="true" outlineLevel="0" collapsed="false">
      <c r="A48" s="73"/>
      <c r="B48" s="16" t="s">
        <v>224</v>
      </c>
      <c r="C48" s="6"/>
      <c r="D48" s="17"/>
      <c r="E48" s="19" t="n">
        <v>0</v>
      </c>
      <c r="F48" s="17"/>
      <c r="G48" s="19" t="n">
        <v>0</v>
      </c>
      <c r="H48" s="17"/>
      <c r="I48" s="19" t="n">
        <v>0</v>
      </c>
      <c r="J48" s="17"/>
      <c r="K48" s="114" t="n">
        <v>-0.3</v>
      </c>
      <c r="L48" s="17"/>
      <c r="M48" s="19" t="n">
        <v>0</v>
      </c>
      <c r="N48" s="17"/>
      <c r="O48" s="19" t="n">
        <v>0</v>
      </c>
      <c r="P48" s="19"/>
      <c r="Q48" s="19" t="n">
        <v>0</v>
      </c>
      <c r="R48" s="115"/>
      <c r="S48" s="19" t="n">
        <v>0</v>
      </c>
      <c r="T48" s="60"/>
      <c r="U48" s="19" t="n">
        <v>0</v>
      </c>
      <c r="W48" s="19" t="n">
        <v>0</v>
      </c>
    </row>
    <row r="49" customFormat="false" ht="12.75" hidden="false" customHeight="true" outlineLevel="0" collapsed="false">
      <c r="A49" s="73"/>
      <c r="B49" s="22" t="s">
        <v>225</v>
      </c>
      <c r="C49" s="60"/>
      <c r="D49" s="17"/>
      <c r="E49" s="18" t="n">
        <f aca="false">-5-3.8</f>
        <v>-8.8</v>
      </c>
      <c r="F49" s="17"/>
      <c r="G49" s="19" t="n">
        <v>0</v>
      </c>
      <c r="H49" s="17"/>
      <c r="I49" s="19" t="n">
        <v>0</v>
      </c>
      <c r="J49" s="17"/>
      <c r="K49" s="19" t="n">
        <v>-2.2</v>
      </c>
      <c r="L49" s="17"/>
      <c r="M49" s="19" t="n">
        <v>0</v>
      </c>
      <c r="N49" s="17"/>
      <c r="O49" s="19" t="n">
        <v>0</v>
      </c>
      <c r="P49" s="19"/>
      <c r="Q49" s="19" t="n">
        <v>0</v>
      </c>
      <c r="R49" s="115"/>
      <c r="S49" s="19" t="n">
        <v>0</v>
      </c>
      <c r="T49" s="60"/>
      <c r="U49" s="19" t="n">
        <v>0</v>
      </c>
      <c r="W49" s="19" t="n">
        <v>0</v>
      </c>
    </row>
    <row r="50" customFormat="false" ht="12.75" hidden="false" customHeight="true" outlineLevel="0" collapsed="false">
      <c r="A50" s="73"/>
      <c r="B50" s="52" t="s">
        <v>226</v>
      </c>
      <c r="C50" s="60"/>
      <c r="D50" s="17"/>
      <c r="E50" s="19" t="n">
        <v>-4.8</v>
      </c>
      <c r="F50" s="17"/>
      <c r="G50" s="19" t="n">
        <v>0</v>
      </c>
      <c r="H50" s="17"/>
      <c r="I50" s="19" t="n">
        <v>0</v>
      </c>
      <c r="J50" s="17"/>
      <c r="K50" s="19" t="n">
        <v>0</v>
      </c>
      <c r="L50" s="17"/>
      <c r="M50" s="19" t="n">
        <v>0</v>
      </c>
      <c r="N50" s="17"/>
      <c r="O50" s="19" t="n">
        <v>0</v>
      </c>
      <c r="P50" s="19"/>
      <c r="Q50" s="19" t="n">
        <v>0</v>
      </c>
      <c r="R50" s="115"/>
      <c r="S50" s="19" t="n">
        <v>0</v>
      </c>
      <c r="T50" s="60"/>
      <c r="U50" s="19" t="n">
        <v>0</v>
      </c>
      <c r="W50" s="19" t="n">
        <v>0</v>
      </c>
    </row>
    <row r="51" customFormat="false" ht="12.75" hidden="false" customHeight="true" outlineLevel="0" collapsed="false">
      <c r="A51" s="73"/>
      <c r="B51" s="22" t="s">
        <v>227</v>
      </c>
      <c r="C51" s="60"/>
      <c r="D51" s="17"/>
      <c r="E51" s="19" t="n">
        <v>-7.8</v>
      </c>
      <c r="F51" s="17"/>
      <c r="G51" s="19" t="n">
        <v>0</v>
      </c>
      <c r="H51" s="17"/>
      <c r="I51" s="19" t="n">
        <v>0</v>
      </c>
      <c r="J51" s="17"/>
      <c r="K51" s="19" t="n">
        <v>0</v>
      </c>
      <c r="L51" s="17"/>
      <c r="M51" s="19" t="n">
        <v>0</v>
      </c>
      <c r="N51" s="17"/>
      <c r="O51" s="19" t="n">
        <v>0</v>
      </c>
      <c r="P51" s="19"/>
      <c r="Q51" s="19" t="n">
        <v>0</v>
      </c>
      <c r="R51" s="115"/>
      <c r="S51" s="19" t="n">
        <v>0</v>
      </c>
      <c r="T51" s="60"/>
      <c r="U51" s="19" t="n">
        <v>0</v>
      </c>
      <c r="W51" s="19" t="n">
        <v>0</v>
      </c>
    </row>
    <row r="52" customFormat="false" ht="12.75" hidden="false" customHeight="true" outlineLevel="0" collapsed="false">
      <c r="A52" s="73"/>
      <c r="B52" s="52" t="s">
        <v>228</v>
      </c>
      <c r="C52" s="60"/>
      <c r="D52" s="17"/>
      <c r="E52" s="19" t="n">
        <v>0</v>
      </c>
      <c r="F52" s="17"/>
      <c r="G52" s="19" t="n">
        <v>0</v>
      </c>
      <c r="H52" s="17"/>
      <c r="I52" s="19" t="n">
        <v>0</v>
      </c>
      <c r="J52" s="17"/>
      <c r="K52" s="19" t="n">
        <v>0</v>
      </c>
      <c r="L52" s="17"/>
      <c r="M52" s="19" t="n">
        <v>0</v>
      </c>
      <c r="N52" s="17"/>
      <c r="O52" s="19" t="n">
        <v>2.9</v>
      </c>
      <c r="P52" s="19"/>
      <c r="Q52" s="19" t="n">
        <v>0</v>
      </c>
      <c r="R52" s="115"/>
      <c r="S52" s="19" t="n">
        <v>0</v>
      </c>
      <c r="T52" s="60"/>
      <c r="U52" s="19" t="n">
        <v>0</v>
      </c>
      <c r="W52" s="19" t="n">
        <v>0</v>
      </c>
    </row>
    <row r="53" customFormat="false" ht="12.75" hidden="false" customHeight="true" outlineLevel="0" collapsed="false">
      <c r="A53" s="73"/>
      <c r="B53" s="52" t="s">
        <v>136</v>
      </c>
      <c r="C53" s="60"/>
      <c r="D53" s="17"/>
      <c r="E53" s="19" t="n">
        <v>0</v>
      </c>
      <c r="F53" s="17"/>
      <c r="G53" s="19" t="n">
        <v>0</v>
      </c>
      <c r="H53" s="17"/>
      <c r="I53" s="19" t="n">
        <v>0</v>
      </c>
      <c r="J53" s="17"/>
      <c r="K53" s="19" t="n">
        <v>0</v>
      </c>
      <c r="L53" s="17"/>
      <c r="M53" s="19" t="n">
        <v>-0.3</v>
      </c>
      <c r="N53" s="17"/>
      <c r="O53" s="19" t="n">
        <v>0</v>
      </c>
      <c r="P53" s="19"/>
      <c r="Q53" s="19" t="n">
        <v>0</v>
      </c>
      <c r="R53" s="115"/>
      <c r="S53" s="19" t="n">
        <v>0</v>
      </c>
      <c r="T53" s="60"/>
      <c r="U53" s="19" t="n">
        <v>0</v>
      </c>
      <c r="W53" s="19" t="n">
        <v>0</v>
      </c>
    </row>
    <row r="54" customFormat="false" ht="12.75" hidden="false" customHeight="true" outlineLevel="0" collapsed="false">
      <c r="A54" s="73"/>
      <c r="B54" s="52" t="s">
        <v>229</v>
      </c>
      <c r="C54" s="60"/>
      <c r="D54" s="17"/>
      <c r="E54" s="19" t="n">
        <v>0</v>
      </c>
      <c r="F54" s="17"/>
      <c r="G54" s="19" t="n">
        <v>0</v>
      </c>
      <c r="H54" s="17"/>
      <c r="I54" s="19" t="n">
        <v>0</v>
      </c>
      <c r="J54" s="17"/>
      <c r="K54" s="19" t="n">
        <v>0</v>
      </c>
      <c r="L54" s="17"/>
      <c r="M54" s="19" t="n">
        <v>0</v>
      </c>
      <c r="N54" s="17"/>
      <c r="O54" s="19" t="n">
        <v>0</v>
      </c>
      <c r="P54" s="19"/>
      <c r="Q54" s="19" t="n">
        <v>-0.3</v>
      </c>
      <c r="R54" s="115"/>
      <c r="S54" s="19" t="n">
        <v>0</v>
      </c>
      <c r="T54" s="60"/>
      <c r="U54" s="19" t="n">
        <v>0</v>
      </c>
      <c r="W54" s="19" t="n">
        <v>0</v>
      </c>
    </row>
    <row r="55" customFormat="false" ht="12.75" hidden="false" customHeight="true" outlineLevel="0" collapsed="false">
      <c r="A55" s="73"/>
      <c r="B55" s="52" t="s">
        <v>230</v>
      </c>
      <c r="C55" s="60"/>
      <c r="D55" s="17"/>
      <c r="E55" s="19" t="n">
        <v>0</v>
      </c>
      <c r="F55" s="17"/>
      <c r="G55" s="19" t="n">
        <v>0</v>
      </c>
      <c r="H55" s="17"/>
      <c r="I55" s="19" t="n">
        <v>0</v>
      </c>
      <c r="J55" s="17"/>
      <c r="K55" s="19" t="n">
        <v>0</v>
      </c>
      <c r="L55" s="17"/>
      <c r="M55" s="19" t="n">
        <v>0.7</v>
      </c>
      <c r="N55" s="17"/>
      <c r="O55" s="19" t="n">
        <v>0</v>
      </c>
      <c r="P55" s="19"/>
      <c r="Q55" s="19" t="n">
        <v>0</v>
      </c>
      <c r="R55" s="115"/>
      <c r="S55" s="19" t="n">
        <v>0</v>
      </c>
      <c r="T55" s="60"/>
      <c r="U55" s="19" t="n">
        <v>0</v>
      </c>
      <c r="W55" s="19" t="n">
        <v>0</v>
      </c>
    </row>
    <row r="56" customFormat="false" ht="12.75" hidden="false" customHeight="true" outlineLevel="0" collapsed="false">
      <c r="A56" s="73"/>
      <c r="B56" s="52" t="s">
        <v>231</v>
      </c>
      <c r="C56" s="60"/>
      <c r="D56" s="17"/>
      <c r="E56" s="19" t="n">
        <v>0</v>
      </c>
      <c r="F56" s="17"/>
      <c r="G56" s="19" t="n">
        <v>0</v>
      </c>
      <c r="H56" s="17"/>
      <c r="I56" s="19" t="n">
        <v>0</v>
      </c>
      <c r="J56" s="17"/>
      <c r="K56" s="19" t="n">
        <v>0.9</v>
      </c>
      <c r="L56" s="17"/>
      <c r="M56" s="19" t="n">
        <v>0</v>
      </c>
      <c r="N56" s="17"/>
      <c r="O56" s="19" t="n">
        <v>0</v>
      </c>
      <c r="P56" s="19"/>
      <c r="Q56" s="19" t="n">
        <v>0</v>
      </c>
      <c r="R56" s="115"/>
      <c r="S56" s="19" t="n">
        <v>0</v>
      </c>
      <c r="T56" s="60"/>
      <c r="U56" s="19" t="n">
        <v>0</v>
      </c>
      <c r="W56" s="19" t="n">
        <v>0</v>
      </c>
    </row>
    <row r="57" customFormat="false" ht="12.75" hidden="false" customHeight="true" outlineLevel="0" collapsed="false">
      <c r="A57" s="60"/>
      <c r="B57" s="52" t="s">
        <v>232</v>
      </c>
      <c r="C57" s="60"/>
      <c r="D57" s="17"/>
      <c r="E57" s="19" t="n">
        <v>0</v>
      </c>
      <c r="F57" s="17"/>
      <c r="G57" s="19" t="n">
        <v>0</v>
      </c>
      <c r="H57" s="17"/>
      <c r="I57" s="19" t="n">
        <v>0</v>
      </c>
      <c r="J57" s="17"/>
      <c r="K57" s="19" t="n">
        <v>0</v>
      </c>
      <c r="L57" s="17"/>
      <c r="M57" s="19" t="n">
        <v>0</v>
      </c>
      <c r="N57" s="17"/>
      <c r="O57" s="19" t="n">
        <v>0</v>
      </c>
      <c r="P57" s="19"/>
      <c r="Q57" s="51" t="n">
        <v>-0.2</v>
      </c>
      <c r="R57" s="115"/>
      <c r="S57" s="19" t="n">
        <v>0</v>
      </c>
      <c r="T57" s="60"/>
      <c r="U57" s="19" t="n">
        <v>0</v>
      </c>
      <c r="W57" s="19" t="n">
        <v>0</v>
      </c>
    </row>
    <row r="58" customFormat="false" ht="12.75" hidden="false" customHeight="true" outlineLevel="0" collapsed="false">
      <c r="A58" s="60"/>
      <c r="B58" s="116" t="s">
        <v>233</v>
      </c>
      <c r="E58" s="19" t="n">
        <v>0</v>
      </c>
      <c r="F58" s="17"/>
      <c r="G58" s="19" t="n">
        <v>0</v>
      </c>
      <c r="H58" s="17"/>
      <c r="I58" s="19" t="n">
        <v>0</v>
      </c>
      <c r="J58" s="17"/>
      <c r="K58" s="19" t="n">
        <v>-1.6</v>
      </c>
      <c r="L58" s="17"/>
      <c r="M58" s="19" t="n">
        <v>1.6</v>
      </c>
      <c r="N58" s="17"/>
      <c r="O58" s="19" t="n">
        <v>0</v>
      </c>
      <c r="P58" s="19"/>
      <c r="Q58" s="19" t="n">
        <v>0</v>
      </c>
      <c r="R58" s="115"/>
      <c r="S58" s="19" t="n">
        <v>0</v>
      </c>
      <c r="T58" s="60"/>
      <c r="U58" s="19" t="n">
        <v>0</v>
      </c>
      <c r="W58" s="19" t="n">
        <v>0</v>
      </c>
    </row>
    <row r="59" customFormat="false" ht="12.75" hidden="false" customHeight="true" outlineLevel="0" collapsed="false">
      <c r="A59" s="60"/>
      <c r="B59" s="112" t="s">
        <v>234</v>
      </c>
      <c r="E59" s="19" t="n">
        <v>0</v>
      </c>
      <c r="F59" s="17"/>
      <c r="G59" s="19" t="n">
        <v>0</v>
      </c>
      <c r="H59" s="17"/>
      <c r="I59" s="19" t="n">
        <v>1.2</v>
      </c>
      <c r="J59" s="17"/>
      <c r="K59" s="19" t="n">
        <v>0</v>
      </c>
      <c r="L59" s="17"/>
      <c r="M59" s="19" t="n">
        <v>0.6</v>
      </c>
      <c r="N59" s="17"/>
      <c r="O59" s="19" t="n">
        <v>0</v>
      </c>
      <c r="P59" s="19"/>
      <c r="Q59" s="19" t="n">
        <v>0</v>
      </c>
      <c r="R59" s="115"/>
      <c r="S59" s="19" t="n">
        <v>0</v>
      </c>
      <c r="T59" s="60"/>
      <c r="U59" s="19" t="n">
        <v>0</v>
      </c>
      <c r="W59" s="19" t="n">
        <v>0</v>
      </c>
    </row>
    <row r="60" customFormat="false" ht="12.75" hidden="false" customHeight="true" outlineLevel="0" collapsed="false">
      <c r="A60" s="60"/>
      <c r="B60" s="112" t="s">
        <v>235</v>
      </c>
      <c r="E60" s="19" t="n">
        <v>0</v>
      </c>
      <c r="F60" s="17"/>
      <c r="G60" s="19" t="n">
        <v>0</v>
      </c>
      <c r="H60" s="17"/>
      <c r="I60" s="19" t="n">
        <v>0</v>
      </c>
      <c r="J60" s="17"/>
      <c r="K60" s="19" t="n">
        <v>2.9</v>
      </c>
      <c r="L60" s="17"/>
      <c r="M60" s="19" t="n">
        <v>0</v>
      </c>
      <c r="N60" s="17"/>
      <c r="O60" s="19" t="n">
        <v>0</v>
      </c>
      <c r="P60" s="19"/>
      <c r="Q60" s="19" t="n">
        <v>0</v>
      </c>
      <c r="R60" s="115"/>
      <c r="S60" s="19" t="n">
        <v>0</v>
      </c>
      <c r="T60" s="60"/>
      <c r="U60" s="19" t="n">
        <v>0</v>
      </c>
      <c r="W60" s="19" t="n">
        <v>0</v>
      </c>
    </row>
    <row r="61" customFormat="false" ht="12.75" hidden="false" customHeight="true" outlineLevel="0" collapsed="false">
      <c r="A61" s="60"/>
      <c r="B61" s="116" t="s">
        <v>236</v>
      </c>
      <c r="E61" s="19" t="n">
        <v>0</v>
      </c>
      <c r="F61" s="17"/>
      <c r="G61" s="19" t="n">
        <v>0</v>
      </c>
      <c r="H61" s="17"/>
      <c r="I61" s="19" t="n">
        <v>0</v>
      </c>
      <c r="J61" s="17"/>
      <c r="K61" s="19" t="n">
        <v>0</v>
      </c>
      <c r="L61" s="17"/>
      <c r="M61" s="19" t="n">
        <v>0.7</v>
      </c>
      <c r="N61" s="17"/>
      <c r="O61" s="19" t="n">
        <v>0</v>
      </c>
      <c r="P61" s="19"/>
      <c r="Q61" s="19" t="n">
        <v>0</v>
      </c>
      <c r="R61" s="115"/>
      <c r="S61" s="19" t="n">
        <v>0</v>
      </c>
      <c r="T61" s="60"/>
      <c r="U61" s="19" t="n">
        <v>0</v>
      </c>
      <c r="W61" s="19" t="n">
        <v>0</v>
      </c>
    </row>
    <row r="62" customFormat="false" ht="12.75" hidden="false" customHeight="true" outlineLevel="0" collapsed="false">
      <c r="A62" s="60"/>
      <c r="B62" s="112" t="s">
        <v>237</v>
      </c>
      <c r="E62" s="19" t="n">
        <v>0</v>
      </c>
      <c r="F62" s="17"/>
      <c r="G62" s="19" t="n">
        <v>0</v>
      </c>
      <c r="H62" s="17"/>
      <c r="I62" s="19" t="n">
        <v>0</v>
      </c>
      <c r="J62" s="17"/>
      <c r="K62" s="19" t="n">
        <v>-2.6</v>
      </c>
      <c r="L62" s="17"/>
      <c r="M62" s="19" t="n">
        <v>2.6</v>
      </c>
      <c r="N62" s="17"/>
      <c r="O62" s="19" t="n">
        <v>0</v>
      </c>
      <c r="P62" s="19"/>
      <c r="Q62" s="19" t="n">
        <v>0</v>
      </c>
      <c r="R62" s="115"/>
      <c r="S62" s="19" t="n">
        <v>0</v>
      </c>
      <c r="T62" s="60"/>
      <c r="U62" s="19" t="n">
        <v>0</v>
      </c>
      <c r="W62" s="19" t="n">
        <v>0</v>
      </c>
    </row>
    <row r="63" customFormat="false" ht="13.2" hidden="false" customHeight="false" outlineLevel="0" collapsed="false">
      <c r="A63" s="60"/>
      <c r="B63" s="22" t="s">
        <v>238</v>
      </c>
      <c r="C63" s="60"/>
      <c r="D63" s="17"/>
      <c r="E63" s="19" t="n">
        <v>0</v>
      </c>
      <c r="F63" s="17"/>
      <c r="G63" s="19" t="n">
        <v>0</v>
      </c>
      <c r="H63" s="17"/>
      <c r="I63" s="19" t="n">
        <v>0</v>
      </c>
      <c r="J63" s="17"/>
      <c r="K63" s="18" t="n">
        <f aca="false">0.2-0.5</f>
        <v>-0.3</v>
      </c>
      <c r="L63" s="17"/>
      <c r="M63" s="19" t="n">
        <v>1.5</v>
      </c>
      <c r="N63" s="17"/>
      <c r="O63" s="19" t="n">
        <v>-0.3</v>
      </c>
      <c r="P63" s="19"/>
      <c r="Q63" s="19" t="n">
        <v>0.3</v>
      </c>
      <c r="R63" s="115"/>
      <c r="S63" s="19" t="n">
        <v>0</v>
      </c>
      <c r="T63" s="60"/>
      <c r="U63" s="19" t="n">
        <v>0</v>
      </c>
      <c r="W63" s="19" t="n">
        <v>0</v>
      </c>
    </row>
    <row r="64" customFormat="false" ht="13.2" hidden="false" customHeight="false" outlineLevel="0" collapsed="false">
      <c r="A64" s="60"/>
      <c r="B64" s="112" t="s">
        <v>239</v>
      </c>
      <c r="E64" s="19" t="n">
        <v>0</v>
      </c>
      <c r="F64" s="17"/>
      <c r="G64" s="19" t="n">
        <v>0</v>
      </c>
      <c r="H64" s="17"/>
      <c r="I64" s="19" t="n">
        <v>0</v>
      </c>
      <c r="J64" s="17"/>
      <c r="K64" s="19" t="n">
        <v>-3.5</v>
      </c>
      <c r="L64" s="17"/>
      <c r="M64" s="19" t="n">
        <v>3.5</v>
      </c>
      <c r="N64" s="17"/>
      <c r="O64" s="19" t="n">
        <v>0</v>
      </c>
      <c r="P64" s="19"/>
      <c r="Q64" s="19" t="n">
        <v>0</v>
      </c>
      <c r="R64" s="115"/>
      <c r="S64" s="19" t="n">
        <v>0</v>
      </c>
      <c r="T64" s="60"/>
      <c r="U64" s="19" t="n">
        <v>0</v>
      </c>
      <c r="W64" s="19" t="n">
        <v>0</v>
      </c>
    </row>
    <row r="65" customFormat="false" ht="13.2" hidden="false" customHeight="false" outlineLevel="0" collapsed="false">
      <c r="A65" s="60"/>
      <c r="B65" s="52" t="s">
        <v>240</v>
      </c>
      <c r="C65" s="60"/>
      <c r="D65" s="17"/>
      <c r="E65" s="19" t="n">
        <v>0</v>
      </c>
      <c r="F65" s="17"/>
      <c r="G65" s="19" t="n">
        <v>0</v>
      </c>
      <c r="H65" s="17"/>
      <c r="I65" s="19" t="n">
        <v>0</v>
      </c>
      <c r="J65" s="17"/>
      <c r="K65" s="19" t="n">
        <v>0</v>
      </c>
      <c r="L65" s="17"/>
      <c r="M65" s="19" t="n">
        <v>0</v>
      </c>
      <c r="N65" s="17"/>
      <c r="O65" s="19" t="n">
        <v>0.2</v>
      </c>
      <c r="P65" s="19"/>
      <c r="Q65" s="19" t="n">
        <v>0</v>
      </c>
      <c r="R65" s="66"/>
      <c r="S65" s="19" t="n">
        <v>0</v>
      </c>
      <c r="T65" s="66"/>
      <c r="U65" s="19" t="n">
        <v>0</v>
      </c>
      <c r="V65" s="66"/>
      <c r="W65" s="19" t="n">
        <v>0</v>
      </c>
    </row>
    <row r="66" customFormat="false" ht="13.2" hidden="false" customHeight="false" outlineLevel="0" collapsed="false">
      <c r="A66" s="60"/>
      <c r="B66" s="52" t="s">
        <v>158</v>
      </c>
      <c r="C66" s="60"/>
      <c r="D66" s="17"/>
      <c r="E66" s="19" t="n">
        <v>0</v>
      </c>
      <c r="F66" s="17"/>
      <c r="G66" s="19" t="n">
        <v>0</v>
      </c>
      <c r="H66" s="17"/>
      <c r="I66" s="19" t="n">
        <v>0</v>
      </c>
      <c r="J66" s="17"/>
      <c r="K66" s="19" t="n">
        <v>0</v>
      </c>
      <c r="L66" s="17"/>
      <c r="M66" s="19" t="n">
        <v>0</v>
      </c>
      <c r="N66" s="17"/>
      <c r="O66" s="19" t="n">
        <v>0</v>
      </c>
      <c r="P66" s="19"/>
      <c r="Q66" s="19" t="n">
        <v>0</v>
      </c>
      <c r="R66" s="66"/>
      <c r="S66" s="19" t="n">
        <v>0</v>
      </c>
      <c r="T66" s="60"/>
      <c r="U66" s="19" t="n">
        <v>0</v>
      </c>
      <c r="W66" s="19" t="n">
        <v>0</v>
      </c>
    </row>
    <row r="67" customFormat="false" ht="13.2" hidden="false" customHeight="false" outlineLevel="0" collapsed="false">
      <c r="A67" s="60"/>
      <c r="B67" s="52" t="s">
        <v>241</v>
      </c>
      <c r="C67" s="60"/>
      <c r="D67" s="17"/>
      <c r="E67" s="19" t="n">
        <v>0</v>
      </c>
      <c r="F67" s="17"/>
      <c r="G67" s="19" t="n">
        <v>0</v>
      </c>
      <c r="H67" s="17"/>
      <c r="I67" s="19" t="n">
        <v>0</v>
      </c>
      <c r="J67" s="17"/>
      <c r="K67" s="19" t="n">
        <v>0</v>
      </c>
      <c r="L67" s="17"/>
      <c r="M67" s="19" t="n">
        <v>0</v>
      </c>
      <c r="N67" s="17"/>
      <c r="O67" s="19" t="n">
        <v>0</v>
      </c>
      <c r="P67" s="19"/>
      <c r="Q67" s="19" t="n">
        <v>0</v>
      </c>
      <c r="R67" s="115"/>
      <c r="S67" s="19" t="n">
        <v>2.5</v>
      </c>
      <c r="T67" s="86"/>
      <c r="U67" s="19" t="n">
        <v>-0.5</v>
      </c>
      <c r="V67" s="94"/>
      <c r="W67" s="19" t="n">
        <v>-0.5</v>
      </c>
    </row>
    <row r="68" customFormat="false" ht="13.2" hidden="false" customHeight="false" outlineLevel="0" collapsed="false">
      <c r="A68" s="60"/>
      <c r="B68" s="52" t="s">
        <v>242</v>
      </c>
      <c r="C68" s="60"/>
      <c r="D68" s="17"/>
      <c r="E68" s="26" t="n">
        <v>0</v>
      </c>
      <c r="F68" s="17"/>
      <c r="G68" s="26" t="n">
        <v>0</v>
      </c>
      <c r="H68" s="17"/>
      <c r="I68" s="26" t="n">
        <v>0</v>
      </c>
      <c r="J68" s="17"/>
      <c r="K68" s="26" t="n">
        <v>0</v>
      </c>
      <c r="L68" s="17"/>
      <c r="M68" s="26" t="n">
        <v>0</v>
      </c>
      <c r="N68" s="17"/>
      <c r="O68" s="26" t="n">
        <v>0</v>
      </c>
      <c r="P68" s="19"/>
      <c r="Q68" s="26" t="n">
        <v>0</v>
      </c>
      <c r="R68" s="115"/>
      <c r="S68" s="26" t="n">
        <v>0</v>
      </c>
      <c r="T68" s="60"/>
      <c r="U68" s="26" t="n">
        <v>0</v>
      </c>
      <c r="W68" s="26" t="n">
        <v>0</v>
      </c>
    </row>
    <row r="69" customFormat="false" ht="3.9" hidden="false" customHeight="true" outlineLevel="0" collapsed="false">
      <c r="A69" s="60"/>
      <c r="B69" s="60"/>
      <c r="C69" s="60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60"/>
      <c r="S69" s="17"/>
      <c r="T69" s="60"/>
      <c r="U69" s="17"/>
      <c r="W69" s="17"/>
    </row>
    <row r="70" customFormat="false" ht="13.8" hidden="false" customHeight="false" outlineLevel="0" collapsed="false">
      <c r="A70" s="60"/>
      <c r="B70" s="60"/>
      <c r="C70" s="73" t="s">
        <v>167</v>
      </c>
      <c r="D70" s="29"/>
      <c r="E70" s="38" t="n">
        <f aca="false">SUM(E37:E68)</f>
        <v>-21.4</v>
      </c>
      <c r="F70" s="29"/>
      <c r="G70" s="38" t="n">
        <f aca="false">SUM(G37:G68)</f>
        <v>5</v>
      </c>
      <c r="H70" s="29"/>
      <c r="I70" s="38" t="n">
        <f aca="false">SUM(I37:I68)</f>
        <v>1.2</v>
      </c>
      <c r="J70" s="29"/>
      <c r="K70" s="38" t="n">
        <f aca="false">SUM(K37:K68)</f>
        <v>-8.1</v>
      </c>
      <c r="L70" s="29"/>
      <c r="M70" s="38" t="n">
        <f aca="false">SUM(M37:M68)</f>
        <v>12.3</v>
      </c>
      <c r="N70" s="29"/>
      <c r="O70" s="38" t="n">
        <f aca="false">SUM(O37:O68)</f>
        <v>6.3</v>
      </c>
      <c r="P70" s="29"/>
      <c r="Q70" s="38" t="n">
        <f aca="false">SUM(Q37:Q68)</f>
        <v>2</v>
      </c>
      <c r="R70" s="60"/>
      <c r="S70" s="38" t="n">
        <f aca="false">SUM(S37:S68)</f>
        <v>2.2</v>
      </c>
      <c r="T70" s="68"/>
      <c r="U70" s="38" t="n">
        <f aca="false">SUM(U37:U68)</f>
        <v>-0.5</v>
      </c>
      <c r="W70" s="38" t="n">
        <f aca="false">SUM(W37:W68)</f>
        <v>-0.5</v>
      </c>
    </row>
    <row r="71" customFormat="false" ht="13.8" hidden="false" customHeight="false" outlineLevel="0" collapsed="false">
      <c r="A71" s="60"/>
      <c r="B71" s="60"/>
      <c r="C71" s="60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60"/>
      <c r="S71" s="29"/>
      <c r="T71" s="60"/>
    </row>
    <row r="72" customFormat="false" ht="13.2" hidden="false" customHeight="false" outlineLevel="0" collapsed="false">
      <c r="A72" s="40" t="str">
        <f aca="true">CELL("Filename")</f>
        <v>'file:///mnt/12tb/@roms/datasets/enron/EDRM Enron Email Data Set v2 XML/filtered-attachments/xls/DetailInc.xls'#$TW-Disc.,Assets,Reserves,Other</v>
      </c>
      <c r="B72" s="60"/>
      <c r="C72" s="60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60"/>
      <c r="W72" s="41" t="n">
        <f aca="true">NOW()</f>
        <v>45926.9500905584</v>
      </c>
    </row>
  </sheetData>
  <mergeCells count="3">
    <mergeCell ref="A1:W1"/>
    <mergeCell ref="A2:W2"/>
    <mergeCell ref="A3:W3"/>
  </mergeCells>
  <printOptions headings="false" gridLines="false" gridLinesSet="true" horizontalCentered="true" verticalCentered="false"/>
  <pageMargins left="0.5" right="0.5" top="0.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2000-01-25T12:54:45Z</dcterms:created>
  <dc:creator>Henry Baker</dc:creator>
  <dc:description/>
  <dc:language>en-US</dc:language>
  <cp:lastModifiedBy>Elaine Concklin</cp:lastModifiedBy>
  <cp:lastPrinted>2000-05-10T19:18:41Z</cp:lastPrinted>
  <cp:revision>0</cp:revision>
  <dc:subject/>
  <dc:title/>
</cp:coreProperties>
</file>