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Pricing &amp; Purchase Strategy" sheetId="2" state="visible" r:id="rId4"/>
    <sheet name="El Paso Capacity" sheetId="3" state="visible" r:id="rId5"/>
    <sheet name="Kern River Capacity" sheetId="4" state="visible" r:id="rId6"/>
    <sheet name="Mojave Pipeline Capacity" sheetId="5" state="visible" r:id="rId7"/>
    <sheet name="Gas Fired Generation Facilities" sheetId="6" state="visible" r:id="rId8"/>
    <sheet name="Sheet6" sheetId="7" state="visible" r:id="rId9"/>
    <sheet name="Sheet7" sheetId="8" state="visible" r:id="rId10"/>
    <sheet name="Sheet8" sheetId="9" state="visible" r:id="rId11"/>
    <sheet name="Sheet9" sheetId="10" state="visible" r:id="rId12"/>
    <sheet name="Sheet10" sheetId="11" state="visible" r:id="rId13"/>
    <sheet name="Sheet11" sheetId="12" state="visible" r:id="rId14"/>
    <sheet name="Sheet12" sheetId="13" state="visible" r:id="rId15"/>
    <sheet name="Sheet13" sheetId="14" state="visible" r:id="rId16"/>
    <sheet name="Sheet14" sheetId="15" state="visible" r:id="rId17"/>
    <sheet name="Sheet15" sheetId="16" state="visible" r:id="rId18"/>
    <sheet name="Sheet16" sheetId="17" state="visible" r:id="rId1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<sst xmlns="http://schemas.openxmlformats.org/spreadsheetml/2006/main" count="308" uniqueCount="133">
  <si>
    <t xml:space="preserve">City of Los Angeles</t>
  </si>
  <si>
    <t xml:space="preserve">Department of Water &amp; Power</t>
  </si>
  <si>
    <t xml:space="preserve">Union Pacific Fuels Gas Supply Contract</t>
  </si>
  <si>
    <t xml:space="preserve">Price Determination; Purchase Strategy</t>
  </si>
  <si>
    <t xml:space="preserve">Effective Date:</t>
  </si>
  <si>
    <t xml:space="preserve">Term:</t>
  </si>
  <si>
    <t xml:space="preserve">15 Years</t>
  </si>
  <si>
    <t xml:space="preserve">Contract Price = A * B / C, where</t>
  </si>
  <si>
    <t xml:space="preserve">A = Monthly Base Price</t>
  </si>
  <si>
    <t xml:space="preserve">B = Current Month Gas Price Index</t>
  </si>
  <si>
    <t xml:space="preserve">C = Monthly Base Gas Price Index</t>
  </si>
  <si>
    <t xml:space="preserve">Maximum Daily Quantity (MDQ):</t>
  </si>
  <si>
    <t xml:space="preserve">MMBtu/d</t>
  </si>
  <si>
    <t xml:space="preserve">Demand Charge:</t>
  </si>
  <si>
    <t xml:space="preserve">Index Price:</t>
  </si>
  <si>
    <t xml:space="preserve">per MMBtu</t>
  </si>
  <si>
    <t xml:space="preserve">Month</t>
  </si>
  <si>
    <t xml:space="preserve">Demand</t>
  </si>
  <si>
    <t xml:space="preserve">Premium to</t>
  </si>
  <si>
    <t xml:space="preserve">Charge</t>
  </si>
  <si>
    <t xml:space="preserve">Market or</t>
  </si>
  <si>
    <t xml:space="preserve">Applied</t>
  </si>
  <si>
    <t xml:space="preserve">Index Price</t>
  </si>
  <si>
    <t xml:space="preserve">to 70% of</t>
  </si>
  <si>
    <t xml:space="preserve">of Gas</t>
  </si>
  <si>
    <t xml:space="preserve">MDQ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</si>
  <si>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</si>
  <si>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</si>
  <si>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</si>
  <si>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</si>
  <si>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</si>
  <si>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</si>
  <si>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</si>
  <si>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</si>
  <si>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</si>
  <si>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</si>
  <si>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</si>
  <si>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</si>
  <si>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TOTAL:</t>
  </si>
  <si>
    <t xml:space="preserve">Year</t>
  </si>
  <si>
    <t xml:space="preserve">Discount</t>
  </si>
  <si>
    <t xml:space="preserve">Cash</t>
  </si>
  <si>
    <t xml:space="preserve">Discounted</t>
  </si>
  <si>
    <t xml:space="preserve">Cumulative</t>
  </si>
  <si>
    <t xml:space="preserve">Factor</t>
  </si>
  <si>
    <t xml:space="preserve">Flow</t>
  </si>
  <si>
    <t xml:space="preserve">Minimum Monthly Purchase Obligation:</t>
  </si>
  <si>
    <t xml:space="preserve">Greater of 70% of MDQ or Nominated Quantity</t>
  </si>
  <si>
    <t xml:space="preserve">Price Discount (purchases &gt; 70% of MDQ):</t>
  </si>
  <si>
    <t xml:space="preserve">Twice/Mth Buyer, with 3 days notice, may reduce Nominations, subject to Minimum Purchase</t>
  </si>
  <si>
    <t xml:space="preserve">Increasing Nomination is subject to Approval of Seller</t>
  </si>
  <si>
    <t xml:space="preserve">Purchase Strategy:  Buy MDQ or Minimum Daily Quantity</t>
  </si>
  <si>
    <t xml:space="preserve">A</t>
  </si>
  <si>
    <t xml:space="preserve">C</t>
  </si>
  <si>
    <t xml:space="preserve">A / C</t>
  </si>
  <si>
    <t xml:space="preserve">Monthly</t>
  </si>
  <si>
    <t xml:space="preserve">Price</t>
  </si>
  <si>
    <t xml:space="preserve">UPF</t>
  </si>
  <si>
    <t xml:space="preserve">Valuation @</t>
  </si>
  <si>
    <t xml:space="preserve">Base</t>
  </si>
  <si>
    <t xml:space="preserve">Index</t>
  </si>
  <si>
    <t xml:space="preserve">Relative</t>
  </si>
  <si>
    <t xml:space="preserve">Purchase</t>
  </si>
  <si>
    <t xml:space="preserve">100% UPF;</t>
  </si>
  <si>
    <t xml:space="preserve">70% UPF:</t>
  </si>
  <si>
    <t xml:space="preserve">Benefit</t>
  </si>
  <si>
    <t xml:space="preserve">Gas Price</t>
  </si>
  <si>
    <t xml:space="preserve">Adder</t>
  </si>
  <si>
    <t xml:space="preserve">to Takes &gt;</t>
  </si>
  <si>
    <t xml:space="preserve">to Index</t>
  </si>
  <si>
    <t xml:space="preserve">Strategy</t>
  </si>
  <si>
    <t xml:space="preserve">0% Market</t>
  </si>
  <si>
    <t xml:space="preserve">30% Market</t>
  </si>
  <si>
    <t xml:space="preserve">of</t>
  </si>
  <si>
    <t xml:space="preserve">Cost @</t>
  </si>
  <si>
    <t xml:space="preserve">$/MMBtu</t>
  </si>
  <si>
    <t xml:space="preserve">(A / C)</t>
  </si>
  <si>
    <t xml:space="preserve">to MDQ</t>
  </si>
  <si>
    <t xml:space="preserve">70% MDQ</t>
  </si>
  <si>
    <t xml:space="preserve">@ 100% LF</t>
  </si>
  <si>
    <t xml:space="preserve">@ 70% LF</t>
  </si>
  <si>
    <t xml:space="preserve">(% of MDQ)</t>
  </si>
  <si>
    <t xml:space="preserve">@ Index</t>
  </si>
  <si>
    <t xml:space="preserve">El Paso Natural Gas (EPNG) Transport</t>
  </si>
  <si>
    <t xml:space="preserve">15 years</t>
  </si>
  <si>
    <t xml:space="preserve">Capacity:</t>
  </si>
  <si>
    <t xml:space="preserve">MMBtu/d @ Topock</t>
  </si>
  <si>
    <t xml:space="preserve">B</t>
  </si>
  <si>
    <t xml:space="preserve">C=(A+B)*12/365</t>
  </si>
  <si>
    <t xml:space="preserve">D</t>
  </si>
  <si>
    <t xml:space="preserve">E</t>
  </si>
  <si>
    <t xml:space="preserve">F=C+D+E</t>
  </si>
  <si>
    <t xml:space="preserve">G</t>
  </si>
  <si>
    <t xml:space="preserve">Rate</t>
  </si>
  <si>
    <t xml:space="preserve">Add-On</t>
  </si>
  <si>
    <t xml:space="preserve">Commodity</t>
  </si>
  <si>
    <t xml:space="preserve">AGA +</t>
  </si>
  <si>
    <t xml:space="preserve">Total</t>
  </si>
  <si>
    <t xml:space="preserve">Fuel</t>
  </si>
  <si>
    <t xml:space="preserve">$/Dth/Mth</t>
  </si>
  <si>
    <t xml:space="preserve">GRI</t>
  </si>
  <si>
    <t xml:space="preserve">Cost</t>
  </si>
  <si>
    <t xml:space="preserve">to CA</t>
  </si>
  <si>
    <t xml:space="preserve">Commoditized</t>
  </si>
  <si>
    <t xml:space="preserve">@ 100%</t>
  </si>
  <si>
    <t xml:space="preserve">Border</t>
  </si>
  <si>
    <t xml:space="preserve">LF</t>
  </si>
  <si>
    <t xml:space="preserve">FT-1</t>
  </si>
  <si>
    <t xml:space="preserve">Kern River Pipeline (KRPL) Transport</t>
  </si>
  <si>
    <t xml:space="preserve">Surcharge</t>
  </si>
  <si>
    <t xml:space="preserve">KRF-1</t>
  </si>
  <si>
    <t xml:space="preserve">Mojave Pipeline Co. Transport</t>
  </si>
  <si>
    <t xml:space="preserve">LADWP's Natural Gas Fired Generation Facilities</t>
  </si>
  <si>
    <t xml:space="preserve">Facility</t>
  </si>
  <si>
    <t xml:space="preserve">Unit</t>
  </si>
  <si>
    <t xml:space="preserve">Capacity</t>
  </si>
  <si>
    <t xml:space="preserve">Year of</t>
  </si>
  <si>
    <t xml:space="preserve">Name</t>
  </si>
  <si>
    <t xml:space="preserve">Number</t>
  </si>
  <si>
    <t xml:space="preserve">MW</t>
  </si>
  <si>
    <t xml:space="preserve">Initial</t>
  </si>
  <si>
    <t xml:space="preserve">Operation</t>
  </si>
  <si>
    <t xml:space="preserve">Harbor Glen Stn</t>
  </si>
  <si>
    <t xml:space="preserve">GT6</t>
  </si>
  <si>
    <t xml:space="preserve">Natural Gas</t>
  </si>
  <si>
    <t xml:space="preserve">GT7</t>
  </si>
  <si>
    <t xml:space="preserve">GT8</t>
  </si>
  <si>
    <t xml:space="preserve">GT9</t>
  </si>
  <si>
    <t xml:space="preserve">Natural Gas (Out of Service)</t>
  </si>
  <si>
    <t xml:space="preserve">Haynes Gen Stn</t>
  </si>
  <si>
    <t xml:space="preserve">Scattergood Gen Stn</t>
  </si>
  <si>
    <t xml:space="preserve">Valley Gen Station</t>
  </si>
  <si>
    <t xml:space="preserve">Natural Gas-Deactivated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</si>
</sst>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%"/>
    <numFmt numFmtId="166" formatCode="[$-409]d\-mmm\-yy"/>
    <numFmt numFmtId="167" formatCode="[$-409]#,##0_);\(#,##0\)"/>
    <numFmt numFmtId="168" formatCode="0.0%"/>
    <numFmt numFmtId="169" formatCode="\$#,##0.00_);&quot;($&quot;#,##0.00\)"/>
    <numFmt numFmtId="170" formatCode="0%"/>
    <numFmt numFmtId="171" formatCode="\$#,##0_);&quot;($&quot;#,##0\)"/>
    <numFmt numFmtId="172" formatCode="#,##0"/>
    <numFmt numFmtId="173" formatCode="\$#,##0.00000_);&quot;($&quot;#,##0.00000\)"/>
    <numFmt numFmtId="174" formatCode="\$#,##0.0000_);&quot;($&quot;#,##0.0000\)"/>
    <numFmt numFmtId="175" formatCode="0.0"/>
    <numFmt numFmtId="176" formatCode="\$#,##0.0_);&quot;($&quot;#,##0.0\)"/>
    <numFmt numFmtId="177" formatCode="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sz val="22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0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41"/>
    <col collapsed="false" customWidth="true" hidden="false" outlineLevel="0" max="3" min="3" style="0" width="14.85"/>
    <col collapsed="false" customWidth="true" hidden="false" outlineLevel="0" max="4" min="4" style="0" width="12.28"/>
    <col collapsed="false" customWidth="true" hidden="false" outlineLevel="0" max="5" min="5" style="0" width="12.85"/>
    <col collapsed="false" customWidth="true" hidden="false" outlineLevel="0" max="6" min="6" style="0" width="10.99"/>
    <col collapsed="false" customWidth="true" hidden="false" outlineLevel="0" max="7" min="7" style="0" width="11.7"/>
    <col collapsed="false" customWidth="true" hidden="false" outlineLevel="0" max="9" min="9" style="0" width="12.85"/>
    <col collapsed="false" customWidth="true" hidden="false" outlineLevel="0" max="10" min="10" style="0" width="11.85"/>
  </cols>
  <sheetData>
    <row r="1" customFormat="false" ht="27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customFormat="false" ht="27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  <c r="K2" s="2"/>
    </row>
    <row r="3" customFormat="false" ht="27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  <c r="K3" s="2"/>
    </row>
    <row r="4" customFormat="false" ht="27.75" hidden="false" customHeight="false" outlineLevel="0" collapsed="false">
      <c r="A4" s="1" t="s">
        <v>3</v>
      </c>
      <c r="B4" s="1"/>
      <c r="C4" s="1"/>
      <c r="D4" s="1"/>
      <c r="E4" s="1"/>
      <c r="F4" s="1"/>
      <c r="G4" s="1"/>
      <c r="H4" s="1"/>
      <c r="I4" s="1"/>
      <c r="J4" s="2"/>
      <c r="K4" s="2"/>
    </row>
    <row r="5" customFormat="false" ht="13.5" hidden="false" customHeight="false" outlineLevel="0" collapsed="false">
      <c r="A5" s="3"/>
      <c r="B5" s="3"/>
      <c r="C5" s="3"/>
      <c r="D5" s="4"/>
      <c r="E5" s="4"/>
      <c r="F5" s="3"/>
      <c r="G5" s="3"/>
      <c r="H5" s="3"/>
      <c r="I5" s="3"/>
      <c r="J5" s="3"/>
      <c r="K5" s="3"/>
    </row>
    <row r="6" customFormat="false" ht="13.5" hidden="false" customHeight="false" outlineLevel="0" collapsed="false">
      <c r="A6" s="5" t="s">
        <v>4</v>
      </c>
      <c r="B6" s="6"/>
      <c r="C6" s="7" t="n">
        <v>34151</v>
      </c>
      <c r="D6" s="4"/>
      <c r="E6" s="4"/>
      <c r="F6" s="3"/>
      <c r="G6" s="3"/>
      <c r="H6" s="3"/>
      <c r="I6" s="3"/>
      <c r="J6" s="3"/>
      <c r="K6" s="3"/>
    </row>
    <row r="7" customFormat="false" ht="13.5" hidden="false" customHeight="false" outlineLevel="0" collapsed="false">
      <c r="A7" s="8" t="s">
        <v>5</v>
      </c>
      <c r="B7" s="9" t="s">
        <v>6</v>
      </c>
      <c r="C7" s="3"/>
      <c r="D7" s="4"/>
      <c r="E7" s="4"/>
      <c r="F7" s="3"/>
      <c r="G7" s="3"/>
      <c r="H7" s="3"/>
      <c r="I7" s="3"/>
      <c r="J7" s="3"/>
      <c r="K7" s="3"/>
    </row>
    <row r="8" customFormat="false" ht="12.75" hidden="false" customHeight="false" outlineLevel="0" collapsed="false">
      <c r="A8" s="10" t="s">
        <v>7</v>
      </c>
      <c r="B8" s="10"/>
      <c r="C8" s="10"/>
      <c r="D8" s="10"/>
      <c r="E8" s="11"/>
      <c r="F8" s="12"/>
      <c r="G8" s="12"/>
      <c r="H8" s="12"/>
      <c r="I8" s="3"/>
      <c r="J8" s="3"/>
      <c r="K8" s="3"/>
    </row>
    <row r="9" customFormat="false" ht="12.75" hidden="false" customHeight="false" outlineLevel="0" collapsed="false">
      <c r="A9" s="13" t="s">
        <v>8</v>
      </c>
      <c r="B9" s="13"/>
      <c r="C9" s="13"/>
      <c r="D9" s="13"/>
      <c r="E9" s="11"/>
      <c r="F9" s="12"/>
      <c r="G9" s="12"/>
      <c r="H9" s="12"/>
      <c r="I9" s="3"/>
      <c r="J9" s="3"/>
      <c r="K9" s="3"/>
    </row>
    <row r="10" customFormat="false" ht="12.75" hidden="false" customHeight="false" outlineLevel="0" collapsed="false">
      <c r="A10" s="13" t="s">
        <v>9</v>
      </c>
      <c r="B10" s="13"/>
      <c r="C10" s="13"/>
      <c r="D10" s="13"/>
      <c r="E10" s="11"/>
      <c r="F10" s="12"/>
      <c r="G10" s="12"/>
      <c r="H10" s="12"/>
      <c r="I10" s="3"/>
      <c r="J10" s="3"/>
      <c r="K10" s="3"/>
    </row>
    <row r="11" customFormat="false" ht="13.5" hidden="false" customHeight="false" outlineLevel="0" collapsed="false">
      <c r="A11" s="14" t="s">
        <v>10</v>
      </c>
      <c r="B11" s="14"/>
      <c r="C11" s="14"/>
      <c r="D11" s="14"/>
      <c r="E11" s="11"/>
      <c r="F11" s="12"/>
      <c r="G11" s="12"/>
      <c r="H11" s="12"/>
      <c r="I11" s="3"/>
      <c r="J11" s="3"/>
      <c r="K11" s="3"/>
    </row>
    <row r="12" customFormat="false" ht="13.5" hidden="false" customHeight="false" outlineLevel="0" collapsed="false">
      <c r="A12" s="15" t="s">
        <v>11</v>
      </c>
      <c r="B12" s="16"/>
      <c r="C12" s="16"/>
      <c r="D12" s="17"/>
      <c r="E12" s="18" t="n">
        <v>50900</v>
      </c>
      <c r="F12" s="9" t="s">
        <v>12</v>
      </c>
      <c r="G12" s="12"/>
      <c r="H12" s="12"/>
      <c r="I12" s="3"/>
      <c r="J12" s="3"/>
      <c r="K12" s="3"/>
    </row>
    <row r="13" customFormat="false" ht="13.5" hidden="false" customHeight="false" outlineLevel="0" collapsed="false">
      <c r="A13" s="19" t="s">
        <v>13</v>
      </c>
      <c r="B13" s="20"/>
      <c r="C13" s="21"/>
      <c r="D13" s="22"/>
      <c r="E13" s="23" t="n">
        <v>0.04</v>
      </c>
      <c r="G13" s="12"/>
      <c r="H13" s="12"/>
      <c r="I13" s="3"/>
      <c r="J13" s="3"/>
      <c r="K13" s="3"/>
    </row>
    <row r="14" customFormat="false" ht="13.5" hidden="false" customHeight="false" outlineLevel="0" collapsed="false">
      <c r="A14" s="15" t="s">
        <v>14</v>
      </c>
      <c r="B14" s="24"/>
      <c r="C14" s="25"/>
      <c r="D14" s="26"/>
      <c r="E14" s="27" t="n">
        <v>2</v>
      </c>
      <c r="F14" s="28" t="s">
        <v>15</v>
      </c>
      <c r="G14" s="12"/>
      <c r="H14" s="12"/>
      <c r="I14" s="3"/>
      <c r="J14" s="3"/>
      <c r="K14" s="3"/>
    </row>
    <row r="15" customFormat="false" ht="13.5" hidden="false" customHeight="false" outlineLevel="0" collapsed="false">
      <c r="A15" s="3"/>
      <c r="B15" s="3"/>
      <c r="C15" s="3"/>
      <c r="D15" s="4"/>
      <c r="E15" s="4"/>
      <c r="F15" s="3"/>
      <c r="G15" s="3"/>
      <c r="H15" s="3"/>
      <c r="I15" s="3"/>
      <c r="J15" s="3"/>
      <c r="K15" s="3"/>
    </row>
    <row r="16" customFormat="false" ht="12.75" hidden="false" customHeight="false" outlineLevel="0" collapsed="false">
      <c r="A16" s="10" t="s">
        <v>16</v>
      </c>
      <c r="B16" s="29" t="s">
        <v>17</v>
      </c>
      <c r="C16" s="10" t="s">
        <v>18</v>
      </c>
      <c r="D16" s="30"/>
      <c r="E16" s="31"/>
      <c r="K16" s="32"/>
    </row>
    <row r="17" customFormat="false" ht="12.75" hidden="false" customHeight="false" outlineLevel="0" collapsed="false">
      <c r="A17" s="13"/>
      <c r="B17" s="33" t="s">
        <v>19</v>
      </c>
      <c r="C17" s="13" t="s">
        <v>20</v>
      </c>
      <c r="D17" s="34"/>
      <c r="E17" s="31"/>
      <c r="K17" s="32"/>
    </row>
    <row r="18" customFormat="false" ht="12.75" hidden="false" customHeight="false" outlineLevel="0" collapsed="false">
      <c r="A18" s="13"/>
      <c r="B18" s="33" t="s">
        <v>21</v>
      </c>
      <c r="C18" s="13" t="s">
        <v>22</v>
      </c>
      <c r="D18" s="35"/>
      <c r="E18" s="31"/>
      <c r="K18" s="32"/>
    </row>
    <row r="19" customFormat="false" ht="12.75" hidden="false" customHeight="false" outlineLevel="0" collapsed="false">
      <c r="A19" s="13"/>
      <c r="B19" s="33" t="s">
        <v>23</v>
      </c>
      <c r="C19" s="13" t="s">
        <v>24</v>
      </c>
      <c r="D19" s="34"/>
      <c r="E19" s="31"/>
      <c r="K19" s="32"/>
    </row>
    <row r="20" customFormat="false" ht="13.5" hidden="false" customHeight="false" outlineLevel="0" collapsed="false">
      <c r="A20" s="14"/>
      <c r="B20" s="36" t="s">
        <v>25</v>
      </c>
      <c r="C20" s="14"/>
      <c r="D20" s="34"/>
      <c r="E20" s="31"/>
      <c r="K20" s="32"/>
    </row>
    <row r="21" customFormat="false" ht="12.75" hidden="false" customHeight="false" outlineLevel="0" collapsed="false">
      <c r="A21" s="13" t="s">
        <v>26</v>
      </c>
      <c r="B21" s="37" t="n">
        <f aca="false">+$E$13</f>
        <v>0.04</v>
      </c>
      <c r="C21" s="38" t="n">
        <f aca="false">+$E$14*B21*$E$12*0.7*31</f>
        <v>88362.4</v>
      </c>
      <c r="D21" s="39"/>
      <c r="E21" s="40"/>
      <c r="K21" s="3"/>
    </row>
    <row r="22" customFormat="false" ht="12.75" hidden="false" customHeight="false" outlineLevel="0" collapsed="false">
      <c r="A22" s="13" t="s">
        <v>27</v>
      </c>
      <c r="B22" s="37" t="n">
        <f aca="false">+$E$13</f>
        <v>0.04</v>
      </c>
      <c r="C22" s="38" t="n">
        <f aca="false">+$E$14*B22*$E$12*0.7*29</f>
        <v>82661.6</v>
      </c>
      <c r="D22" s="39"/>
      <c r="E22" s="40"/>
      <c r="K22" s="3"/>
    </row>
    <row r="23" customFormat="false" ht="12.75" hidden="false" customHeight="false" outlineLevel="0" collapsed="false">
      <c r="A23" s="13" t="s">
        <v>28</v>
      </c>
      <c r="B23" s="37" t="n">
        <f aca="false">+$E$13</f>
        <v>0.04</v>
      </c>
      <c r="C23" s="38" t="n">
        <f aca="false">+$E$14*B23*$E$12*0.7*31</f>
        <v>88362.4</v>
      </c>
      <c r="D23" s="39"/>
      <c r="E23" s="40"/>
      <c r="K23" s="3"/>
    </row>
    <row r="24" customFormat="false" ht="12.75" hidden="false" customHeight="false" outlineLevel="0" collapsed="false">
      <c r="A24" s="13" t="s">
        <v>29</v>
      </c>
      <c r="B24" s="37" t="n">
        <f aca="false">+$E$13</f>
        <v>0.04</v>
      </c>
      <c r="C24" s="38" t="n">
        <f aca="false">+$E$14*B24*$E$12*0.7*30</f>
        <v>85512</v>
      </c>
      <c r="D24" s="39"/>
      <c r="E24" s="40"/>
      <c r="K24" s="3"/>
    </row>
    <row r="25" customFormat="false" ht="12.75" hidden="false" customHeight="false" outlineLevel="0" collapsed="false">
      <c r="A25" s="13" t="s">
        <v>30</v>
      </c>
      <c r="B25" s="37" t="n">
        <f aca="false">+$E$13</f>
        <v>0.04</v>
      </c>
      <c r="C25" s="38" t="n">
        <f aca="false">+$E$14*B25*$E$12*0.7*31</f>
        <v>88362.4</v>
      </c>
      <c r="D25" s="39"/>
      <c r="E25" s="40"/>
      <c r="K25" s="3"/>
    </row>
    <row r="26" customFormat="false" ht="12.75" hidden="false" customHeight="false" outlineLevel="0" collapsed="false">
      <c r="A26" s="13" t="s">
        <v>31</v>
      </c>
      <c r="B26" s="37" t="n">
        <f aca="false">+$E$13</f>
        <v>0.04</v>
      </c>
      <c r="C26" s="38" t="n">
        <f aca="false">+$E$14*B26*$E$12*0.7*30</f>
        <v>85512</v>
      </c>
      <c r="D26" s="39"/>
      <c r="E26" s="40"/>
      <c r="K26" s="3"/>
    </row>
    <row r="27" customFormat="false" ht="12.75" hidden="false" customHeight="false" outlineLevel="0" collapsed="false">
      <c r="A27" s="13" t="s">
        <v>32</v>
      </c>
      <c r="B27" s="37" t="n">
        <f aca="false">+$E$13</f>
        <v>0.04</v>
      </c>
      <c r="C27" s="38" t="n">
        <f aca="false">+$E$14*B27*$E$12*0.7*31</f>
        <v>88362.4</v>
      </c>
      <c r="D27" s="39"/>
      <c r="E27" s="40"/>
      <c r="K27" s="3"/>
    </row>
    <row r="28" customFormat="false" ht="12.75" hidden="false" customHeight="false" outlineLevel="0" collapsed="false">
      <c r="A28" s="13" t="s">
        <v>33</v>
      </c>
      <c r="B28" s="37" t="n">
        <f aca="false">+$E$13</f>
        <v>0.04</v>
      </c>
      <c r="C28" s="38" t="n">
        <f aca="false">+$E$14*B28*$E$12*0.7*31</f>
        <v>88362.4</v>
      </c>
      <c r="D28" s="39"/>
      <c r="E28" s="40"/>
      <c r="K28" s="3"/>
    </row>
    <row r="29" customFormat="false" ht="12.75" hidden="false" customHeight="false" outlineLevel="0" collapsed="false">
      <c r="A29" s="13" t="s">
        <v>34</v>
      </c>
      <c r="B29" s="37" t="n">
        <f aca="false">+$E$13</f>
        <v>0.04</v>
      </c>
      <c r="C29" s="38" t="n">
        <f aca="false">+$E$14*B29*$E$12*0.7*30</f>
        <v>85512</v>
      </c>
      <c r="D29" s="39"/>
      <c r="E29" s="40"/>
      <c r="K29" s="3"/>
    </row>
    <row r="30" customFormat="false" ht="12.75" hidden="false" customHeight="false" outlineLevel="0" collapsed="false">
      <c r="A30" s="13" t="s">
        <v>35</v>
      </c>
      <c r="B30" s="37" t="n">
        <f aca="false">+$E$13</f>
        <v>0.04</v>
      </c>
      <c r="C30" s="38" t="n">
        <f aca="false">+$E$14*B30*$E$12*0.7*31</f>
        <v>88362.4</v>
      </c>
      <c r="D30" s="39"/>
      <c r="E30" s="40"/>
      <c r="K30" s="3"/>
    </row>
    <row r="31" customFormat="false" ht="12.75" hidden="false" customHeight="false" outlineLevel="0" collapsed="false">
      <c r="A31" s="13" t="s">
        <v>36</v>
      </c>
      <c r="B31" s="37" t="n">
        <f aca="false">+$E$13</f>
        <v>0.04</v>
      </c>
      <c r="C31" s="38" t="n">
        <f aca="false">+$E$14*B31*$E$12*0.7*30</f>
        <v>85512</v>
      </c>
      <c r="D31" s="39"/>
      <c r="E31" s="40"/>
      <c r="K31" s="3"/>
    </row>
    <row r="32" customFormat="false" ht="13.5" hidden="false" customHeight="false" outlineLevel="0" collapsed="false">
      <c r="A32" s="13" t="s">
        <v>37</v>
      </c>
      <c r="B32" s="37" t="n">
        <f aca="false">+$E$13</f>
        <v>0.04</v>
      </c>
      <c r="C32" s="38" t="n">
        <f aca="false">+$E$14*B32*$E$12*0.7*31</f>
        <v>88362.4</v>
      </c>
      <c r="D32" s="39"/>
      <c r="E32" s="40"/>
      <c r="K32" s="3"/>
    </row>
    <row r="33" customFormat="false" ht="13.5" hidden="false" customHeight="false" outlineLevel="0" collapsed="false">
      <c r="A33" s="41" t="s">
        <v>38</v>
      </c>
      <c r="B33" s="42"/>
      <c r="C33" s="43" t="n">
        <f aca="false">SUM(C21:C32)</f>
        <v>1043246.4</v>
      </c>
      <c r="D33" s="39"/>
      <c r="E33" s="39"/>
      <c r="K33" s="44" t="e">
        <f aca="false">+D21+D22+SUM(#REF!)+D31+#REF!</f>
        <v>#REF!</v>
      </c>
    </row>
    <row r="34" customFormat="false" ht="12.75" hidden="false" customHeight="false" outlineLevel="0" collapsed="false">
      <c r="A34" s="3"/>
      <c r="B34" s="3"/>
      <c r="C34" s="3"/>
      <c r="D34" s="4"/>
      <c r="E34" s="4"/>
      <c r="F34" s="3"/>
      <c r="G34" s="3"/>
      <c r="H34" s="3"/>
      <c r="I34" s="3"/>
      <c r="J34" s="3"/>
      <c r="K34" s="3"/>
    </row>
    <row r="35" customFormat="false" ht="12.75" hidden="false" customHeight="false" outlineLevel="0" collapsed="false">
      <c r="A35" s="3"/>
      <c r="B35" s="3"/>
      <c r="C35" s="3"/>
      <c r="D35" s="4"/>
      <c r="E35" s="4"/>
      <c r="F35" s="3"/>
      <c r="G35" s="3"/>
      <c r="H35" s="3"/>
      <c r="I35" s="3"/>
      <c r="J35" s="3"/>
      <c r="K35" s="3"/>
    </row>
    <row r="36" customFormat="false" ht="12.75" hidden="false" customHeight="false" outlineLevel="0" collapsed="false">
      <c r="A36" s="3"/>
      <c r="B36" s="3"/>
      <c r="C36" s="3"/>
      <c r="D36" s="4"/>
      <c r="E36" s="4"/>
      <c r="F36" s="3"/>
      <c r="G36" s="3"/>
      <c r="H36" s="3"/>
      <c r="I36" s="3"/>
      <c r="J36" s="3"/>
      <c r="K36" s="3"/>
    </row>
    <row r="37" customFormat="false" ht="13.5" hidden="false" customHeight="false" outlineLevel="0" collapsed="false">
      <c r="A37" s="3"/>
      <c r="B37" s="3"/>
      <c r="C37" s="3"/>
      <c r="D37" s="4"/>
      <c r="E37" s="4"/>
      <c r="F37" s="3"/>
      <c r="G37" s="3"/>
      <c r="H37" s="3"/>
      <c r="I37" s="3"/>
      <c r="J37" s="3"/>
      <c r="K37" s="3"/>
    </row>
    <row r="38" customFormat="false" ht="12.75" hidden="false" customHeight="false" outlineLevel="0" collapsed="false">
      <c r="A38" s="45" t="s">
        <v>39</v>
      </c>
      <c r="B38" s="46" t="s">
        <v>40</v>
      </c>
      <c r="C38" s="47" t="s">
        <v>41</v>
      </c>
      <c r="D38" s="48" t="s">
        <v>42</v>
      </c>
      <c r="E38" s="49" t="s">
        <v>43</v>
      </c>
      <c r="F38" s="3"/>
      <c r="G38" s="3"/>
      <c r="H38" s="3"/>
      <c r="I38" s="3"/>
      <c r="J38" s="3"/>
      <c r="K38" s="3"/>
    </row>
    <row r="39" customFormat="false" ht="12.75" hidden="false" customHeight="false" outlineLevel="0" collapsed="false">
      <c r="A39" s="50"/>
      <c r="B39" s="51" t="s">
        <v>44</v>
      </c>
      <c r="C39" s="52" t="s">
        <v>45</v>
      </c>
      <c r="D39" s="53" t="s">
        <v>41</v>
      </c>
      <c r="E39" s="54" t="s">
        <v>42</v>
      </c>
      <c r="F39" s="3"/>
      <c r="G39" s="3"/>
      <c r="H39" s="3"/>
      <c r="I39" s="3"/>
      <c r="J39" s="3"/>
      <c r="K39" s="3"/>
    </row>
    <row r="40" customFormat="false" ht="12.75" hidden="false" customHeight="false" outlineLevel="0" collapsed="false">
      <c r="A40" s="50"/>
      <c r="B40" s="55" t="n">
        <v>0.05</v>
      </c>
      <c r="C40" s="52"/>
      <c r="D40" s="53" t="s">
        <v>45</v>
      </c>
      <c r="E40" s="54" t="s">
        <v>41</v>
      </c>
      <c r="F40" s="3"/>
      <c r="G40" s="3"/>
      <c r="H40" s="3"/>
      <c r="I40" s="3"/>
      <c r="J40" s="3"/>
      <c r="K40" s="3"/>
    </row>
    <row r="41" customFormat="false" ht="13.5" hidden="false" customHeight="false" outlineLevel="0" collapsed="false">
      <c r="A41" s="56"/>
      <c r="B41" s="57"/>
      <c r="C41" s="52"/>
      <c r="D41" s="58"/>
      <c r="E41" s="59" t="s">
        <v>45</v>
      </c>
      <c r="F41" s="3"/>
      <c r="G41" s="3"/>
      <c r="H41" s="3"/>
      <c r="I41" s="3"/>
      <c r="J41" s="3"/>
      <c r="K41" s="3"/>
    </row>
    <row r="42" customFormat="false" ht="12.75" hidden="false" customHeight="false" outlineLevel="0" collapsed="false">
      <c r="A42" s="60" t="n">
        <v>2000</v>
      </c>
      <c r="B42" s="61" t="n">
        <f aca="false">EXP(-$B$40*3/2)</f>
        <v>0.927743486328553</v>
      </c>
      <c r="C42" s="62" t="n">
        <f aca="false">+$C$33</f>
        <v>1043246.4</v>
      </c>
      <c r="D42" s="63" t="n">
        <f aca="false">+C42*B42</f>
        <v>967865.052235712</v>
      </c>
      <c r="E42" s="63" t="n">
        <f aca="false">+D42</f>
        <v>967865.052235712</v>
      </c>
      <c r="F42" s="3"/>
      <c r="G42" s="3"/>
      <c r="H42" s="3"/>
      <c r="I42" s="3"/>
      <c r="J42" s="3"/>
      <c r="K42" s="3"/>
    </row>
    <row r="43" customFormat="false" ht="12.75" hidden="false" customHeight="false" outlineLevel="0" collapsed="false">
      <c r="A43" s="64" t="n">
        <v>2001</v>
      </c>
      <c r="B43" s="37" t="n">
        <f aca="false">EXP(-$B$40)*B42</f>
        <v>0.882496902584595</v>
      </c>
      <c r="C43" s="38" t="n">
        <f aca="false">+$C$33</f>
        <v>1043246.4</v>
      </c>
      <c r="D43" s="65" t="n">
        <f aca="false">+C43*B43</f>
        <v>920661.71663253</v>
      </c>
      <c r="E43" s="65" t="n">
        <f aca="false">+E42+D43</f>
        <v>1888526.76886824</v>
      </c>
      <c r="F43" s="3"/>
      <c r="G43" s="3"/>
      <c r="H43" s="3"/>
      <c r="I43" s="3"/>
      <c r="J43" s="3"/>
      <c r="K43" s="3"/>
    </row>
    <row r="44" customFormat="false" ht="12.75" hidden="false" customHeight="false" outlineLevel="0" collapsed="false">
      <c r="A44" s="64" t="n">
        <v>2002</v>
      </c>
      <c r="B44" s="37" t="n">
        <f aca="false">EXP(-$B$40)*B43</f>
        <v>0.839457020769207</v>
      </c>
      <c r="C44" s="38" t="n">
        <f aca="false">+$C$33</f>
        <v>1043246.4</v>
      </c>
      <c r="D44" s="65" t="n">
        <f aca="false">+C44*B44</f>
        <v>875760.514872201</v>
      </c>
      <c r="E44" s="65" t="n">
        <f aca="false">+E43+D44</f>
        <v>2764287.28374044</v>
      </c>
      <c r="F44" s="3"/>
      <c r="G44" s="3"/>
      <c r="H44" s="3"/>
      <c r="I44" s="3"/>
      <c r="J44" s="3"/>
      <c r="K44" s="3"/>
    </row>
    <row r="45" customFormat="false" ht="12.75" hidden="false" customHeight="false" outlineLevel="0" collapsed="false">
      <c r="A45" s="64" t="n">
        <v>2003</v>
      </c>
      <c r="B45" s="37" t="n">
        <f aca="false">EXP(-$B$40)*B44</f>
        <v>0.798516218759377</v>
      </c>
      <c r="C45" s="38" t="n">
        <f aca="false">+$C$33</f>
        <v>1043246.4</v>
      </c>
      <c r="D45" s="65" t="n">
        <f aca="false">+C45*B45</f>
        <v>833049.170562333</v>
      </c>
      <c r="E45" s="65" t="n">
        <f aca="false">+E44+D45</f>
        <v>3597336.45430277</v>
      </c>
      <c r="F45" s="3"/>
      <c r="G45" s="3"/>
      <c r="H45" s="3"/>
      <c r="I45" s="3"/>
      <c r="J45" s="3"/>
      <c r="K45" s="3"/>
    </row>
    <row r="46" customFormat="false" ht="12.75" hidden="false" customHeight="false" outlineLevel="0" collapsed="false">
      <c r="A46" s="64" t="n">
        <v>2004</v>
      </c>
      <c r="B46" s="37" t="n">
        <f aca="false">EXP(-$B$40)*B45</f>
        <v>0.759572123224969</v>
      </c>
      <c r="C46" s="38" t="n">
        <f aca="false">+$C$33</f>
        <v>1043246.4</v>
      </c>
      <c r="D46" s="65" t="n">
        <f aca="false">+C46*B46</f>
        <v>792420.883094805</v>
      </c>
      <c r="E46" s="65" t="n">
        <f aca="false">+E45+D46</f>
        <v>4389757.33739758</v>
      </c>
      <c r="F46" s="3"/>
      <c r="G46" s="3"/>
      <c r="H46" s="3"/>
      <c r="I46" s="3"/>
      <c r="J46" s="3"/>
      <c r="K46" s="3"/>
    </row>
    <row r="47" customFormat="false" ht="12.75" hidden="false" customHeight="false" outlineLevel="0" collapsed="false">
      <c r="A47" s="64" t="n">
        <v>2005</v>
      </c>
      <c r="B47" s="37" t="n">
        <f aca="false">EXP(-$B$40)*B46</f>
        <v>0.722527353642072</v>
      </c>
      <c r="C47" s="38" t="n">
        <f aca="false">+$C$33</f>
        <v>1043246.4</v>
      </c>
      <c r="D47" s="65" t="n">
        <f aca="false">+C47*B47</f>
        <v>753774.060588619</v>
      </c>
      <c r="E47" s="65" t="n">
        <f aca="false">+E46+D47</f>
        <v>5143531.3979862</v>
      </c>
      <c r="F47" s="3"/>
      <c r="G47" s="3"/>
      <c r="H47" s="3"/>
      <c r="I47" s="3"/>
      <c r="J47" s="3"/>
      <c r="K47" s="3"/>
    </row>
    <row r="48" customFormat="false" ht="12.75" hidden="false" customHeight="false" outlineLevel="0" collapsed="false">
      <c r="A48" s="64" t="n">
        <v>2006</v>
      </c>
      <c r="B48" s="37" t="n">
        <f aca="false">EXP(-$B$40)*B47</f>
        <v>0.687289278790972</v>
      </c>
      <c r="C48" s="38" t="n">
        <f aca="false">+$C$33</f>
        <v>1043246.4</v>
      </c>
      <c r="D48" s="65" t="n">
        <f aca="false">+C48*B48</f>
        <v>717012.065857278</v>
      </c>
      <c r="E48" s="65" t="n">
        <f aca="false">+E47+D48</f>
        <v>5860543.46384348</v>
      </c>
      <c r="F48" s="3"/>
      <c r="G48" s="3"/>
      <c r="H48" s="3"/>
      <c r="I48" s="3"/>
      <c r="J48" s="3"/>
      <c r="K48" s="3"/>
    </row>
    <row r="49" customFormat="false" ht="13.5" hidden="false" customHeight="false" outlineLevel="0" collapsed="false">
      <c r="A49" s="64" t="n">
        <v>2007</v>
      </c>
      <c r="B49" s="37" t="n">
        <f aca="false">EXP(-$B$40)*B48</f>
        <v>0.653769785129847</v>
      </c>
      <c r="C49" s="38" t="n">
        <f aca="false">+$C$33</f>
        <v>1043246.4</v>
      </c>
      <c r="D49" s="65" t="n">
        <f aca="false">+C49*B49</f>
        <v>682042.974765487</v>
      </c>
      <c r="E49" s="65" t="n">
        <f aca="false">+E48+D49</f>
        <v>6542586.43860896</v>
      </c>
      <c r="F49" s="3"/>
      <c r="G49" s="3"/>
      <c r="H49" s="3"/>
      <c r="I49" s="3"/>
      <c r="J49" s="3"/>
      <c r="K49" s="3"/>
    </row>
    <row r="50" customFormat="false" ht="13.5" hidden="false" customHeight="false" outlineLevel="0" collapsed="false">
      <c r="A50" s="66" t="n">
        <v>2008</v>
      </c>
      <c r="B50" s="67" t="n">
        <f aca="false">EXP(-$B$40)*B49</f>
        <v>0.62188505646502</v>
      </c>
      <c r="C50" s="68" t="n">
        <f aca="false">+$C$33</f>
        <v>1043246.4</v>
      </c>
      <c r="D50" s="69" t="n">
        <f aca="false">+C50*B50</f>
        <v>648779.346370929</v>
      </c>
      <c r="E50" s="70" t="n">
        <f aca="false">+E49+D50</f>
        <v>7191365.78497989</v>
      </c>
      <c r="F50" s="3"/>
      <c r="G50" s="3"/>
      <c r="H50" s="3"/>
      <c r="I50" s="3"/>
      <c r="J50" s="3"/>
      <c r="K50" s="3"/>
    </row>
    <row r="51" customFormat="false" ht="12.75" hidden="false" customHeight="false" outlineLevel="0" collapsed="false">
      <c r="A51" s="3"/>
      <c r="B51" s="3"/>
      <c r="C51" s="3"/>
      <c r="D51" s="4"/>
      <c r="E51" s="4"/>
      <c r="F51" s="3"/>
      <c r="G51" s="3"/>
      <c r="H51" s="3"/>
      <c r="I51" s="3"/>
      <c r="J51" s="3"/>
      <c r="K51" s="3"/>
    </row>
    <row r="52" customFormat="false" ht="12.75" hidden="false" customHeight="false" outlineLevel="0" collapsed="false">
      <c r="A52" s="3"/>
      <c r="B52" s="3"/>
      <c r="C52" s="3"/>
      <c r="D52" s="4"/>
      <c r="E52" s="4"/>
      <c r="F52" s="3"/>
      <c r="G52" s="3"/>
      <c r="H52" s="3"/>
      <c r="I52" s="3"/>
      <c r="J52" s="3"/>
      <c r="K52" s="3"/>
    </row>
    <row r="53" customFormat="false" ht="12.75" hidden="false" customHeight="false" outlineLevel="0" collapsed="false">
      <c r="A53" s="3"/>
      <c r="B53" s="3"/>
      <c r="C53" s="3"/>
      <c r="D53" s="4"/>
      <c r="E53" s="4"/>
      <c r="F53" s="3"/>
      <c r="G53" s="3"/>
      <c r="H53" s="3"/>
      <c r="I53" s="3"/>
      <c r="J53" s="3"/>
      <c r="K53" s="3"/>
    </row>
    <row r="54" customFormat="false" ht="12.75" hidden="false" customHeight="false" outlineLevel="0" collapsed="false">
      <c r="A54" s="3"/>
      <c r="B54" s="3"/>
      <c r="C54" s="3"/>
      <c r="D54" s="4"/>
      <c r="E54" s="4"/>
      <c r="F54" s="3"/>
      <c r="G54" s="3"/>
      <c r="H54" s="3"/>
      <c r="I54" s="3"/>
      <c r="J54" s="3"/>
      <c r="K54" s="3"/>
    </row>
    <row r="55" customFormat="false" ht="12.75" hidden="false" customHeight="false" outlineLevel="0" collapsed="false">
      <c r="A55" s="3"/>
      <c r="B55" s="3"/>
      <c r="C55" s="3"/>
      <c r="D55" s="4"/>
      <c r="E55" s="4"/>
      <c r="F55" s="3"/>
      <c r="G55" s="3"/>
      <c r="H55" s="3"/>
      <c r="I55" s="3"/>
      <c r="J55" s="3"/>
      <c r="K55" s="3"/>
    </row>
    <row r="56" customFormat="false" ht="12.75" hidden="false" customHeight="false" outlineLevel="0" collapsed="false">
      <c r="A56" s="3"/>
      <c r="B56" s="3"/>
      <c r="C56" s="3"/>
      <c r="D56" s="4"/>
      <c r="E56" s="4"/>
      <c r="F56" s="3"/>
      <c r="G56" s="3"/>
      <c r="H56" s="3"/>
      <c r="I56" s="3"/>
      <c r="J56" s="3"/>
      <c r="K56" s="3"/>
    </row>
    <row r="57" customFormat="false" ht="12.75" hidden="false" customHeight="false" outlineLevel="0" collapsed="false">
      <c r="A57" s="3"/>
      <c r="B57" s="3"/>
      <c r="C57" s="3"/>
      <c r="D57" s="4"/>
      <c r="E57" s="4"/>
      <c r="F57" s="3"/>
      <c r="G57" s="3"/>
      <c r="H57" s="3"/>
      <c r="I57" s="3"/>
      <c r="J57" s="3"/>
      <c r="K57" s="3"/>
    </row>
    <row r="58" customFormat="false" ht="12.75" hidden="false" customHeight="false" outlineLevel="0" collapsed="false">
      <c r="A58" s="3"/>
      <c r="B58" s="3"/>
      <c r="C58" s="3"/>
      <c r="D58" s="4"/>
      <c r="E58" s="4"/>
      <c r="F58" s="3"/>
      <c r="G58" s="3"/>
      <c r="H58" s="3"/>
      <c r="I58" s="3"/>
      <c r="J58" s="3"/>
      <c r="K58" s="3"/>
    </row>
  </sheetData>
  <mergeCells count="8">
    <mergeCell ref="A1:I1"/>
    <mergeCell ref="A2:I2"/>
    <mergeCell ref="A3:I3"/>
    <mergeCell ref="A4:I4"/>
    <mergeCell ref="A8:D8"/>
    <mergeCell ref="A9:D9"/>
    <mergeCell ref="A10:D10"/>
    <mergeCell ref="A11:D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true" showRowColHeaders="true" showZeros="true" rightToLeft="false" tabSelected="true" showOutlineSymbols="true" defaultGridColor="true" view="normal" topLeftCell="E32" colorId="64" zoomScale="100" zoomScaleNormal="100" zoomScalePageLayoutView="100" workbookViewId="0">
      <selection pane="topLeft" activeCell="K21" activeCellId="0" sqref="K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8.41"/>
    <col collapsed="false" customWidth="false" hidden="false" outlineLevel="0" max="2" min="2" style="3" width="9.14"/>
    <col collapsed="false" customWidth="true" hidden="false" outlineLevel="0" max="3" min="3" style="3" width="11.7"/>
    <col collapsed="false" customWidth="true" hidden="false" outlineLevel="0" max="5" min="4" style="4" width="13.41"/>
    <col collapsed="false" customWidth="true" hidden="false" outlineLevel="0" max="6" min="6" style="3" width="10.28"/>
    <col collapsed="false" customWidth="true" hidden="false" outlineLevel="0" max="7" min="7" style="3" width="11.28"/>
    <col collapsed="false" customWidth="true" hidden="false" outlineLevel="0" max="8" min="8" style="3" width="10.71"/>
    <col collapsed="false" customWidth="true" hidden="false" outlineLevel="0" max="9" min="9" style="3" width="10.99"/>
    <col collapsed="false" customWidth="true" hidden="false" outlineLevel="0" max="10" min="10" style="4" width="12.42"/>
    <col collapsed="false" customWidth="true" hidden="false" outlineLevel="0" max="11" min="11" style="3" width="11.85"/>
    <col collapsed="false" customWidth="true" hidden="false" outlineLevel="0" max="12" min="12" style="44" width="11.56"/>
    <col collapsed="false" customWidth="true" hidden="false" outlineLevel="0" max="14" min="13" style="3" width="11.7"/>
    <col collapsed="false" customWidth="false" hidden="false" outlineLevel="0" max="257" min="15" style="3" width="9.14"/>
  </cols>
  <sheetData>
    <row r="1" customFormat="false" ht="27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27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27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27.75" hidden="false" customHeight="false" outlineLevel="0" collapsed="false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13.5" hidden="false" customHeight="false" outlineLevel="0" collapsed="false"/>
    <row r="6" customFormat="false" ht="13.5" hidden="false" customHeight="false" outlineLevel="0" collapsed="false">
      <c r="A6" s="5" t="s">
        <v>4</v>
      </c>
      <c r="B6" s="6"/>
      <c r="C6" s="7" t="n">
        <v>34151</v>
      </c>
    </row>
    <row r="7" customFormat="false" ht="13.5" hidden="false" customHeight="false" outlineLevel="0" collapsed="false">
      <c r="A7" s="8" t="s">
        <v>5</v>
      </c>
      <c r="B7" s="9" t="s">
        <v>6</v>
      </c>
    </row>
    <row r="8" customFormat="false" ht="12.75" hidden="false" customHeight="false" outlineLevel="0" collapsed="false">
      <c r="A8" s="10" t="s">
        <v>7</v>
      </c>
      <c r="B8" s="10"/>
      <c r="C8" s="10"/>
      <c r="D8" s="10"/>
      <c r="E8" s="11"/>
      <c r="F8" s="12"/>
      <c r="G8" s="12"/>
      <c r="H8" s="12"/>
      <c r="I8" s="12"/>
    </row>
    <row r="9" customFormat="false" ht="12.75" hidden="false" customHeight="false" outlineLevel="0" collapsed="false">
      <c r="A9" s="13" t="s">
        <v>8</v>
      </c>
      <c r="B9" s="13"/>
      <c r="C9" s="13"/>
      <c r="D9" s="13"/>
      <c r="E9" s="11"/>
      <c r="F9" s="12"/>
      <c r="G9" s="12"/>
      <c r="H9" s="12"/>
      <c r="I9" s="12"/>
    </row>
    <row r="10" customFormat="false" ht="12.75" hidden="false" customHeight="false" outlineLevel="0" collapsed="false">
      <c r="A10" s="13" t="s">
        <v>9</v>
      </c>
      <c r="B10" s="13"/>
      <c r="C10" s="13"/>
      <c r="D10" s="13"/>
      <c r="E10" s="11"/>
      <c r="F10" s="12"/>
      <c r="G10" s="12"/>
      <c r="H10" s="12"/>
      <c r="I10" s="12"/>
    </row>
    <row r="11" customFormat="false" ht="13.5" hidden="false" customHeight="false" outlineLevel="0" collapsed="false">
      <c r="A11" s="14" t="s">
        <v>10</v>
      </c>
      <c r="B11" s="14"/>
      <c r="C11" s="14"/>
      <c r="D11" s="14"/>
      <c r="E11" s="11"/>
      <c r="F11" s="12"/>
      <c r="G11" s="12"/>
      <c r="H11" s="12"/>
      <c r="I11" s="12"/>
    </row>
    <row r="12" customFormat="false" ht="13.5" hidden="false" customHeight="false" outlineLevel="0" collapsed="false">
      <c r="A12" s="15" t="s">
        <v>11</v>
      </c>
      <c r="B12" s="16"/>
      <c r="C12" s="16"/>
      <c r="D12" s="17"/>
      <c r="E12" s="18" t="n">
        <v>50900</v>
      </c>
      <c r="F12" s="9" t="s">
        <v>12</v>
      </c>
      <c r="G12" s="0"/>
      <c r="H12" s="12"/>
      <c r="I12" s="12"/>
    </row>
    <row r="13" customFormat="false" ht="13.5" hidden="false" customHeight="false" outlineLevel="0" collapsed="false">
      <c r="A13" s="15" t="s">
        <v>46</v>
      </c>
      <c r="B13" s="24"/>
      <c r="C13" s="25"/>
      <c r="D13" s="26"/>
      <c r="E13" s="26"/>
      <c r="F13" s="71" t="s">
        <v>47</v>
      </c>
      <c r="G13" s="71"/>
      <c r="H13" s="71"/>
      <c r="I13" s="71"/>
    </row>
    <row r="14" customFormat="false" ht="13.5" hidden="false" customHeight="false" outlineLevel="0" collapsed="false">
      <c r="A14" s="15" t="s">
        <v>13</v>
      </c>
      <c r="B14" s="24"/>
      <c r="C14" s="25"/>
      <c r="D14" s="26"/>
      <c r="E14" s="26"/>
      <c r="F14" s="28" t="n">
        <v>0.03</v>
      </c>
      <c r="G14" s="12"/>
      <c r="H14" s="12"/>
      <c r="I14" s="12"/>
    </row>
    <row r="15" customFormat="false" ht="13.5" hidden="false" customHeight="false" outlineLevel="0" collapsed="false">
      <c r="A15" s="72" t="s">
        <v>48</v>
      </c>
      <c r="B15" s="12"/>
      <c r="C15" s="0"/>
      <c r="D15" s="73"/>
      <c r="E15" s="73"/>
      <c r="F15" s="74" t="n">
        <v>0.015</v>
      </c>
      <c r="G15" s="12"/>
      <c r="H15" s="12"/>
      <c r="I15" s="12"/>
    </row>
    <row r="16" customFormat="false" ht="13.5" hidden="false" customHeight="false" outlineLevel="0" collapsed="false">
      <c r="A16" s="15" t="s">
        <v>49</v>
      </c>
      <c r="B16" s="24"/>
      <c r="C16" s="25"/>
      <c r="D16" s="26"/>
      <c r="E16" s="26"/>
      <c r="F16" s="75"/>
      <c r="G16" s="24"/>
      <c r="H16" s="24"/>
      <c r="I16" s="9"/>
    </row>
    <row r="17" customFormat="false" ht="13.5" hidden="false" customHeight="false" outlineLevel="0" collapsed="false">
      <c r="A17" s="15" t="s">
        <v>50</v>
      </c>
      <c r="B17" s="24"/>
      <c r="C17" s="25"/>
      <c r="D17" s="26"/>
      <c r="E17" s="26"/>
      <c r="F17" s="76"/>
      <c r="G17" s="12"/>
      <c r="H17" s="12"/>
      <c r="I17" s="12"/>
    </row>
    <row r="18" customFormat="false" ht="16.5" hidden="false" customHeight="false" outlineLevel="0" collapsed="false">
      <c r="A18" s="77" t="s">
        <v>51</v>
      </c>
      <c r="B18" s="78"/>
      <c r="C18" s="25"/>
      <c r="D18" s="26"/>
      <c r="E18" s="26"/>
      <c r="F18" s="78"/>
      <c r="G18" s="79"/>
      <c r="H18" s="80"/>
      <c r="I18" s="80"/>
      <c r="J18" s="81"/>
      <c r="K18" s="82"/>
      <c r="L18" s="83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  <c r="IW18" s="82"/>
    </row>
    <row r="19" customFormat="false" ht="13.5" hidden="false" customHeight="false" outlineLevel="0" collapsed="false"/>
    <row r="20" customFormat="false" ht="13.5" hidden="false" customHeight="false" outlineLevel="0" collapsed="false">
      <c r="B20" s="41" t="s">
        <v>52</v>
      </c>
      <c r="C20" s="41" t="s">
        <v>53</v>
      </c>
      <c r="D20" s="84" t="s">
        <v>54</v>
      </c>
    </row>
    <row r="21" customFormat="false" ht="13.5" hidden="false" customHeight="false" outlineLevel="0" collapsed="false">
      <c r="A21" s="10" t="s">
        <v>16</v>
      </c>
      <c r="B21" s="10" t="s">
        <v>55</v>
      </c>
      <c r="C21" s="85" t="s">
        <v>55</v>
      </c>
      <c r="D21" s="86" t="s">
        <v>55</v>
      </c>
      <c r="E21" s="87" t="s">
        <v>17</v>
      </c>
      <c r="F21" s="10" t="s">
        <v>40</v>
      </c>
      <c r="G21" s="85" t="s">
        <v>56</v>
      </c>
      <c r="H21" s="10" t="s">
        <v>56</v>
      </c>
      <c r="I21" s="88" t="s">
        <v>57</v>
      </c>
      <c r="J21" s="89" t="s">
        <v>58</v>
      </c>
      <c r="K21" s="90" t="n">
        <v>3</v>
      </c>
      <c r="L21" s="91" t="s">
        <v>15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13"/>
      <c r="B22" s="13" t="s">
        <v>59</v>
      </c>
      <c r="C22" s="31" t="s">
        <v>59</v>
      </c>
      <c r="D22" s="92" t="s">
        <v>60</v>
      </c>
      <c r="E22" s="34" t="s">
        <v>19</v>
      </c>
      <c r="F22" s="13" t="s">
        <v>21</v>
      </c>
      <c r="G22" s="31" t="s">
        <v>61</v>
      </c>
      <c r="H22" s="13" t="s">
        <v>61</v>
      </c>
      <c r="I22" s="93" t="s">
        <v>62</v>
      </c>
      <c r="J22" s="29" t="s">
        <v>63</v>
      </c>
      <c r="K22" s="86" t="s">
        <v>64</v>
      </c>
      <c r="L22" s="94" t="s">
        <v>65</v>
      </c>
      <c r="M22" s="10" t="s">
        <v>62</v>
      </c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13"/>
      <c r="B23" s="13" t="s">
        <v>56</v>
      </c>
      <c r="C23" s="31" t="s">
        <v>66</v>
      </c>
      <c r="D23" s="92" t="s">
        <v>67</v>
      </c>
      <c r="E23" s="34" t="s">
        <v>21</v>
      </c>
      <c r="F23" s="13" t="s">
        <v>68</v>
      </c>
      <c r="G23" s="31" t="s">
        <v>69</v>
      </c>
      <c r="H23" s="13" t="s">
        <v>69</v>
      </c>
      <c r="I23" s="93" t="s">
        <v>70</v>
      </c>
      <c r="J23" s="95" t="s">
        <v>71</v>
      </c>
      <c r="K23" s="96" t="s">
        <v>72</v>
      </c>
      <c r="L23" s="97" t="s">
        <v>73</v>
      </c>
      <c r="M23" s="13" t="s">
        <v>74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13"/>
      <c r="B24" s="13" t="s">
        <v>75</v>
      </c>
      <c r="C24" s="31" t="s">
        <v>60</v>
      </c>
      <c r="D24" s="92" t="s">
        <v>76</v>
      </c>
      <c r="E24" s="34" t="s">
        <v>77</v>
      </c>
      <c r="F24" s="13" t="s">
        <v>78</v>
      </c>
      <c r="G24" s="31" t="s">
        <v>79</v>
      </c>
      <c r="H24" s="13" t="s">
        <v>80</v>
      </c>
      <c r="I24" s="93" t="s">
        <v>81</v>
      </c>
      <c r="J24" s="33" t="s">
        <v>62</v>
      </c>
      <c r="K24" s="33" t="s">
        <v>62</v>
      </c>
      <c r="L24" s="97" t="s">
        <v>70</v>
      </c>
      <c r="M24" s="13" t="s">
        <v>60</v>
      </c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3.5" hidden="false" customHeight="false" outlineLevel="0" collapsed="false">
      <c r="A25" s="14"/>
      <c r="B25" s="14"/>
      <c r="C25" s="98" t="s">
        <v>75</v>
      </c>
      <c r="D25" s="99"/>
      <c r="E25" s="100"/>
      <c r="F25" s="14"/>
      <c r="G25" s="98"/>
      <c r="H25" s="14"/>
      <c r="I25" s="101"/>
      <c r="J25" s="36" t="s">
        <v>82</v>
      </c>
      <c r="K25" s="36" t="s">
        <v>82</v>
      </c>
      <c r="L25" s="102"/>
      <c r="M25" s="14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13" t="s">
        <v>26</v>
      </c>
      <c r="B26" s="103" t="n">
        <v>2.08</v>
      </c>
      <c r="C26" s="104" t="n">
        <v>2.06</v>
      </c>
      <c r="D26" s="105" t="n">
        <f aca="false">(B26/C26)-1</f>
        <v>0.00970873786407767</v>
      </c>
      <c r="E26" s="4" t="n">
        <f aca="false">+$F$14</f>
        <v>0.03</v>
      </c>
      <c r="F26" s="106" t="n">
        <f aca="false">+$F$15</f>
        <v>0.015</v>
      </c>
      <c r="G26" s="4" t="n">
        <f aca="false">+D26+E26-0.3*F26</f>
        <v>0.0352087378640777</v>
      </c>
      <c r="H26" s="105" t="n">
        <f aca="false">+D26+E26/0.7</f>
        <v>0.0525658807212205</v>
      </c>
      <c r="I26" s="107" t="n">
        <f aca="false">IF(F26&gt;D26,100%,70%)</f>
        <v>1</v>
      </c>
      <c r="J26" s="108" t="n">
        <f aca="false">+E$12*$K$21*(1+G26)*31</f>
        <v>4900367.60242719</v>
      </c>
      <c r="K26" s="62" t="n">
        <f aca="false">+$E$12*(0.7*$K$21*(H26+1)+0.3*$K$21)*31</f>
        <v>4907881.77669903</v>
      </c>
      <c r="L26" s="38" t="n">
        <f aca="false">ABS(J26-K26)</f>
        <v>7514.17427184433</v>
      </c>
      <c r="M26" s="109" t="n">
        <f aca="false">+$K$21*31*$E$12</f>
        <v>4733700</v>
      </c>
    </row>
    <row r="27" customFormat="false" ht="12.75" hidden="false" customHeight="false" outlineLevel="0" collapsed="false">
      <c r="A27" s="13" t="s">
        <v>27</v>
      </c>
      <c r="B27" s="103" t="n">
        <v>1.53</v>
      </c>
      <c r="C27" s="104" t="n">
        <v>1.51</v>
      </c>
      <c r="D27" s="105" t="n">
        <f aca="false">(B27/C27)-1</f>
        <v>0.0132450331125828</v>
      </c>
      <c r="E27" s="4" t="n">
        <f aca="false">+$F$14</f>
        <v>0.03</v>
      </c>
      <c r="F27" s="106" t="n">
        <f aca="false">+$F$15</f>
        <v>0.015</v>
      </c>
      <c r="G27" s="4" t="n">
        <f aca="false">+D27+E27-0.3*F27</f>
        <v>0.0387450331125829</v>
      </c>
      <c r="H27" s="105" t="n">
        <f aca="false">+D27+E27/0.7</f>
        <v>0.0561021759697257</v>
      </c>
      <c r="I27" s="107" t="n">
        <f aca="false">IF(F27&gt;D27,100%,70%)</f>
        <v>1</v>
      </c>
      <c r="J27" s="108" t="n">
        <f aca="false">+E$12*$K$21*(1+G27)*29</f>
        <v>4599874.63013245</v>
      </c>
      <c r="K27" s="38" t="n">
        <f aca="false">+$E$12*(0.7*$K$21*(H27+1)+0.3*$K$21)*29</f>
        <v>4602206.08609272</v>
      </c>
      <c r="L27" s="38" t="n">
        <f aca="false">ABS(J27-K27)</f>
        <v>2331.45596026443</v>
      </c>
      <c r="M27" s="110" t="n">
        <f aca="false">+$K$21*29*$E$12</f>
        <v>4428300</v>
      </c>
    </row>
    <row r="28" customFormat="false" ht="12.75" hidden="false" customHeight="false" outlineLevel="0" collapsed="false">
      <c r="A28" s="13" t="s">
        <v>28</v>
      </c>
      <c r="B28" s="103" t="n">
        <v>1.2</v>
      </c>
      <c r="C28" s="104" t="n">
        <v>1.18</v>
      </c>
      <c r="D28" s="105" t="n">
        <f aca="false">(B28/C28)-1</f>
        <v>0.0169491525423728</v>
      </c>
      <c r="E28" s="4" t="n">
        <f aca="false">+$F$14</f>
        <v>0.03</v>
      </c>
      <c r="F28" s="106" t="n">
        <f aca="false">+$F$15</f>
        <v>0.015</v>
      </c>
      <c r="G28" s="4" t="n">
        <f aca="false">+D28+E28-0.3*F28</f>
        <v>0.0424491525423728</v>
      </c>
      <c r="H28" s="105" t="n">
        <f aca="false">+D28+E28/0.7</f>
        <v>0.0598062953995157</v>
      </c>
      <c r="I28" s="107" t="n">
        <f aca="false">IF(F28&gt;D28,100%,70%)</f>
        <v>0.7</v>
      </c>
      <c r="J28" s="108" t="n">
        <f aca="false">+E$12*$K$21*(1+G28)*31</f>
        <v>4934641.55338983</v>
      </c>
      <c r="K28" s="38" t="n">
        <f aca="false">+$E$12*(0.7*$K$21*(H28+1)+0.3*$K$21)*31</f>
        <v>4931873.54237288</v>
      </c>
      <c r="L28" s="38" t="n">
        <f aca="false">ABS(J28-K28)</f>
        <v>2768.01101695094</v>
      </c>
      <c r="M28" s="110" t="n">
        <f aca="false">+$K$21*31*$E$12</f>
        <v>4733700</v>
      </c>
    </row>
    <row r="29" customFormat="false" ht="12.75" hidden="false" customHeight="false" outlineLevel="0" collapsed="false">
      <c r="A29" s="13" t="s">
        <v>29</v>
      </c>
      <c r="B29" s="103" t="n">
        <v>1.15</v>
      </c>
      <c r="C29" s="104" t="n">
        <v>1.12</v>
      </c>
      <c r="D29" s="105" t="n">
        <f aca="false">(B29/C29)-1</f>
        <v>0.0267857142857142</v>
      </c>
      <c r="E29" s="4" t="n">
        <f aca="false">+$F$14</f>
        <v>0.03</v>
      </c>
      <c r="F29" s="106" t="n">
        <f aca="false">+$F$15</f>
        <v>0.015</v>
      </c>
      <c r="G29" s="4" t="n">
        <f aca="false">+D29+E29-0.3*F29</f>
        <v>0.0522857142857142</v>
      </c>
      <c r="H29" s="105" t="n">
        <f aca="false">+D29+E29/0.7</f>
        <v>0.0696428571428571</v>
      </c>
      <c r="I29" s="107" t="n">
        <f aca="false">IF(F29&gt;D29,100%,70%)</f>
        <v>0.7</v>
      </c>
      <c r="J29" s="108" t="n">
        <f aca="false">+E$12*$K$21*(1+G29)*30</f>
        <v>4820520.85714286</v>
      </c>
      <c r="K29" s="38" t="n">
        <f aca="false">+$E$12*(0.7*$K$21*(H29+1)+0.3*$K$21)*30</f>
        <v>4804323.75</v>
      </c>
      <c r="L29" s="38" t="n">
        <f aca="false">ABS(J29-K29)</f>
        <v>16197.1071428573</v>
      </c>
      <c r="M29" s="110" t="n">
        <f aca="false">+$K$21*30*$E$12</f>
        <v>4581000</v>
      </c>
    </row>
    <row r="30" customFormat="false" ht="12.75" hidden="false" customHeight="false" outlineLevel="0" collapsed="false">
      <c r="A30" s="13" t="s">
        <v>30</v>
      </c>
      <c r="B30" s="103" t="n">
        <v>1.12</v>
      </c>
      <c r="C30" s="104" t="n">
        <v>1.1</v>
      </c>
      <c r="D30" s="105" t="n">
        <f aca="false">(B30/C30)-1</f>
        <v>0.0181818181818183</v>
      </c>
      <c r="E30" s="4" t="n">
        <f aca="false">+$F$14</f>
        <v>0.03</v>
      </c>
      <c r="F30" s="106" t="n">
        <f aca="false">+$F$15</f>
        <v>0.015</v>
      </c>
      <c r="G30" s="4" t="n">
        <f aca="false">+D30+E30-0.3*F30</f>
        <v>0.0436818181818183</v>
      </c>
      <c r="H30" s="105" t="n">
        <f aca="false">+D30+E30/0.7</f>
        <v>0.0610389610389612</v>
      </c>
      <c r="I30" s="107" t="n">
        <f aca="false">IF(F30&gt;D30,100%,70%)</f>
        <v>0.7</v>
      </c>
      <c r="J30" s="108" t="n">
        <f aca="false">+E$12*$K$21*(1+G30)*31</f>
        <v>4940476.62272727</v>
      </c>
      <c r="K30" s="38" t="n">
        <f aca="false">+$E$12*(0.7*$K$21*(H30+1)+0.3*$K$21)*31</f>
        <v>4935958.09090909</v>
      </c>
      <c r="L30" s="38" t="n">
        <f aca="false">ABS(J30-K30)</f>
        <v>4518.53181818221</v>
      </c>
      <c r="M30" s="110" t="n">
        <f aca="false">+$K$21*31*$E$12</f>
        <v>4733700</v>
      </c>
    </row>
    <row r="31" customFormat="false" ht="12.75" hidden="false" customHeight="false" outlineLevel="0" collapsed="false">
      <c r="A31" s="13" t="s">
        <v>31</v>
      </c>
      <c r="B31" s="103" t="n">
        <v>1.13</v>
      </c>
      <c r="C31" s="104" t="n">
        <v>1.11</v>
      </c>
      <c r="D31" s="105" t="n">
        <f aca="false">(B31/C31)-1</f>
        <v>0.0180180180180178</v>
      </c>
      <c r="E31" s="4" t="n">
        <f aca="false">+$F$14</f>
        <v>0.03</v>
      </c>
      <c r="F31" s="106" t="n">
        <f aca="false">+$F$15</f>
        <v>0.015</v>
      </c>
      <c r="G31" s="4" t="n">
        <f aca="false">+D31+E31-0.3*F31</f>
        <v>0.0435180180180178</v>
      </c>
      <c r="H31" s="105" t="n">
        <f aca="false">+D31+E31/0.7</f>
        <v>0.0608751608751607</v>
      </c>
      <c r="I31" s="107" t="n">
        <f aca="false">IF(F31&gt;D31,100%,70%)</f>
        <v>0.7</v>
      </c>
      <c r="J31" s="108" t="n">
        <f aca="false">+E$12*$K$21*(1+G31)*30</f>
        <v>4780356.04054054</v>
      </c>
      <c r="K31" s="38" t="n">
        <f aca="false">+$E$12*(0.7*$K$21*(H31+1)+0.3*$K$21)*30</f>
        <v>4776208.37837838</v>
      </c>
      <c r="L31" s="38" t="n">
        <f aca="false">ABS(J31-K31)</f>
        <v>4147.6621621633</v>
      </c>
      <c r="M31" s="110" t="n">
        <f aca="false">+$K$21*30*$E$12</f>
        <v>4581000</v>
      </c>
    </row>
    <row r="32" customFormat="false" ht="12.75" hidden="false" customHeight="false" outlineLevel="0" collapsed="false">
      <c r="A32" s="13" t="s">
        <v>32</v>
      </c>
      <c r="B32" s="103" t="n">
        <v>1.19</v>
      </c>
      <c r="C32" s="104" t="n">
        <v>1.17</v>
      </c>
      <c r="D32" s="105" t="n">
        <f aca="false">(B32/C32)-1</f>
        <v>0.017094017094017</v>
      </c>
      <c r="E32" s="4" t="n">
        <f aca="false">+$F$14</f>
        <v>0.03</v>
      </c>
      <c r="F32" s="106" t="n">
        <f aca="false">+$F$15</f>
        <v>0.015</v>
      </c>
      <c r="G32" s="4" t="n">
        <f aca="false">+D32+E32-0.3*F32</f>
        <v>0.042594017094017</v>
      </c>
      <c r="H32" s="105" t="n">
        <f aca="false">+D32+E32/0.7</f>
        <v>0.0599511599511599</v>
      </c>
      <c r="I32" s="107" t="n">
        <f aca="false">IF(F32&gt;D32,100%,70%)</f>
        <v>0.7</v>
      </c>
      <c r="J32" s="108" t="n">
        <f aca="false">+E$12*$K$21*(1+G32)*31</f>
        <v>4935327.29871795</v>
      </c>
      <c r="K32" s="38" t="n">
        <f aca="false">+$E$12*(0.7*$K$21*(H32+1)+0.3*$K$21)*31</f>
        <v>4932353.56410256</v>
      </c>
      <c r="L32" s="38" t="n">
        <f aca="false">ABS(J32-K32)</f>
        <v>2973.7346153846</v>
      </c>
      <c r="M32" s="110" t="n">
        <f aca="false">+$K$21*31*$E$12</f>
        <v>4733700</v>
      </c>
    </row>
    <row r="33" customFormat="false" ht="12.75" hidden="false" customHeight="false" outlineLevel="0" collapsed="false">
      <c r="A33" s="13" t="s">
        <v>33</v>
      </c>
      <c r="B33" s="103" t="n">
        <v>1.14</v>
      </c>
      <c r="C33" s="104" t="n">
        <v>1.11</v>
      </c>
      <c r="D33" s="105" t="n">
        <f aca="false">(B33/C33)-1</f>
        <v>0.0270270270270268</v>
      </c>
      <c r="E33" s="4" t="n">
        <f aca="false">+$F$14</f>
        <v>0.03</v>
      </c>
      <c r="F33" s="106" t="n">
        <f aca="false">+$F$15</f>
        <v>0.015</v>
      </c>
      <c r="G33" s="4" t="n">
        <f aca="false">+D33+E33-0.3*F33</f>
        <v>0.0525270270270268</v>
      </c>
      <c r="H33" s="105" t="n">
        <f aca="false">+D33+E33/0.7</f>
        <v>0.0698841698841696</v>
      </c>
      <c r="I33" s="107" t="n">
        <f aca="false">IF(F33&gt;D33,100%,70%)</f>
        <v>0.7</v>
      </c>
      <c r="J33" s="108" t="n">
        <f aca="false">+E$12*$K$21*(1+G33)*31</f>
        <v>4982347.18783784</v>
      </c>
      <c r="K33" s="38" t="n">
        <f aca="false">+$E$12*(0.7*$K$21*(H33+1)+0.3*$K$21)*31</f>
        <v>4965267.48648649</v>
      </c>
      <c r="L33" s="38" t="n">
        <f aca="false">ABS(J33-K33)</f>
        <v>17079.7013513511</v>
      </c>
      <c r="M33" s="110" t="n">
        <f aca="false">+$K$21*31*$E$12</f>
        <v>4733700</v>
      </c>
    </row>
    <row r="34" customFormat="false" ht="12.75" hidden="false" customHeight="false" outlineLevel="0" collapsed="false">
      <c r="A34" s="13" t="s">
        <v>34</v>
      </c>
      <c r="B34" s="103" t="n">
        <v>1.17</v>
      </c>
      <c r="C34" s="104" t="n">
        <v>1.15</v>
      </c>
      <c r="D34" s="105" t="n">
        <f aca="false">(B34/C34)-1</f>
        <v>0.0173913043478262</v>
      </c>
      <c r="E34" s="4" t="n">
        <f aca="false">+$F$14</f>
        <v>0.03</v>
      </c>
      <c r="F34" s="106" t="n">
        <f aca="false">+$F$15</f>
        <v>0.015</v>
      </c>
      <c r="G34" s="4" t="n">
        <f aca="false">+D34+E34-0.3*F34</f>
        <v>0.0428913043478262</v>
      </c>
      <c r="H34" s="105" t="n">
        <f aca="false">+D34+E34/0.7</f>
        <v>0.0602484472049691</v>
      </c>
      <c r="I34" s="107" t="n">
        <f aca="false">IF(F34&gt;D34,100%,70%)</f>
        <v>0.7</v>
      </c>
      <c r="J34" s="108" t="n">
        <f aca="false">+E$12*$K$21*(1+G34)*30</f>
        <v>4777485.06521739</v>
      </c>
      <c r="K34" s="38" t="n">
        <f aca="false">+$E$12*(0.7*$K$21*(H34+1)+0.3*$K$21)*30</f>
        <v>4774198.69565217</v>
      </c>
      <c r="L34" s="38" t="n">
        <f aca="false">ABS(J34-K34)</f>
        <v>3286.36956521869</v>
      </c>
      <c r="M34" s="110" t="n">
        <f aca="false">+$K$21*30*$E$12</f>
        <v>4581000</v>
      </c>
    </row>
    <row r="35" customFormat="false" ht="12.75" hidden="false" customHeight="false" outlineLevel="0" collapsed="false">
      <c r="A35" s="13" t="s">
        <v>35</v>
      </c>
      <c r="B35" s="103" t="n">
        <v>1.3</v>
      </c>
      <c r="C35" s="104" t="n">
        <v>1.28</v>
      </c>
      <c r="D35" s="105" t="n">
        <f aca="false">(B35/C35)-1</f>
        <v>0.015625</v>
      </c>
      <c r="E35" s="4" t="n">
        <f aca="false">+$F$14</f>
        <v>0.03</v>
      </c>
      <c r="F35" s="106" t="n">
        <f aca="false">+$F$15</f>
        <v>0.015</v>
      </c>
      <c r="G35" s="4" t="n">
        <f aca="false">+D35+E35-0.3*F35</f>
        <v>0.041125</v>
      </c>
      <c r="H35" s="105" t="n">
        <f aca="false">+D35+E35/0.7</f>
        <v>0.0584821428571429</v>
      </c>
      <c r="I35" s="107" t="n">
        <f aca="false">IF(F35&gt;D35,100%,70%)</f>
        <v>0.7</v>
      </c>
      <c r="J35" s="108" t="n">
        <f aca="false">+E$12*$K$21*(1+G35)*31</f>
        <v>4928373.4125</v>
      </c>
      <c r="K35" s="38" t="n">
        <f aca="false">+$E$12*(0.7*$K$21*(H35+1)+0.3*$K$21)*31</f>
        <v>4927485.84375</v>
      </c>
      <c r="L35" s="38" t="n">
        <f aca="false">ABS(J35-K35)</f>
        <v>887.568750000559</v>
      </c>
      <c r="M35" s="110" t="n">
        <f aca="false">+$K$21*31*$E$12</f>
        <v>4733700</v>
      </c>
    </row>
    <row r="36" customFormat="false" ht="12.75" hidden="false" customHeight="false" outlineLevel="0" collapsed="false">
      <c r="A36" s="13" t="s">
        <v>36</v>
      </c>
      <c r="B36" s="103" t="n">
        <v>1.63</v>
      </c>
      <c r="C36" s="104" t="n">
        <v>1.61</v>
      </c>
      <c r="D36" s="105" t="n">
        <f aca="false">(B36/C36)-1</f>
        <v>0.012422360248447</v>
      </c>
      <c r="E36" s="4" t="n">
        <f aca="false">+$F$14</f>
        <v>0.03</v>
      </c>
      <c r="F36" s="106" t="n">
        <f aca="false">+$F$15</f>
        <v>0.015</v>
      </c>
      <c r="G36" s="4" t="n">
        <f aca="false">+D36+E36-0.3*F36</f>
        <v>0.037922360248447</v>
      </c>
      <c r="H36" s="105" t="n">
        <f aca="false">+D36+E36/0.7</f>
        <v>0.0552795031055899</v>
      </c>
      <c r="I36" s="107" t="n">
        <f aca="false">IF(F36&gt;D36,100%,70%)</f>
        <v>1</v>
      </c>
      <c r="J36" s="108" t="n">
        <f aca="false">+E$12*$K$21*(1+G36)*30</f>
        <v>4754722.33229814</v>
      </c>
      <c r="K36" s="38" t="n">
        <f aca="false">+$E$12*(0.7*$K$21*(H36+1)+0.3*$K$21)*30</f>
        <v>4758264.78260869</v>
      </c>
      <c r="L36" s="38" t="n">
        <f aca="false">ABS(J36-K36)</f>
        <v>3542.45031055808</v>
      </c>
      <c r="M36" s="110" t="n">
        <f aca="false">+$K$21*30*$E$12</f>
        <v>4581000</v>
      </c>
    </row>
    <row r="37" customFormat="false" ht="13.5" hidden="false" customHeight="false" outlineLevel="0" collapsed="false">
      <c r="A37" s="13" t="s">
        <v>37</v>
      </c>
      <c r="B37" s="103" t="n">
        <v>1.68</v>
      </c>
      <c r="C37" s="104" t="n">
        <v>1.65</v>
      </c>
      <c r="D37" s="111" t="n">
        <f aca="false">(B37/C37)-1</f>
        <v>0.0181818181818183</v>
      </c>
      <c r="E37" s="4" t="n">
        <f aca="false">+$F$14</f>
        <v>0.03</v>
      </c>
      <c r="F37" s="112" t="n">
        <f aca="false">+$F$15</f>
        <v>0.015</v>
      </c>
      <c r="G37" s="4" t="n">
        <f aca="false">+D37+E37-0.3*F37</f>
        <v>0.0436818181818183</v>
      </c>
      <c r="H37" s="111" t="n">
        <f aca="false">+D37+E37/0.7</f>
        <v>0.0610389610389612</v>
      </c>
      <c r="I37" s="107" t="n">
        <f aca="false">IF(F37&gt;D37,100%,70%)</f>
        <v>0.7</v>
      </c>
      <c r="J37" s="113" t="n">
        <f aca="false">+E$12*$K$21*(1+G37)*31</f>
        <v>4940476.62272727</v>
      </c>
      <c r="K37" s="68" t="n">
        <f aca="false">+$E$12*(0.7*$K$21*(H37+1)+0.3*$K$21)*31</f>
        <v>4935958.09090909</v>
      </c>
      <c r="L37" s="68" t="n">
        <f aca="false">ABS(J37-K37)</f>
        <v>4518.53181818221</v>
      </c>
      <c r="M37" s="110" t="n">
        <f aca="false">+$K$21*31*$E$12</f>
        <v>4733700</v>
      </c>
    </row>
    <row r="38" customFormat="false" ht="13.5" hidden="false" customHeight="false" outlineLevel="0" collapsed="false">
      <c r="A38" s="41" t="s">
        <v>38</v>
      </c>
      <c r="B38" s="114"/>
      <c r="C38" s="24"/>
      <c r="D38" s="115"/>
      <c r="E38" s="115"/>
      <c r="F38" s="24"/>
      <c r="G38" s="115"/>
      <c r="H38" s="115"/>
      <c r="I38" s="24"/>
      <c r="J38" s="43" t="n">
        <f aca="false">SUM(J26:J37)</f>
        <v>58294969.2256587</v>
      </c>
      <c r="K38" s="116" t="n">
        <f aca="false">SUM(K26:K37)</f>
        <v>58251980.0879611</v>
      </c>
      <c r="L38" s="43" t="n">
        <f aca="false">SUM(L26:L37)</f>
        <v>69765.2987829577</v>
      </c>
      <c r="M38" s="43" t="n">
        <f aca="false">SUM(M26:M37)</f>
        <v>55888200</v>
      </c>
      <c r="N38" s="44" t="n">
        <f aca="false">+K26+K27+SUM(J28:J35)+K36+J37</f>
        <v>58308357.3062014</v>
      </c>
    </row>
    <row r="39" customFormat="false" ht="12.75" hidden="false" customHeight="false" outlineLevel="0" collapsed="false">
      <c r="J39" s="44"/>
    </row>
    <row r="40" customFormat="false" ht="12.75" hidden="false" customHeight="false" outlineLevel="0" collapsed="false">
      <c r="J40" s="44"/>
    </row>
    <row r="42" customFormat="false" ht="13.5" hidden="false" customHeight="false" outlineLevel="0" collapsed="false"/>
    <row r="43" customFormat="false" ht="12.75" hidden="false" customHeight="false" outlineLevel="0" collapsed="false">
      <c r="A43" s="45" t="s">
        <v>39</v>
      </c>
      <c r="B43" s="46" t="s">
        <v>40</v>
      </c>
      <c r="C43" s="47" t="s">
        <v>41</v>
      </c>
      <c r="D43" s="48" t="s">
        <v>42</v>
      </c>
      <c r="E43" s="49" t="s">
        <v>43</v>
      </c>
    </row>
    <row r="44" customFormat="false" ht="12.75" hidden="false" customHeight="false" outlineLevel="0" collapsed="false">
      <c r="A44" s="50"/>
      <c r="B44" s="51" t="s">
        <v>44</v>
      </c>
      <c r="C44" s="52" t="s">
        <v>45</v>
      </c>
      <c r="D44" s="53" t="s">
        <v>41</v>
      </c>
      <c r="E44" s="54" t="s">
        <v>42</v>
      </c>
    </row>
    <row r="45" customFormat="false" ht="12.75" hidden="false" customHeight="false" outlineLevel="0" collapsed="false">
      <c r="A45" s="50"/>
      <c r="B45" s="55" t="n">
        <v>0.05</v>
      </c>
      <c r="C45" s="52"/>
      <c r="D45" s="53" t="s">
        <v>45</v>
      </c>
      <c r="E45" s="54" t="s">
        <v>41</v>
      </c>
    </row>
    <row r="46" customFormat="false" ht="13.5" hidden="false" customHeight="false" outlineLevel="0" collapsed="false">
      <c r="A46" s="56"/>
      <c r="B46" s="57"/>
      <c r="C46" s="117"/>
      <c r="D46" s="58"/>
      <c r="E46" s="59" t="s">
        <v>45</v>
      </c>
    </row>
    <row r="47" customFormat="false" ht="12.75" hidden="false" customHeight="false" outlineLevel="0" collapsed="false">
      <c r="A47" s="60" t="n">
        <v>2000</v>
      </c>
      <c r="B47" s="118" t="n">
        <f aca="false">EXP(-$B$45*3/2)</f>
        <v>0.927743486328553</v>
      </c>
      <c r="C47" s="119" t="n">
        <f aca="false">+$N$38-$M$38</f>
        <v>2420157.30620139</v>
      </c>
      <c r="D47" s="62" t="n">
        <f aca="false">+C47*B47</f>
        <v>2245285.1767188</v>
      </c>
      <c r="E47" s="63" t="n">
        <f aca="false">+D47</f>
        <v>2245285.1767188</v>
      </c>
    </row>
    <row r="48" customFormat="false" ht="12.75" hidden="false" customHeight="false" outlineLevel="0" collapsed="false">
      <c r="A48" s="64" t="n">
        <v>2001</v>
      </c>
      <c r="B48" s="105" t="n">
        <f aca="false">EXP(-$B$45)*B47</f>
        <v>0.882496902584595</v>
      </c>
      <c r="C48" s="39" t="n">
        <f aca="false">+$N$38-$M$38</f>
        <v>2420157.30620139</v>
      </c>
      <c r="D48" s="38" t="n">
        <f aca="false">+C48*B48</f>
        <v>2135781.32649021</v>
      </c>
      <c r="E48" s="65" t="n">
        <f aca="false">+E47+D48</f>
        <v>4381066.503209</v>
      </c>
    </row>
    <row r="49" customFormat="false" ht="12.75" hidden="false" customHeight="false" outlineLevel="0" collapsed="false">
      <c r="A49" s="64" t="n">
        <v>2002</v>
      </c>
      <c r="B49" s="105" t="n">
        <f aca="false">EXP(-$B$45)*B48</f>
        <v>0.839457020769207</v>
      </c>
      <c r="C49" s="39" t="n">
        <f aca="false">+$N$38-$M$38</f>
        <v>2420157.30620139</v>
      </c>
      <c r="D49" s="38" t="n">
        <f aca="false">+C49*B49</f>
        <v>2031618.04205665</v>
      </c>
      <c r="E49" s="65" t="n">
        <f aca="false">+E48+D49</f>
        <v>6412684.54526565</v>
      </c>
    </row>
    <row r="50" customFormat="false" ht="12.75" hidden="false" customHeight="false" outlineLevel="0" collapsed="false">
      <c r="A50" s="64" t="n">
        <v>2003</v>
      </c>
      <c r="B50" s="105" t="n">
        <f aca="false">EXP(-$B$45)*B49</f>
        <v>0.798516218759377</v>
      </c>
      <c r="C50" s="39" t="n">
        <f aca="false">+$N$38-$M$38</f>
        <v>2420157.30620139</v>
      </c>
      <c r="D50" s="38" t="n">
        <f aca="false">+C50*B50</f>
        <v>1932534.86095081</v>
      </c>
      <c r="E50" s="65" t="n">
        <f aca="false">+E49+D50</f>
        <v>8345219.40621647</v>
      </c>
    </row>
    <row r="51" customFormat="false" ht="12.75" hidden="false" customHeight="false" outlineLevel="0" collapsed="false">
      <c r="A51" s="64" t="n">
        <v>2004</v>
      </c>
      <c r="B51" s="105" t="n">
        <f aca="false">EXP(-$B$45)*B50</f>
        <v>0.759572123224969</v>
      </c>
      <c r="C51" s="39" t="n">
        <f aca="false">+$N$38-$M$38</f>
        <v>2420157.30620139</v>
      </c>
      <c r="D51" s="38" t="n">
        <f aca="false">+C51*B51</f>
        <v>1838284.02360981</v>
      </c>
      <c r="E51" s="65" t="n">
        <f aca="false">+E50+D51</f>
        <v>10183503.4298263</v>
      </c>
    </row>
    <row r="52" customFormat="false" ht="12.75" hidden="false" customHeight="false" outlineLevel="0" collapsed="false">
      <c r="A52" s="64" t="n">
        <v>2005</v>
      </c>
      <c r="B52" s="105" t="n">
        <f aca="false">EXP(-$B$45)*B51</f>
        <v>0.722527353642072</v>
      </c>
      <c r="C52" s="39" t="n">
        <f aca="false">+$N$38-$M$38</f>
        <v>2420157.30620139</v>
      </c>
      <c r="D52" s="38" t="n">
        <f aca="false">+C52*B52</f>
        <v>1748629.85384722</v>
      </c>
      <c r="E52" s="65" t="n">
        <f aca="false">+E51+D52</f>
        <v>11932133.2836735</v>
      </c>
    </row>
    <row r="53" customFormat="false" ht="12.75" hidden="false" customHeight="false" outlineLevel="0" collapsed="false">
      <c r="A53" s="64" t="n">
        <v>2006</v>
      </c>
      <c r="B53" s="105" t="n">
        <f aca="false">EXP(-$B$45)*B52</f>
        <v>0.687289278790972</v>
      </c>
      <c r="C53" s="39" t="n">
        <f aca="false">+$N$38-$M$38</f>
        <v>2420157.30620139</v>
      </c>
      <c r="D53" s="38" t="n">
        <f aca="false">+C53*B53</f>
        <v>1663348.16953986</v>
      </c>
      <c r="E53" s="65" t="n">
        <f aca="false">+E52+D53</f>
        <v>13595481.4532134</v>
      </c>
    </row>
    <row r="54" customFormat="false" ht="13.5" hidden="false" customHeight="false" outlineLevel="0" collapsed="false">
      <c r="A54" s="64" t="n">
        <v>2007</v>
      </c>
      <c r="B54" s="105" t="n">
        <f aca="false">EXP(-$B$45)*B53</f>
        <v>0.653769785129847</v>
      </c>
      <c r="C54" s="39" t="n">
        <f aca="false">+$N$38-$M$38</f>
        <v>2420157.30620139</v>
      </c>
      <c r="D54" s="38" t="n">
        <f aca="false">+C54*B54</f>
        <v>1582225.72205571</v>
      </c>
      <c r="E54" s="65" t="n">
        <f aca="false">+E53+D54</f>
        <v>15177707.1752691</v>
      </c>
    </row>
    <row r="55" customFormat="false" ht="13.5" hidden="false" customHeight="false" outlineLevel="0" collapsed="false">
      <c r="A55" s="66" t="n">
        <v>2008</v>
      </c>
      <c r="B55" s="111" t="n">
        <f aca="false">EXP(-$B$45)*B54</f>
        <v>0.62188505646502</v>
      </c>
      <c r="C55" s="120" t="n">
        <f aca="false">+$N$38-$M$38</f>
        <v>2420157.30620139</v>
      </c>
      <c r="D55" s="68" t="n">
        <f aca="false">+C55*B55</f>
        <v>1505059.66302128</v>
      </c>
      <c r="E55" s="70" t="n">
        <f aca="false">+E54+D55</f>
        <v>16682766.8382903</v>
      </c>
    </row>
    <row r="56" customFormat="false" ht="13.5" hidden="false" customHeight="false" outlineLevel="0" collapsed="false">
      <c r="C56" s="121" t="n">
        <f aca="false">SUM(C47:C55)</f>
        <v>21781415.7558125</v>
      </c>
      <c r="D56" s="43" t="n">
        <f aca="false">SUM(D47:D55)</f>
        <v>16682766.8382903</v>
      </c>
    </row>
  </sheetData>
  <mergeCells count="9">
    <mergeCell ref="A1:L1"/>
    <mergeCell ref="A2:L2"/>
    <mergeCell ref="A3:L3"/>
    <mergeCell ref="A4:L4"/>
    <mergeCell ref="A8:D8"/>
    <mergeCell ref="A9:D9"/>
    <mergeCell ref="A10:D10"/>
    <mergeCell ref="A11:D11"/>
    <mergeCell ref="F13:I13"/>
  </mergeCells>
  <printOptions headings="false" gridLines="false" gridLinesSet="true" horizontalCentered="true" verticalCentered="tru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" width="9.14"/>
    <col collapsed="false" customWidth="true" hidden="false" outlineLevel="0" max="2" min="2" style="3" width="10.28"/>
    <col collapsed="false" customWidth="true" hidden="false" outlineLevel="0" max="3" min="3" style="3" width="11.13"/>
    <col collapsed="false" customWidth="true" hidden="false" outlineLevel="0" max="4" min="4" style="3" width="14.99"/>
    <col collapsed="false" customWidth="true" hidden="false" outlineLevel="0" max="5" min="5" style="3" width="11.85"/>
    <col collapsed="false" customWidth="false" hidden="false" outlineLevel="0" max="6" min="6" style="3" width="9.14"/>
    <col collapsed="false" customWidth="true" hidden="false" outlineLevel="0" max="7" min="7" style="3" width="9.85"/>
    <col collapsed="false" customWidth="false" hidden="false" outlineLevel="0" max="257" min="8" style="3" width="9.14"/>
  </cols>
  <sheetData>
    <row r="1" customFormat="false" ht="27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7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27.75" hidden="false" customHeight="false" outlineLevel="0" collapsed="false">
      <c r="A3" s="1" t="s">
        <v>83</v>
      </c>
      <c r="B3" s="1"/>
      <c r="C3" s="1"/>
      <c r="D3" s="1"/>
      <c r="E3" s="1"/>
      <c r="F3" s="1"/>
      <c r="G3" s="1"/>
      <c r="H3" s="1"/>
    </row>
    <row r="5" customFormat="false" ht="12.75" hidden="false" customHeight="false" outlineLevel="0" collapsed="false">
      <c r="A5" s="31" t="s">
        <v>4</v>
      </c>
      <c r="B5" s="31"/>
      <c r="C5" s="122" t="n">
        <v>33386</v>
      </c>
    </row>
    <row r="6" customFormat="false" ht="12.75" hidden="false" customHeight="false" outlineLevel="0" collapsed="false">
      <c r="A6" s="31" t="s">
        <v>5</v>
      </c>
      <c r="B6" s="31"/>
      <c r="C6" s="3" t="s">
        <v>84</v>
      </c>
    </row>
    <row r="7" customFormat="false" ht="12.75" hidden="false" customHeight="false" outlineLevel="0" collapsed="false">
      <c r="A7" s="31" t="s">
        <v>85</v>
      </c>
      <c r="B7" s="31"/>
      <c r="C7" s="123" t="n">
        <v>36000</v>
      </c>
      <c r="D7" s="124" t="s">
        <v>86</v>
      </c>
    </row>
    <row r="8" customFormat="false" ht="13.5" hidden="false" customHeight="false" outlineLevel="0" collapsed="false"/>
    <row r="9" customFormat="false" ht="13.5" hidden="false" customHeight="false" outlineLevel="0" collapsed="false">
      <c r="A9" s="32"/>
      <c r="B9" s="41" t="s">
        <v>52</v>
      </c>
      <c r="C9" s="41" t="s">
        <v>87</v>
      </c>
      <c r="D9" s="41" t="s">
        <v>88</v>
      </c>
      <c r="E9" s="41" t="s">
        <v>89</v>
      </c>
      <c r="F9" s="41" t="s">
        <v>90</v>
      </c>
      <c r="G9" s="41" t="s">
        <v>91</v>
      </c>
      <c r="H9" s="41" t="s">
        <v>92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125" t="s">
        <v>93</v>
      </c>
      <c r="B10" s="125" t="s">
        <v>17</v>
      </c>
      <c r="C10" s="10" t="s">
        <v>94</v>
      </c>
      <c r="D10" s="10" t="s">
        <v>17</v>
      </c>
      <c r="E10" s="125" t="s">
        <v>95</v>
      </c>
      <c r="F10" s="10" t="s">
        <v>96</v>
      </c>
      <c r="G10" s="85" t="s">
        <v>97</v>
      </c>
      <c r="H10" s="10" t="s">
        <v>98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126"/>
      <c r="B11" s="126" t="s">
        <v>19</v>
      </c>
      <c r="C11" s="13" t="s">
        <v>99</v>
      </c>
      <c r="D11" s="13" t="s">
        <v>19</v>
      </c>
      <c r="E11" s="126" t="s">
        <v>19</v>
      </c>
      <c r="F11" s="13" t="s">
        <v>100</v>
      </c>
      <c r="G11" s="31" t="s">
        <v>101</v>
      </c>
      <c r="H11" s="1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A12" s="126"/>
      <c r="B12" s="126" t="s">
        <v>102</v>
      </c>
      <c r="C12" s="13"/>
      <c r="D12" s="13" t="s">
        <v>103</v>
      </c>
      <c r="E12" s="126" t="s">
        <v>75</v>
      </c>
      <c r="F12" s="13" t="s">
        <v>75</v>
      </c>
      <c r="G12" s="31" t="s">
        <v>104</v>
      </c>
      <c r="H12" s="13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2.75" hidden="false" customHeight="false" outlineLevel="0" collapsed="false">
      <c r="A13" s="126"/>
      <c r="B13" s="126" t="s">
        <v>105</v>
      </c>
      <c r="C13" s="13"/>
      <c r="D13" s="13" t="s">
        <v>79</v>
      </c>
      <c r="E13" s="126"/>
      <c r="F13" s="13"/>
      <c r="G13" s="31" t="s">
        <v>106</v>
      </c>
      <c r="H13" s="13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3.5" hidden="false" customHeight="false" outlineLevel="0" collapsed="false">
      <c r="A14" s="127"/>
      <c r="B14" s="127" t="s">
        <v>99</v>
      </c>
      <c r="C14" s="14"/>
      <c r="D14" s="14" t="s">
        <v>75</v>
      </c>
      <c r="E14" s="127"/>
      <c r="F14" s="14"/>
      <c r="G14" s="98" t="s">
        <v>75</v>
      </c>
      <c r="H14" s="1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3.5" hidden="false" customHeight="false" outlineLevel="0" collapsed="false">
      <c r="A15" s="128" t="s">
        <v>107</v>
      </c>
      <c r="B15" s="129" t="n">
        <v>8.82773</v>
      </c>
      <c r="C15" s="130" t="n">
        <v>1.74585</v>
      </c>
      <c r="D15" s="130" t="n">
        <f aca="false">SUM(B15:C15)*12/365</f>
        <v>0.347624547945206</v>
      </c>
      <c r="E15" s="131" t="n">
        <v>0.0162</v>
      </c>
      <c r="F15" s="132" t="n">
        <v>0.011</v>
      </c>
      <c r="G15" s="133" t="n">
        <f aca="false">SUM(D15:F15)</f>
        <v>0.374824547945206</v>
      </c>
      <c r="H15" s="134" t="n">
        <v>0.0495</v>
      </c>
    </row>
  </sheetData>
  <mergeCells count="6">
    <mergeCell ref="A1:H1"/>
    <mergeCell ref="A2:H2"/>
    <mergeCell ref="A3:H3"/>
    <mergeCell ref="A5:B5"/>
    <mergeCell ref="A6:B6"/>
    <mergeCell ref="A7:B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1" activeCellId="0" sqref="D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41"/>
    <col collapsed="false" customWidth="true" hidden="false" outlineLevel="0" max="3" min="3" style="0" width="10.85"/>
    <col collapsed="false" customWidth="true" hidden="false" outlineLevel="0" max="4" min="4" style="0" width="17.14"/>
    <col collapsed="false" customWidth="true" hidden="false" outlineLevel="0" max="5" min="5" style="0" width="12.42"/>
  </cols>
  <sheetData>
    <row r="1" customFormat="false" ht="27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7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27.75" hidden="false" customHeight="false" outlineLevel="0" collapsed="false">
      <c r="A3" s="1" t="s">
        <v>108</v>
      </c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75" hidden="false" customHeight="false" outlineLevel="0" collapsed="false">
      <c r="A5" s="31" t="s">
        <v>4</v>
      </c>
      <c r="B5" s="31"/>
      <c r="C5" s="122" t="n">
        <v>34151</v>
      </c>
      <c r="D5" s="3"/>
      <c r="E5" s="3"/>
      <c r="F5" s="3"/>
      <c r="G5" s="3"/>
      <c r="H5" s="3"/>
    </row>
    <row r="6" customFormat="false" ht="12.75" hidden="false" customHeight="false" outlineLevel="0" collapsed="false">
      <c r="A6" s="31" t="s">
        <v>5</v>
      </c>
      <c r="B6" s="31"/>
      <c r="C6" s="3" t="s">
        <v>6</v>
      </c>
      <c r="D6" s="3"/>
      <c r="E6" s="3"/>
      <c r="F6" s="3"/>
      <c r="G6" s="3"/>
      <c r="H6" s="3"/>
    </row>
    <row r="7" customFormat="false" ht="12.75" hidden="false" customHeight="false" outlineLevel="0" collapsed="false">
      <c r="A7" s="31" t="s">
        <v>85</v>
      </c>
      <c r="B7" s="31"/>
      <c r="C7" s="123" t="n">
        <v>50900</v>
      </c>
      <c r="D7" s="124" t="s">
        <v>12</v>
      </c>
      <c r="E7" s="3"/>
      <c r="F7" s="3"/>
      <c r="G7" s="3"/>
      <c r="H7" s="3"/>
    </row>
    <row r="8" customFormat="false" ht="13.5" hidden="false" customHeight="fals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13.5" hidden="false" customHeight="false" outlineLevel="0" collapsed="false">
      <c r="A9" s="32"/>
      <c r="B9" s="41" t="s">
        <v>52</v>
      </c>
      <c r="C9" s="41" t="s">
        <v>87</v>
      </c>
      <c r="D9" s="41" t="s">
        <v>88</v>
      </c>
      <c r="E9" s="41" t="s">
        <v>89</v>
      </c>
      <c r="F9" s="41" t="s">
        <v>90</v>
      </c>
      <c r="G9" s="41" t="s">
        <v>91</v>
      </c>
      <c r="H9" s="41" t="s">
        <v>92</v>
      </c>
    </row>
    <row r="10" customFormat="false" ht="12.75" hidden="false" customHeight="false" outlineLevel="0" collapsed="false">
      <c r="A10" s="125" t="s">
        <v>93</v>
      </c>
      <c r="B10" s="125" t="s">
        <v>17</v>
      </c>
      <c r="C10" s="10" t="s">
        <v>109</v>
      </c>
      <c r="D10" s="10" t="s">
        <v>17</v>
      </c>
      <c r="E10" s="125" t="s">
        <v>95</v>
      </c>
      <c r="F10" s="10" t="s">
        <v>96</v>
      </c>
      <c r="G10" s="85" t="s">
        <v>97</v>
      </c>
      <c r="H10" s="10" t="s">
        <v>98</v>
      </c>
    </row>
    <row r="11" customFormat="false" ht="12.75" hidden="false" customHeight="false" outlineLevel="0" collapsed="false">
      <c r="A11" s="126"/>
      <c r="B11" s="126" t="s">
        <v>19</v>
      </c>
      <c r="C11" s="13" t="s">
        <v>99</v>
      </c>
      <c r="D11" s="13" t="s">
        <v>19</v>
      </c>
      <c r="E11" s="126" t="s">
        <v>19</v>
      </c>
      <c r="F11" s="13" t="s">
        <v>100</v>
      </c>
      <c r="G11" s="31" t="s">
        <v>101</v>
      </c>
      <c r="H11" s="13"/>
    </row>
    <row r="12" customFormat="false" ht="12.75" hidden="false" customHeight="false" outlineLevel="0" collapsed="false">
      <c r="A12" s="126"/>
      <c r="B12" s="13" t="s">
        <v>99</v>
      </c>
      <c r="C12" s="13"/>
      <c r="D12" s="13" t="s">
        <v>103</v>
      </c>
      <c r="E12" s="126" t="s">
        <v>75</v>
      </c>
      <c r="F12" s="13" t="s">
        <v>75</v>
      </c>
      <c r="G12" s="31" t="s">
        <v>104</v>
      </c>
      <c r="H12" s="13"/>
    </row>
    <row r="13" customFormat="false" ht="12.75" hidden="false" customHeight="false" outlineLevel="0" collapsed="false">
      <c r="A13" s="126"/>
      <c r="B13" s="126"/>
      <c r="C13" s="13"/>
      <c r="D13" s="13" t="s">
        <v>79</v>
      </c>
      <c r="E13" s="126"/>
      <c r="F13" s="13"/>
      <c r="G13" s="31" t="s">
        <v>106</v>
      </c>
      <c r="H13" s="13"/>
    </row>
    <row r="14" customFormat="false" ht="13.5" hidden="false" customHeight="false" outlineLevel="0" collapsed="false">
      <c r="A14" s="127"/>
      <c r="B14" s="127"/>
      <c r="C14" s="14"/>
      <c r="D14" s="14" t="s">
        <v>75</v>
      </c>
      <c r="E14" s="127"/>
      <c r="F14" s="14"/>
      <c r="G14" s="98" t="s">
        <v>75</v>
      </c>
      <c r="H14" s="14"/>
    </row>
    <row r="15" customFormat="false" ht="13.5" hidden="false" customHeight="false" outlineLevel="0" collapsed="false">
      <c r="A15" s="128" t="s">
        <v>110</v>
      </c>
      <c r="B15" s="135" t="n">
        <v>19.98</v>
      </c>
      <c r="C15" s="132" t="n">
        <v>0.1623</v>
      </c>
      <c r="D15" s="132" t="n">
        <f aca="false">+(B15+C15)*0.0328767123287671</f>
        <v>0.662212602739726</v>
      </c>
      <c r="E15" s="131" t="n">
        <v>0.0021</v>
      </c>
      <c r="F15" s="132" t="n">
        <f aca="false">0.0022+0.0089</f>
        <v>0.0111</v>
      </c>
      <c r="G15" s="136" t="n">
        <f aca="false">+D15+E15+F15</f>
        <v>0.675412602739726</v>
      </c>
      <c r="H15" s="134"/>
    </row>
  </sheetData>
  <mergeCells count="6">
    <mergeCell ref="A1:H1"/>
    <mergeCell ref="A2:H2"/>
    <mergeCell ref="A3:H3"/>
    <mergeCell ref="A5:B5"/>
    <mergeCell ref="A6:B6"/>
    <mergeCell ref="A7:B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28"/>
    <col collapsed="false" customWidth="true" hidden="false" outlineLevel="0" max="4" min="4" style="0" width="15.7"/>
    <col collapsed="false" customWidth="true" hidden="false" outlineLevel="0" max="5" min="5" style="0" width="11.99"/>
    <col collapsed="false" customWidth="true" hidden="false" outlineLevel="0" max="7" min="7" style="0" width="10.99"/>
  </cols>
  <sheetData>
    <row r="1" customFormat="false" ht="27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27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</row>
    <row r="3" customFormat="false" ht="27.75" hidden="false" customHeight="false" outlineLevel="0" collapsed="false">
      <c r="A3" s="1" t="s">
        <v>111</v>
      </c>
      <c r="B3" s="1"/>
      <c r="C3" s="1"/>
      <c r="D3" s="1"/>
      <c r="E3" s="1"/>
      <c r="F3" s="1"/>
      <c r="G3" s="1"/>
      <c r="H3" s="1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75" hidden="false" customHeight="false" outlineLevel="0" collapsed="false">
      <c r="A5" s="31" t="s">
        <v>4</v>
      </c>
      <c r="B5" s="31"/>
      <c r="C5" s="122"/>
      <c r="D5" s="3"/>
      <c r="E5" s="3"/>
      <c r="F5" s="3"/>
      <c r="G5" s="3"/>
      <c r="H5" s="3"/>
    </row>
    <row r="6" customFormat="false" ht="12.75" hidden="false" customHeight="false" outlineLevel="0" collapsed="false">
      <c r="A6" s="31" t="s">
        <v>5</v>
      </c>
      <c r="B6" s="31"/>
      <c r="C6" s="3"/>
      <c r="D6" s="3"/>
      <c r="E6" s="3"/>
      <c r="F6" s="3"/>
      <c r="G6" s="3"/>
      <c r="H6" s="3"/>
    </row>
    <row r="7" customFormat="false" ht="12.75" hidden="false" customHeight="false" outlineLevel="0" collapsed="false">
      <c r="A7" s="31" t="s">
        <v>85</v>
      </c>
      <c r="B7" s="31"/>
      <c r="C7" s="123"/>
      <c r="D7" s="124" t="s">
        <v>12</v>
      </c>
      <c r="E7" s="3"/>
      <c r="F7" s="3"/>
      <c r="G7" s="3"/>
      <c r="H7" s="3"/>
    </row>
    <row r="8" customFormat="false" ht="13.5" hidden="false" customHeight="false" outlineLevel="0" collapsed="false">
      <c r="A8" s="3"/>
      <c r="B8" s="3"/>
      <c r="C8" s="3"/>
      <c r="D8" s="3"/>
      <c r="E8" s="3"/>
      <c r="F8" s="3"/>
      <c r="G8" s="3"/>
      <c r="H8" s="3"/>
    </row>
    <row r="9" customFormat="false" ht="13.5" hidden="false" customHeight="false" outlineLevel="0" collapsed="false">
      <c r="A9" s="32"/>
      <c r="B9" s="41" t="s">
        <v>52</v>
      </c>
      <c r="C9" s="41" t="s">
        <v>87</v>
      </c>
      <c r="D9" s="41" t="s">
        <v>88</v>
      </c>
      <c r="E9" s="41" t="s">
        <v>89</v>
      </c>
      <c r="F9" s="41" t="s">
        <v>90</v>
      </c>
      <c r="G9" s="41" t="s">
        <v>91</v>
      </c>
      <c r="H9" s="41" t="s">
        <v>92</v>
      </c>
    </row>
    <row r="10" customFormat="false" ht="12.75" hidden="false" customHeight="false" outlineLevel="0" collapsed="false">
      <c r="A10" s="125" t="s">
        <v>93</v>
      </c>
      <c r="B10" s="125" t="s">
        <v>17</v>
      </c>
      <c r="C10" s="10" t="s">
        <v>94</v>
      </c>
      <c r="D10" s="10" t="s">
        <v>17</v>
      </c>
      <c r="E10" s="125" t="s">
        <v>95</v>
      </c>
      <c r="F10" s="10" t="s">
        <v>96</v>
      </c>
      <c r="G10" s="85" t="s">
        <v>97</v>
      </c>
      <c r="H10" s="10" t="s">
        <v>98</v>
      </c>
    </row>
    <row r="11" customFormat="false" ht="12.75" hidden="false" customHeight="false" outlineLevel="0" collapsed="false">
      <c r="A11" s="126"/>
      <c r="B11" s="126" t="s">
        <v>19</v>
      </c>
      <c r="C11" s="13" t="s">
        <v>99</v>
      </c>
      <c r="D11" s="13" t="s">
        <v>19</v>
      </c>
      <c r="E11" s="126" t="s">
        <v>19</v>
      </c>
      <c r="F11" s="13" t="s">
        <v>100</v>
      </c>
      <c r="G11" s="31" t="s">
        <v>101</v>
      </c>
      <c r="H11" s="13"/>
    </row>
    <row r="12" customFormat="false" ht="12.75" hidden="false" customHeight="false" outlineLevel="0" collapsed="false">
      <c r="A12" s="126"/>
      <c r="B12" s="126" t="s">
        <v>102</v>
      </c>
      <c r="C12" s="13"/>
      <c r="D12" s="13" t="s">
        <v>103</v>
      </c>
      <c r="E12" s="126" t="s">
        <v>75</v>
      </c>
      <c r="F12" s="13" t="s">
        <v>75</v>
      </c>
      <c r="G12" s="31" t="s">
        <v>104</v>
      </c>
      <c r="H12" s="13"/>
    </row>
    <row r="13" customFormat="false" ht="12.75" hidden="false" customHeight="false" outlineLevel="0" collapsed="false">
      <c r="A13" s="126"/>
      <c r="B13" s="126" t="s">
        <v>105</v>
      </c>
      <c r="C13" s="13"/>
      <c r="D13" s="13" t="s">
        <v>79</v>
      </c>
      <c r="E13" s="126"/>
      <c r="F13" s="13"/>
      <c r="G13" s="31" t="s">
        <v>106</v>
      </c>
      <c r="H13" s="13"/>
    </row>
    <row r="14" customFormat="false" ht="13.5" hidden="false" customHeight="false" outlineLevel="0" collapsed="false">
      <c r="A14" s="127"/>
      <c r="B14" s="127" t="s">
        <v>99</v>
      </c>
      <c r="C14" s="14"/>
      <c r="D14" s="14" t="s">
        <v>75</v>
      </c>
      <c r="E14" s="127"/>
      <c r="F14" s="14"/>
      <c r="G14" s="98" t="s">
        <v>75</v>
      </c>
      <c r="H14" s="14"/>
    </row>
    <row r="15" customFormat="false" ht="13.5" hidden="false" customHeight="false" outlineLevel="0" collapsed="false">
      <c r="A15" s="128" t="s">
        <v>107</v>
      </c>
      <c r="B15" s="129"/>
      <c r="C15" s="130"/>
      <c r="D15" s="130" t="n">
        <v>0.328</v>
      </c>
      <c r="E15" s="131" t="n">
        <v>0.001</v>
      </c>
      <c r="F15" s="132" t="n">
        <v>0.011</v>
      </c>
      <c r="G15" s="133" t="n">
        <f aca="false">SUM(D15:F15)</f>
        <v>0.34</v>
      </c>
      <c r="H15" s="134"/>
    </row>
  </sheetData>
  <mergeCells count="6">
    <mergeCell ref="A1:H1"/>
    <mergeCell ref="A2:H2"/>
    <mergeCell ref="A3:H3"/>
    <mergeCell ref="A5:B5"/>
    <mergeCell ref="A6:B6"/>
    <mergeCell ref="A7:B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3" min="3" style="0" width="25.7"/>
    <col collapsed="false" customWidth="true" hidden="false" outlineLevel="0" max="5" min="5" style="0" width="11.42"/>
  </cols>
  <sheetData>
    <row r="1" customFormat="false" ht="18" hidden="false" customHeight="false" outlineLevel="0" collapsed="false">
      <c r="A1" s="137" t="s">
        <v>112</v>
      </c>
      <c r="B1" s="137"/>
      <c r="C1" s="137"/>
      <c r="D1" s="137"/>
      <c r="E1" s="137"/>
    </row>
    <row r="2" customFormat="false" ht="18.75" hidden="false" customHeight="false" outlineLevel="0" collapsed="false">
      <c r="A2" s="138"/>
      <c r="B2" s="3"/>
      <c r="C2" s="3"/>
      <c r="D2" s="139"/>
      <c r="E2" s="3"/>
    </row>
    <row r="3" customFormat="false" ht="12.75" hidden="false" customHeight="false" outlineLevel="0" collapsed="false">
      <c r="A3" s="140" t="s">
        <v>113</v>
      </c>
      <c r="B3" s="140" t="s">
        <v>114</v>
      </c>
      <c r="C3" s="141" t="s">
        <v>98</v>
      </c>
      <c r="D3" s="142" t="s">
        <v>115</v>
      </c>
      <c r="E3" s="10" t="s">
        <v>116</v>
      </c>
    </row>
    <row r="4" customFormat="false" ht="12.75" hidden="false" customHeight="false" outlineLevel="0" collapsed="false">
      <c r="A4" s="143" t="s">
        <v>117</v>
      </c>
      <c r="B4" s="143" t="s">
        <v>118</v>
      </c>
      <c r="C4" s="144"/>
      <c r="D4" s="145" t="s">
        <v>119</v>
      </c>
      <c r="E4" s="13" t="s">
        <v>120</v>
      </c>
    </row>
    <row r="5" customFormat="false" ht="13.5" hidden="false" customHeight="false" outlineLevel="0" collapsed="false">
      <c r="A5" s="146"/>
      <c r="B5" s="146"/>
      <c r="C5" s="147"/>
      <c r="D5" s="148"/>
      <c r="E5" s="14" t="s">
        <v>121</v>
      </c>
    </row>
    <row r="6" customFormat="false" ht="12.75" hidden="false" customHeight="false" outlineLevel="0" collapsed="false">
      <c r="A6" s="13" t="s">
        <v>122</v>
      </c>
      <c r="B6" s="149" t="s">
        <v>123</v>
      </c>
      <c r="C6" s="149" t="s">
        <v>124</v>
      </c>
      <c r="D6" s="150" t="n">
        <v>19</v>
      </c>
      <c r="E6" s="149" t="n">
        <v>1972</v>
      </c>
    </row>
    <row r="7" customFormat="false" ht="12.75" hidden="false" customHeight="false" outlineLevel="0" collapsed="false">
      <c r="A7" s="13"/>
      <c r="B7" s="149" t="s">
        <v>125</v>
      </c>
      <c r="C7" s="149" t="s">
        <v>124</v>
      </c>
      <c r="D7" s="150" t="n">
        <v>19</v>
      </c>
      <c r="E7" s="149" t="n">
        <v>1972</v>
      </c>
    </row>
    <row r="8" customFormat="false" ht="12.75" hidden="false" customHeight="false" outlineLevel="0" collapsed="false">
      <c r="A8" s="13"/>
      <c r="B8" s="149" t="s">
        <v>126</v>
      </c>
      <c r="C8" s="149" t="s">
        <v>124</v>
      </c>
      <c r="D8" s="150" t="n">
        <v>19</v>
      </c>
      <c r="E8" s="149" t="n">
        <v>1972</v>
      </c>
    </row>
    <row r="9" customFormat="false" ht="12.75" hidden="false" customHeight="false" outlineLevel="0" collapsed="false">
      <c r="A9" s="13"/>
      <c r="B9" s="149" t="s">
        <v>127</v>
      </c>
      <c r="C9" s="149" t="s">
        <v>124</v>
      </c>
      <c r="D9" s="150" t="n">
        <v>19</v>
      </c>
      <c r="E9" s="149" t="n">
        <v>1972</v>
      </c>
    </row>
    <row r="10" customFormat="false" ht="12.75" hidden="false" customHeight="false" outlineLevel="0" collapsed="false">
      <c r="A10" s="13"/>
      <c r="B10" s="149" t="n">
        <v>4</v>
      </c>
      <c r="C10" s="149" t="s">
        <v>128</v>
      </c>
      <c r="D10" s="150" t="n">
        <v>86</v>
      </c>
      <c r="E10" s="149" t="n">
        <v>1948</v>
      </c>
    </row>
    <row r="11" customFormat="false" ht="12.75" hidden="false" customHeight="false" outlineLevel="0" collapsed="false">
      <c r="A11" s="13"/>
      <c r="B11" s="149" t="n">
        <v>5</v>
      </c>
      <c r="C11" s="149" t="s">
        <v>128</v>
      </c>
      <c r="D11" s="150" t="n">
        <v>86</v>
      </c>
      <c r="E11" s="149" t="n">
        <v>1949</v>
      </c>
    </row>
    <row r="12" customFormat="false" ht="12.75" hidden="false" customHeight="false" outlineLevel="0" collapsed="false">
      <c r="A12" s="13" t="s">
        <v>129</v>
      </c>
      <c r="B12" s="149" t="n">
        <v>1</v>
      </c>
      <c r="C12" s="149" t="s">
        <v>124</v>
      </c>
      <c r="D12" s="150" t="n">
        <v>222</v>
      </c>
      <c r="E12" s="149" t="n">
        <v>1962</v>
      </c>
    </row>
    <row r="13" customFormat="false" ht="12.75" hidden="false" customHeight="false" outlineLevel="0" collapsed="false">
      <c r="A13" s="13"/>
      <c r="B13" s="149" t="n">
        <v>2</v>
      </c>
      <c r="C13" s="149" t="s">
        <v>124</v>
      </c>
      <c r="D13" s="150" t="n">
        <v>222</v>
      </c>
      <c r="E13" s="149" t="n">
        <v>1963</v>
      </c>
    </row>
    <row r="14" customFormat="false" ht="12.75" hidden="false" customHeight="false" outlineLevel="0" collapsed="false">
      <c r="A14" s="13"/>
      <c r="B14" s="149" t="n">
        <v>3</v>
      </c>
      <c r="C14" s="149" t="s">
        <v>124</v>
      </c>
      <c r="D14" s="150" t="n">
        <v>222</v>
      </c>
      <c r="E14" s="149" t="n">
        <v>1964</v>
      </c>
    </row>
    <row r="15" customFormat="false" ht="12.75" hidden="false" customHeight="false" outlineLevel="0" collapsed="false">
      <c r="A15" s="13"/>
      <c r="B15" s="149" t="n">
        <v>4</v>
      </c>
      <c r="C15" s="149" t="s">
        <v>124</v>
      </c>
      <c r="D15" s="150" t="n">
        <v>222</v>
      </c>
      <c r="E15" s="149" t="n">
        <v>1964</v>
      </c>
    </row>
    <row r="16" customFormat="false" ht="12.75" hidden="false" customHeight="false" outlineLevel="0" collapsed="false">
      <c r="A16" s="13"/>
      <c r="B16" s="149" t="n">
        <v>5</v>
      </c>
      <c r="C16" s="149" t="s">
        <v>124</v>
      </c>
      <c r="D16" s="150" t="n">
        <v>341</v>
      </c>
      <c r="E16" s="149" t="n">
        <v>1966</v>
      </c>
    </row>
    <row r="17" customFormat="false" ht="12.75" hidden="false" customHeight="false" outlineLevel="0" collapsed="false">
      <c r="A17" s="13"/>
      <c r="B17" s="149" t="n">
        <v>6</v>
      </c>
      <c r="C17" s="149" t="s">
        <v>124</v>
      </c>
      <c r="D17" s="150" t="n">
        <v>341</v>
      </c>
      <c r="E17" s="149" t="n">
        <v>1967</v>
      </c>
    </row>
    <row r="18" customFormat="false" ht="12.75" hidden="false" customHeight="false" outlineLevel="0" collapsed="false">
      <c r="A18" s="13" t="s">
        <v>130</v>
      </c>
      <c r="B18" s="149" t="n">
        <v>1</v>
      </c>
      <c r="C18" s="149" t="s">
        <v>124</v>
      </c>
      <c r="D18" s="150" t="n">
        <v>179</v>
      </c>
      <c r="E18" s="149" t="n">
        <v>1958</v>
      </c>
    </row>
    <row r="19" customFormat="false" ht="12.75" hidden="false" customHeight="false" outlineLevel="0" collapsed="false">
      <c r="A19" s="13"/>
      <c r="B19" s="149" t="n">
        <v>2</v>
      </c>
      <c r="C19" s="149" t="s">
        <v>124</v>
      </c>
      <c r="D19" s="150" t="n">
        <v>179</v>
      </c>
      <c r="E19" s="149" t="n">
        <v>1959</v>
      </c>
    </row>
    <row r="20" customFormat="false" ht="12.75" hidden="false" customHeight="false" outlineLevel="0" collapsed="false">
      <c r="A20" s="13"/>
      <c r="B20" s="149" t="n">
        <v>3</v>
      </c>
      <c r="C20" s="149" t="s">
        <v>124</v>
      </c>
      <c r="D20" s="150" t="n">
        <v>358</v>
      </c>
      <c r="E20" s="149" t="n">
        <v>1974</v>
      </c>
    </row>
    <row r="21" customFormat="false" ht="12.75" hidden="false" customHeight="false" outlineLevel="0" collapsed="false">
      <c r="A21" s="13" t="s">
        <v>131</v>
      </c>
      <c r="B21" s="149" t="n">
        <v>1</v>
      </c>
      <c r="C21" s="149" t="s">
        <v>132</v>
      </c>
      <c r="D21" s="150" t="n">
        <v>95</v>
      </c>
      <c r="E21" s="149" t="n">
        <v>1954</v>
      </c>
    </row>
    <row r="22" customFormat="false" ht="12.75" hidden="false" customHeight="false" outlineLevel="0" collapsed="false">
      <c r="A22" s="13"/>
      <c r="B22" s="149" t="n">
        <v>2</v>
      </c>
      <c r="C22" s="149" t="s">
        <v>132</v>
      </c>
      <c r="D22" s="150" t="n">
        <v>99</v>
      </c>
      <c r="E22" s="149" t="n">
        <v>1954</v>
      </c>
    </row>
    <row r="23" customFormat="false" ht="12.75" hidden="false" customHeight="false" outlineLevel="0" collapsed="false">
      <c r="A23" s="13"/>
      <c r="B23" s="149" t="n">
        <v>3</v>
      </c>
      <c r="C23" s="149" t="s">
        <v>124</v>
      </c>
      <c r="D23" s="150" t="n">
        <v>163</v>
      </c>
      <c r="E23" s="149" t="n">
        <v>1955</v>
      </c>
    </row>
    <row r="24" customFormat="false" ht="13.5" hidden="false" customHeight="false" outlineLevel="0" collapsed="false">
      <c r="A24" s="13"/>
      <c r="B24" s="149" t="n">
        <v>4</v>
      </c>
      <c r="C24" s="149" t="s">
        <v>124</v>
      </c>
      <c r="D24" s="150" t="n">
        <v>160</v>
      </c>
      <c r="E24" s="149" t="n">
        <v>1956</v>
      </c>
    </row>
    <row r="25" customFormat="false" ht="13.5" hidden="false" customHeight="false" outlineLevel="0" collapsed="false">
      <c r="A25" s="41" t="s">
        <v>38</v>
      </c>
      <c r="B25" s="151"/>
      <c r="C25" s="151"/>
      <c r="D25" s="152" t="n">
        <f aca="false">SUM(D6:D24)</f>
        <v>3051</v>
      </c>
      <c r="E25" s="151"/>
    </row>
  </sheetData>
  <mergeCells count="1">
    <mergeCell ref="A1:E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1998-06-06T11:53:09Z</dcterms:created>
  <dc:creator>ldyer</dc:creator>
  <dc:description/>
  <dc:language>en-US</dc:language>
  <cp:lastModifiedBy>Laird Dyer</cp:lastModifiedBy>
  <cp:lastPrinted>1998-06-06T13:10:57Z</cp:lastPrinted>
  <cp:revision>0</cp:revision>
  <dc:subject/>
  <dc:title/>
</cp:coreProperties>
</file>