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ffDate" sheetId="1" state="visible" r:id="rId3"/>
    <sheet name="SplitVol" sheetId="2" state="visible" r:id="rId4"/>
    <sheet name="Dedcode" sheetId="3" state="visible" r:id="rId5"/>
    <sheet name="CNGx" sheetId="4" state="visible" r:id="rId6"/>
    <sheet name="CNGData" sheetId="5" state="visible" r:id="rId7"/>
    <sheet name="CNG" sheetId="6" state="visible" r:id="rId8"/>
    <sheet name="CNGPricing" sheetId="7" state="visible" r:id="rId9"/>
  </sheets>
  <definedNames>
    <definedName function="false" hidden="false" localSheetId="5" name="_xlnm.Print_Area" vbProcedure="false">CNG!$A$1:$Q$333</definedName>
    <definedName function="false" hidden="false" localSheetId="5" name="_xlnm.Print_Titles" vbProcedure="false">CNG!$1:$4</definedName>
    <definedName function="false" hidden="false" localSheetId="4" name="_xlnm.Print_Area" vbProcedure="false">CNGData!$A$1:$Y$131</definedName>
    <definedName function="false" hidden="false" localSheetId="6" name="_xlnm.Print_Area" vbProcedure="false">CNGPricing!$A$34:$J$44</definedName>
    <definedName function="false" hidden="true" localSheetId="0" name="_xlnm._FilterDatabase" vbProcedure="false">EffDate!$A$1:$E$356</definedName>
    <definedName function="false" hidden="false" name="cgas9910" vbProcedure="false">#REF!</definedName>
    <definedName function="false" hidden="false" name="cgasx" vbProcedure="false">#REF!</definedName>
    <definedName function="false" hidden="false" name="cngdata" vbProcedure="false">CNGData!$C$2:$P$247</definedName>
    <definedName function="false" hidden="false" name="CNGDataF" vbProcedure="false">CNGData!$D$2:$R$247</definedName>
    <definedName function="false" hidden="false" name="cngded" vbProcedure="false">CNG!$AA$1:$AF$5</definedName>
    <definedName function="false" hidden="false" name="CNGFuel" vbProcedure="false">#REF!</definedName>
    <definedName function="false" hidden="false" name="CNGx" vbProcedure="false">CNGx!$A$1:$C$243</definedName>
    <definedName function="false" hidden="false" name="CNRGas" vbProcedure="false">#REF!</definedName>
    <definedName function="false" hidden="false" name="CNRVol" vbProcedure="false">#REF!</definedName>
    <definedName function="false" hidden="false" name="Dedcode" vbProcedure="false">Dedcode!$A$1:$D$246</definedName>
    <definedName function="false" hidden="false" name="EffDate" vbProcedure="false">EffDate!$B$2:$E$356</definedName>
    <definedName function="false" hidden="false" name="gath9909" vbProcedure="false">#REF!</definedName>
    <definedName function="false" hidden="false" name="GathVol" vbProcedure="false">#REF!</definedName>
    <definedName function="false" hidden="false" name="InCGAS" vbProcedure="false">#REF!</definedName>
    <definedName function="false" hidden="false" name="INCNG" vbProcedure="false">CNG!$B$5:$M$331</definedName>
    <definedName function="false" hidden="false" name="InCNR" vbProcedure="false">#REF!</definedName>
    <definedName function="false" hidden="false" name="InReg" vbProcedure="false">#REF!</definedName>
    <definedName function="false" hidden="false" name="Retention" vbProcedure="false">CNG!$AA$1:$AF$5</definedName>
    <definedName function="false" hidden="false" name="SplitVol" vbProcedure="false">SplitVol!$A$2:$F$244</definedName>
    <definedName function="false" hidden="false" localSheetId="4" name="Excel_BuiltIn__FilterDatabase" vbProcedure="false">CNGData!$A$2:$AD$247</definedName>
    <definedName function="false" hidden="false" localSheetId="5" name="Excel_BuiltIn__FilterDatabase" vbProcedure="false">CNG!$A$4:$BI$331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5" authorId="0">
      <text>
        <r>
          <rPr>
            <b val="true"/>
            <sz val="10"/>
            <color rgb="FF000000"/>
            <rFont val="Tahoma"/>
            <family val="0"/>
          </rPr>
          <t xml:space="preserve">plee:
</t>
        </r>
        <r>
          <rPr>
            <sz val="10"/>
            <color rgb="FF000000"/>
            <rFont val="Tahoma"/>
            <family val="0"/>
          </rPr>
          <t xml:space="preserve">Pay Lesser of -6,443.45 through December 01 production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13</xdr:row>
                <xdr:rowOff>7</xdr:rowOff>
              </xdr:from>
              <xdr:to>
                <xdr:col>4</xdr:col>
                <xdr:colOff>-161</xdr:colOff>
                <xdr:row>18</xdr:row>
                <xdr:rowOff>13</xdr:rowOff>
              </xdr:to>
            </anchor>
          </commentPr>
        </mc:Choice>
        <mc:Fallback/>
      </mc:AlternateContent>
    </comment>
    <comment ref="D73" authorId="0">
      <text>
        <r>
          <rPr>
            <b val="true"/>
            <sz val="10"/>
            <color rgb="FF000000"/>
            <rFont val="Tahoma"/>
            <family val="0"/>
          </rPr>
          <t xml:space="preserve">plee:
</t>
        </r>
        <r>
          <rPr>
            <sz val="10"/>
            <color rgb="FF000000"/>
            <rFont val="Tahoma"/>
            <family val="0"/>
          </rPr>
          <t xml:space="preserve">Pay the lesser of subtract enough to leave producer with 3,000.00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71</xdr:row>
                <xdr:rowOff>7</xdr:rowOff>
              </xdr:from>
              <xdr:to>
                <xdr:col>4</xdr:col>
                <xdr:colOff>-161</xdr:colOff>
                <xdr:row>76</xdr:row>
                <xdr:rowOff>13</xdr:rowOff>
              </xdr:to>
            </anchor>
          </commentPr>
        </mc:Choice>
        <mc:Fallback/>
      </mc:AlternateContent>
    </comment>
    <comment ref="D201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199</xdr:row>
                <xdr:rowOff>8</xdr:rowOff>
              </xdr:from>
              <xdr:to>
                <xdr:col>4</xdr:col>
                <xdr:colOff>-249</xdr:colOff>
                <xdr:row>203</xdr:row>
                <xdr:rowOff>14</xdr:rowOff>
              </xdr:to>
            </anchor>
          </commentPr>
        </mc:Choice>
        <mc:Fallback/>
      </mc:AlternateContent>
    </comment>
    <comment ref="D202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200</xdr:row>
                <xdr:rowOff>8</xdr:rowOff>
              </xdr:from>
              <xdr:to>
                <xdr:col>4</xdr:col>
                <xdr:colOff>-251</xdr:colOff>
                <xdr:row>204</xdr:row>
                <xdr:rowOff>14</xdr:rowOff>
              </xdr:to>
            </anchor>
          </commentPr>
        </mc:Choice>
        <mc:Fallback/>
      </mc:AlternateContent>
    </comment>
    <comment ref="D203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201</xdr:row>
                <xdr:rowOff>8</xdr:rowOff>
              </xdr:from>
              <xdr:to>
                <xdr:col>4</xdr:col>
                <xdr:colOff>-249</xdr:colOff>
                <xdr:row>205</xdr:row>
                <xdr:rowOff>14</xdr:rowOff>
              </xdr:to>
            </anchor>
          </commentPr>
        </mc:Choice>
        <mc:Fallback/>
      </mc:AlternateContent>
    </comment>
    <comment ref="D204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202</xdr:row>
                <xdr:rowOff>8</xdr:rowOff>
              </xdr:from>
              <xdr:to>
                <xdr:col>4</xdr:col>
                <xdr:colOff>-249</xdr:colOff>
                <xdr:row>206</xdr:row>
                <xdr:rowOff>14</xdr:rowOff>
              </xdr:to>
            </anchor>
          </commentPr>
        </mc:Choice>
        <mc:Fallback/>
      </mc:AlternateContent>
    </comment>
    <comment ref="D205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203</xdr:row>
                <xdr:rowOff>8</xdr:rowOff>
              </xdr:from>
              <xdr:to>
                <xdr:col>4</xdr:col>
                <xdr:colOff>-251</xdr:colOff>
                <xdr:row>207</xdr:row>
                <xdr:rowOff>14</xdr:rowOff>
              </xdr:to>
            </anchor>
          </commentPr>
        </mc:Choice>
        <mc:Fallback/>
      </mc:AlternateContent>
    </comment>
    <comment ref="D206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204</xdr:row>
                <xdr:rowOff>7</xdr:rowOff>
              </xdr:from>
              <xdr:to>
                <xdr:col>5</xdr:col>
                <xdr:colOff>-3</xdr:colOff>
                <xdr:row>208</xdr:row>
                <xdr:rowOff>13</xdr:rowOff>
              </xdr:to>
            </anchor>
          </commentPr>
        </mc:Choice>
        <mc:Fallback/>
      </mc:AlternateContent>
    </comment>
    <comment ref="D259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per Wade change of ownership eff 3/99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257</xdr:row>
                <xdr:rowOff>8</xdr:rowOff>
              </xdr:from>
              <xdr:to>
                <xdr:col>4</xdr:col>
                <xdr:colOff>-249</xdr:colOff>
                <xdr:row>261</xdr:row>
                <xdr:rowOff>14</xdr:rowOff>
              </xdr:to>
            </anchor>
          </commentPr>
        </mc:Choice>
        <mc:Fallback/>
      </mc:AlternateContent>
    </comment>
    <comment ref="D260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per Wade change of ownership eff 3/99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258</xdr:row>
                <xdr:rowOff>8</xdr:rowOff>
              </xdr:from>
              <xdr:to>
                <xdr:col>4</xdr:col>
                <xdr:colOff>-249</xdr:colOff>
                <xdr:row>262</xdr:row>
                <xdr:rowOff>14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10"/>
            <color rgb="FF000000"/>
            <rFont val="Tahoma"/>
            <family val="0"/>
          </rPr>
          <t xml:space="preserve">plee:
</t>
        </r>
        <r>
          <rPr>
            <sz val="10"/>
            <color rgb="FF000000"/>
            <rFont val="Tahoma"/>
            <family val="0"/>
          </rPr>
          <t xml:space="preserve">Pay Lesser of -6,443.45 through December 01 production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81</xdr:colOff>
                <xdr:row>18</xdr:row>
                <xdr:rowOff>10</xdr:rowOff>
              </xdr:from>
              <xdr:to>
                <xdr:col>8</xdr:col>
                <xdr:colOff>48</xdr:colOff>
                <xdr:row>23</xdr:row>
                <xdr:rowOff>1</xdr:rowOff>
              </xdr:to>
            </anchor>
          </commentPr>
        </mc:Choice>
        <mc:Fallback/>
      </mc:AlternateContent>
    </comment>
    <comment ref="D77" authorId="0">
      <text>
        <r>
          <rPr>
            <b val="true"/>
            <sz val="10"/>
            <color rgb="FF000000"/>
            <rFont val="Tahoma"/>
            <family val="0"/>
          </rPr>
          <t xml:space="preserve">plee:
</t>
        </r>
        <r>
          <rPr>
            <sz val="10"/>
            <color rgb="FF000000"/>
            <rFont val="Tahoma"/>
            <family val="0"/>
          </rPr>
          <t xml:space="preserve">Pay the lesser of subtract enough to leave producer with 3,000.00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81</xdr:colOff>
                <xdr:row>75</xdr:row>
                <xdr:rowOff>10</xdr:rowOff>
              </xdr:from>
              <xdr:to>
                <xdr:col>8</xdr:col>
                <xdr:colOff>48</xdr:colOff>
                <xdr:row>80</xdr:row>
                <xdr:rowOff>1</xdr:rowOff>
              </xdr:to>
            </anchor>
          </commentPr>
        </mc:Choice>
        <mc:Fallback/>
      </mc:AlternateContent>
    </comment>
    <comment ref="D198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195</xdr:row>
                <xdr:rowOff>10</xdr:rowOff>
              </xdr:from>
              <xdr:to>
                <xdr:col>8</xdr:col>
                <xdr:colOff>4</xdr:colOff>
                <xdr:row>199</xdr:row>
                <xdr:rowOff>4</xdr:rowOff>
              </xdr:to>
            </anchor>
          </commentPr>
        </mc:Choice>
        <mc:Fallback/>
      </mc:AlternateContent>
    </comment>
    <comment ref="D199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36</xdr:colOff>
                <xdr:row>197</xdr:row>
                <xdr:rowOff>10</xdr:rowOff>
              </xdr:from>
              <xdr:to>
                <xdr:col>8</xdr:col>
                <xdr:colOff>33</xdr:colOff>
                <xdr:row>201</xdr:row>
                <xdr:rowOff>4</xdr:rowOff>
              </xdr:to>
            </anchor>
          </commentPr>
        </mc:Choice>
        <mc:Fallback/>
      </mc:AlternateContent>
    </comment>
    <comment ref="D200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36</xdr:colOff>
                <xdr:row>198</xdr:row>
                <xdr:rowOff>10</xdr:rowOff>
              </xdr:from>
              <xdr:to>
                <xdr:col>8</xdr:col>
                <xdr:colOff>33</xdr:colOff>
                <xdr:row>202</xdr:row>
                <xdr:rowOff>4</xdr:rowOff>
              </xdr:to>
            </anchor>
          </commentPr>
        </mc:Choice>
        <mc:Fallback/>
      </mc:AlternateContent>
    </comment>
    <comment ref="D201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198</xdr:row>
                <xdr:rowOff>10</xdr:rowOff>
              </xdr:from>
              <xdr:to>
                <xdr:col>8</xdr:col>
                <xdr:colOff>4</xdr:colOff>
                <xdr:row>202</xdr:row>
                <xdr:rowOff>4</xdr:rowOff>
              </xdr:to>
            </anchor>
          </commentPr>
        </mc:Choice>
        <mc:Fallback/>
      </mc:AlternateContent>
    </comment>
    <comment ref="D202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Private sold to Long eff 5/99 prod see letter dated 6/10/99 from pres. of Private.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199</xdr:row>
                <xdr:rowOff>10</xdr:rowOff>
              </xdr:from>
              <xdr:to>
                <xdr:col>8</xdr:col>
                <xdr:colOff>4</xdr:colOff>
                <xdr:row>203</xdr:row>
                <xdr:rowOff>4</xdr:rowOff>
              </xdr:to>
            </anchor>
          </commentPr>
        </mc:Choice>
        <mc:Fallback/>
      </mc:AlternateContent>
    </comment>
    <comment ref="D253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per Wade change of ownership eff 3/99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250</xdr:row>
                <xdr:rowOff>10</xdr:rowOff>
              </xdr:from>
              <xdr:to>
                <xdr:col>8</xdr:col>
                <xdr:colOff>4</xdr:colOff>
                <xdr:row>254</xdr:row>
                <xdr:rowOff>4</xdr:rowOff>
              </xdr:to>
            </anchor>
          </commentPr>
        </mc:Choice>
        <mc:Fallback/>
      </mc:AlternateContent>
    </comment>
    <comment ref="D255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per Wade change of ownership eff 3/99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</xdr:colOff>
                <xdr:row>252</xdr:row>
                <xdr:rowOff>10</xdr:rowOff>
              </xdr:from>
              <xdr:to>
                <xdr:col>8</xdr:col>
                <xdr:colOff>4</xdr:colOff>
                <xdr:row>256</xdr:row>
                <xdr:rowOff>4</xdr:rowOff>
              </xdr:to>
            </anchor>
          </commentPr>
        </mc:Choice>
        <mc:Fallback/>
      </mc:AlternateContent>
    </comment>
    <comment ref="I308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305</xdr:row>
                <xdr:rowOff>10</xdr:rowOff>
              </xdr:from>
              <xdr:to>
                <xdr:col>19</xdr:col>
                <xdr:colOff>77</xdr:colOff>
                <xdr:row>309</xdr:row>
                <xdr:rowOff>4</xdr:rowOff>
              </xdr:to>
            </anchor>
          </commentPr>
        </mc:Choice>
        <mc:Fallback/>
      </mc:AlternateContent>
    </comment>
    <comment ref="I309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306</xdr:row>
                <xdr:rowOff>10</xdr:rowOff>
              </xdr:from>
              <xdr:to>
                <xdr:col>19</xdr:col>
                <xdr:colOff>77</xdr:colOff>
                <xdr:row>310</xdr:row>
                <xdr:rowOff>4</xdr:rowOff>
              </xdr:to>
            </anchor>
          </commentPr>
        </mc:Choice>
        <mc:Fallback/>
      </mc:AlternateContent>
    </comment>
    <comment ref="I310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307</xdr:row>
                <xdr:rowOff>10</xdr:rowOff>
              </xdr:from>
              <xdr:to>
                <xdr:col>19</xdr:col>
                <xdr:colOff>77</xdr:colOff>
                <xdr:row>311</xdr:row>
                <xdr:rowOff>4</xdr:rowOff>
              </xdr:to>
            </anchor>
          </commentPr>
        </mc:Choice>
        <mc:Fallback/>
      </mc:AlternateContent>
    </comment>
    <comment ref="I311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308</xdr:row>
                <xdr:rowOff>10</xdr:rowOff>
              </xdr:from>
              <xdr:to>
                <xdr:col>19</xdr:col>
                <xdr:colOff>77</xdr:colOff>
                <xdr:row>312</xdr:row>
                <xdr:rowOff>4</xdr:rowOff>
              </xdr:to>
            </anchor>
          </commentPr>
        </mc:Choice>
        <mc:Fallback/>
      </mc:AlternateContent>
    </comment>
    <comment ref="I312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309</xdr:row>
                <xdr:rowOff>10</xdr:rowOff>
              </xdr:from>
              <xdr:to>
                <xdr:col>19</xdr:col>
                <xdr:colOff>77</xdr:colOff>
                <xdr:row>313</xdr:row>
                <xdr:rowOff>4</xdr:rowOff>
              </xdr:to>
            </anchor>
          </commentPr>
        </mc:Choice>
        <mc:Fallback/>
      </mc:AlternateContent>
    </comment>
    <comment ref="I313" authorId="0">
      <text>
        <r>
          <rPr>
            <b val="true"/>
            <sz val="8"/>
            <color rgb="FF000000"/>
            <rFont val="Tahoma"/>
            <family val="0"/>
          </rPr>
          <t xml:space="preserve">chantelle james:
</t>
        </r>
        <r>
          <rPr>
            <sz val="8"/>
            <color rgb="FF000000"/>
            <rFont val="Tahoma"/>
            <family val="0"/>
          </rPr>
          <t xml:space="preserve">Iferc even per Heidi beginning 8/98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310</xdr:row>
                <xdr:rowOff>10</xdr:rowOff>
              </xdr:from>
              <xdr:to>
                <xdr:col>19</xdr:col>
                <xdr:colOff>77</xdr:colOff>
                <xdr:row>314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<sst xmlns="http://schemas.openxmlformats.org/spreadsheetml/2006/main" count="5695" uniqueCount="692">
  <si>
    <t xml:space="preserve">Pool Id</t>
  </si>
  <si>
    <t xml:space="preserve">Acct Id</t>
  </si>
  <si>
    <t xml:space="preserve">Mid</t>
  </si>
  <si>
    <t xml:space="preserve">Producer Name</t>
  </si>
  <si>
    <t xml:space="preserve">DTI Eff Date</t>
  </si>
  <si>
    <t xml:space="preserve">T001HGW</t>
  </si>
  <si>
    <t xml:space="preserve">RP1208401</t>
  </si>
  <si>
    <t xml:space="preserve">A &amp; D OIL</t>
  </si>
  <si>
    <t xml:space="preserve">T106HGW</t>
  </si>
  <si>
    <t xml:space="preserve">AT3505301</t>
  </si>
  <si>
    <t xml:space="preserve">AURORA SERVICES</t>
  </si>
  <si>
    <t xml:space="preserve">RP1703102</t>
  </si>
  <si>
    <t xml:space="preserve">RP1703115</t>
  </si>
  <si>
    <t xml:space="preserve">RP1703109</t>
  </si>
  <si>
    <t xml:space="preserve">RP1703110</t>
  </si>
  <si>
    <t xml:space="preserve">RP1703111</t>
  </si>
  <si>
    <t xml:space="preserve">RP1703106</t>
  </si>
  <si>
    <t xml:space="preserve">RP1703112</t>
  </si>
  <si>
    <t xml:space="preserve">RP1684905</t>
  </si>
  <si>
    <t xml:space="preserve">RP1703114</t>
  </si>
  <si>
    <t xml:space="preserve">AT3540501</t>
  </si>
  <si>
    <t xml:space="preserve">RP1703113</t>
  </si>
  <si>
    <t xml:space="preserve">RP1093201</t>
  </si>
  <si>
    <t xml:space="preserve">B &amp; J Gas &amp; Oil</t>
  </si>
  <si>
    <t xml:space="preserve">AT3559801</t>
  </si>
  <si>
    <t xml:space="preserve">Base Petroleum</t>
  </si>
  <si>
    <t xml:space="preserve">na</t>
  </si>
  <si>
    <t xml:space="preserve">RP1191002</t>
  </si>
  <si>
    <t xml:space="preserve">BIG BUCK ENERGY OIL &amp; GAS</t>
  </si>
  <si>
    <t xml:space="preserve">RP1518901</t>
  </si>
  <si>
    <t xml:space="preserve">BILL KENNEDY</t>
  </si>
  <si>
    <t xml:space="preserve">RP1618401</t>
  </si>
  <si>
    <t xml:space="preserve">RP1700201</t>
  </si>
  <si>
    <t xml:space="preserve">AT3562701</t>
  </si>
  <si>
    <t xml:space="preserve">BNG Producing &amp; Drilling</t>
  </si>
  <si>
    <t xml:space="preserve">AT3545501</t>
  </si>
  <si>
    <t xml:space="preserve">BOWIE INC</t>
  </si>
  <si>
    <t xml:space="preserve">RP1029702</t>
  </si>
  <si>
    <t xml:space="preserve">RPH215722</t>
  </si>
  <si>
    <t xml:space="preserve">AT4357101</t>
  </si>
  <si>
    <t xml:space="preserve">AT4362701</t>
  </si>
  <si>
    <t xml:space="preserve">AT4366601</t>
  </si>
  <si>
    <t xml:space="preserve">AT4341101</t>
  </si>
  <si>
    <t xml:space="preserve">AT3565301</t>
  </si>
  <si>
    <t xml:space="preserve">BOWIE INC FOR GLEN LOCKARD</t>
  </si>
  <si>
    <t xml:space="preserve">AT1055201</t>
  </si>
  <si>
    <t xml:space="preserve">BRAXTON OIL &amp; GAS CORP</t>
  </si>
  <si>
    <t xml:space="preserve">AT1058501</t>
  </si>
  <si>
    <t xml:space="preserve">AT1059901</t>
  </si>
  <si>
    <t xml:space="preserve">AT1063501</t>
  </si>
  <si>
    <t xml:space="preserve">RP1114252</t>
  </si>
  <si>
    <t xml:space="preserve">T106HTW</t>
  </si>
  <si>
    <t xml:space="preserve">RP1114226</t>
  </si>
  <si>
    <t xml:space="preserve">RP3023201W326</t>
  </si>
  <si>
    <t xml:space="preserve">RP3023401</t>
  </si>
  <si>
    <t xml:space="preserve">RP1114202</t>
  </si>
  <si>
    <t xml:space="preserve">RP1114203</t>
  </si>
  <si>
    <t xml:space="preserve">RP1114215</t>
  </si>
  <si>
    <t xml:space="preserve">RP1114206</t>
  </si>
  <si>
    <t xml:space="preserve">RP1114208</t>
  </si>
  <si>
    <t xml:space="preserve">RP1114218</t>
  </si>
  <si>
    <t xml:space="preserve">RP1114229</t>
  </si>
  <si>
    <t xml:space="preserve">RP1114228</t>
  </si>
  <si>
    <t xml:space="preserve">RP1136402</t>
  </si>
  <si>
    <t xml:space="preserve">RP1114238</t>
  </si>
  <si>
    <t xml:space="preserve">RP1114248</t>
  </si>
  <si>
    <t xml:space="preserve">RP1114253</t>
  </si>
  <si>
    <t xml:space="preserve">RP1114255</t>
  </si>
  <si>
    <t xml:space="preserve">RP1114246</t>
  </si>
  <si>
    <t xml:space="preserve">RP1136414</t>
  </si>
  <si>
    <t xml:space="preserve">RP1136415</t>
  </si>
  <si>
    <t xml:space="preserve">RP1114250</t>
  </si>
  <si>
    <t xml:space="preserve">RP1114251</t>
  </si>
  <si>
    <t xml:space="preserve">AT3549701</t>
  </si>
  <si>
    <t xml:space="preserve">AT3552201</t>
  </si>
  <si>
    <t xml:space="preserve">AT3557101</t>
  </si>
  <si>
    <t xml:space="preserve">RP1182701</t>
  </si>
  <si>
    <t xml:space="preserve">C.I. MCKOWN &amp; SON INC C I</t>
  </si>
  <si>
    <t xml:space="preserve">RP1130101</t>
  </si>
  <si>
    <t xml:space="preserve">AT3130501</t>
  </si>
  <si>
    <t xml:space="preserve">RP1121401</t>
  </si>
  <si>
    <t xml:space="preserve">AT3421301</t>
  </si>
  <si>
    <t xml:space="preserve">RP1800405</t>
  </si>
  <si>
    <t xml:space="preserve">AT3425201</t>
  </si>
  <si>
    <t xml:space="preserve">RP1800406</t>
  </si>
  <si>
    <t xml:space="preserve">RP1800401</t>
  </si>
  <si>
    <t xml:space="preserve">AT3472501</t>
  </si>
  <si>
    <t xml:space="preserve">RP1800402</t>
  </si>
  <si>
    <t xml:space="preserve">AT3539901W335</t>
  </si>
  <si>
    <t xml:space="preserve">AT2150501</t>
  </si>
  <si>
    <t xml:space="preserve">CAMERON OIL &amp; GAS COMPANY</t>
  </si>
  <si>
    <t xml:space="preserve">T001BGW</t>
  </si>
  <si>
    <t xml:space="preserve">RP1529501</t>
  </si>
  <si>
    <t xml:space="preserve">CARDINAL NATURAL FUEL</t>
  </si>
  <si>
    <t xml:space="preserve">T001BGD</t>
  </si>
  <si>
    <t xml:space="preserve">RP1083501</t>
  </si>
  <si>
    <t xml:space="preserve">RP1171405</t>
  </si>
  <si>
    <t xml:space="preserve">CEDAR RESOURCES INC</t>
  </si>
  <si>
    <t xml:space="preserve">AT3423501</t>
  </si>
  <si>
    <t xml:space="preserve">CENTRAL PACIFIC</t>
  </si>
  <si>
    <t xml:space="preserve">AT3423601</t>
  </si>
  <si>
    <t xml:space="preserve">AT3423701</t>
  </si>
  <si>
    <t xml:space="preserve">AT3423801</t>
  </si>
  <si>
    <t xml:space="preserve">AT3429601</t>
  </si>
  <si>
    <t xml:space="preserve">T001HTW</t>
  </si>
  <si>
    <t xml:space="preserve">AT3478201</t>
  </si>
  <si>
    <t xml:space="preserve">AT3502801</t>
  </si>
  <si>
    <t xml:space="preserve">AT3428401</t>
  </si>
  <si>
    <t xml:space="preserve">CENTRAL PACIFIC GROUP INC</t>
  </si>
  <si>
    <t xml:space="preserve">AT3429001</t>
  </si>
  <si>
    <t xml:space="preserve">RP1617801</t>
  </si>
  <si>
    <t xml:space="preserve">Charity Gas</t>
  </si>
  <si>
    <t xml:space="preserve">T106CGD</t>
  </si>
  <si>
    <t xml:space="preserve">AT2096101</t>
  </si>
  <si>
    <t xml:space="preserve">CLASSIC OIL &amp; GAS RES INC</t>
  </si>
  <si>
    <t xml:space="preserve">AT2159601</t>
  </si>
  <si>
    <t xml:space="preserve">AT4333601</t>
  </si>
  <si>
    <r>
      <rPr>
        <sz val="10"/>
        <rFont val="Arial"/>
        <family val="0"/>
      </rPr>
      <t xml:space="preserve">COASTAL CORP</t>
    </r>
    <r>
      <rPr>
        <b val="true"/>
        <sz val="10"/>
        <rFont val="Arial"/>
        <family val="2"/>
      </rPr>
      <t xml:space="preserve"> (PARDEE)</t>
    </r>
  </si>
  <si>
    <t xml:space="preserve">T230HGW</t>
  </si>
  <si>
    <t xml:space="preserve">RP1053202</t>
  </si>
  <si>
    <t xml:space="preserve">COLUMBIA NATURAL RESOURCES</t>
  </si>
  <si>
    <t xml:space="preserve">RP1053201</t>
  </si>
  <si>
    <t xml:space="preserve">T230BGW</t>
  </si>
  <si>
    <t xml:space="preserve">RP1011501</t>
  </si>
  <si>
    <t xml:space="preserve">T001NTD</t>
  </si>
  <si>
    <t xml:space="preserve">RP1698701</t>
  </si>
  <si>
    <t xml:space="preserve">COMMONWEALTH ENERGY COMPANY</t>
  </si>
  <si>
    <t xml:space="preserve">AT4132101</t>
  </si>
  <si>
    <t xml:space="preserve">AT4132201</t>
  </si>
  <si>
    <t xml:space="preserve">AT4134301</t>
  </si>
  <si>
    <t xml:space="preserve">AT4137901</t>
  </si>
  <si>
    <t xml:space="preserve">AT4235001</t>
  </si>
  <si>
    <t xml:space="preserve">AT4370801</t>
  </si>
  <si>
    <t xml:space="preserve">AT4370901</t>
  </si>
  <si>
    <t xml:space="preserve">AT4371201</t>
  </si>
  <si>
    <t xml:space="preserve">AT4371701</t>
  </si>
  <si>
    <t xml:space="preserve">DT001SGD</t>
  </si>
  <si>
    <t xml:space="preserve">AT4373001</t>
  </si>
  <si>
    <t xml:space="preserve">RP1104901</t>
  </si>
  <si>
    <t xml:space="preserve">CRESTON WELL SERVICE INC</t>
  </si>
  <si>
    <t xml:space="preserve">RP1104903</t>
  </si>
  <si>
    <t xml:space="preserve">RP1124202</t>
  </si>
  <si>
    <t xml:space="preserve">CRESTON WELL SERVICES</t>
  </si>
  <si>
    <t xml:space="preserve">AT5038701W568</t>
  </si>
  <si>
    <t xml:space="preserve">DANNIC ENERGY CORP</t>
  </si>
  <si>
    <t xml:space="preserve">AT5059801W569</t>
  </si>
  <si>
    <t xml:space="preserve">ATQ60047</t>
  </si>
  <si>
    <t xml:space="preserve">Q60047</t>
  </si>
  <si>
    <t xml:space="preserve">DENVER SISSON (D G Haney Inc)</t>
  </si>
  <si>
    <t xml:space="preserve">T106FGD</t>
  </si>
  <si>
    <t xml:space="preserve">RP2109406</t>
  </si>
  <si>
    <t xml:space="preserve">DEVONIAN RESOURCES</t>
  </si>
  <si>
    <t xml:space="preserve">T001FGD</t>
  </si>
  <si>
    <t xml:space="preserve">RP2108901</t>
  </si>
  <si>
    <t xml:space="preserve">AT5105901</t>
  </si>
  <si>
    <t xml:space="preserve">AT5118301</t>
  </si>
  <si>
    <t xml:space="preserve">RP2109303</t>
  </si>
  <si>
    <t xml:space="preserve">RP2110706</t>
  </si>
  <si>
    <t xml:space="preserve">RP1203501</t>
  </si>
  <si>
    <t xml:space="preserve">DILS SHERMAN III DBA DILS OIL</t>
  </si>
  <si>
    <t xml:space="preserve">T106FTD</t>
  </si>
  <si>
    <t xml:space="preserve">AT106DB</t>
  </si>
  <si>
    <t xml:space="preserve">QA106DB</t>
  </si>
  <si>
    <t xml:space="preserve">Eastern States Exploration</t>
  </si>
  <si>
    <t xml:space="preserve">AT106MA</t>
  </si>
  <si>
    <t xml:space="preserve">QA106MA</t>
  </si>
  <si>
    <t xml:space="preserve">RP1708201</t>
  </si>
  <si>
    <t xml:space="preserve">ELTON ENERGY</t>
  </si>
  <si>
    <t xml:space="preserve">RP1039301</t>
  </si>
  <si>
    <t xml:space="preserve">AT4281001</t>
  </si>
  <si>
    <t xml:space="preserve">ELVIS ENERGY</t>
  </si>
  <si>
    <t xml:space="preserve">***</t>
  </si>
  <si>
    <t xml:space="preserve">AT4371101</t>
  </si>
  <si>
    <t xml:space="preserve">AT1062901</t>
  </si>
  <si>
    <t xml:space="preserve">ENERGY DEVELOPMENT CORPORATION</t>
  </si>
  <si>
    <t xml:space="preserve">AT1063001</t>
  </si>
  <si>
    <t xml:space="preserve">RP1136108</t>
  </si>
  <si>
    <t xml:space="preserve">RP1136105</t>
  </si>
  <si>
    <t xml:space="preserve">AT2151401</t>
  </si>
  <si>
    <t xml:space="preserve">AT001WH</t>
  </si>
  <si>
    <t xml:space="preserve">ENRON ACCESS CORP</t>
  </si>
  <si>
    <t xml:space="preserve">AT001JJ</t>
  </si>
  <si>
    <t xml:space="preserve">QA001JJ</t>
  </si>
  <si>
    <t xml:space="preserve">T001CTD</t>
  </si>
  <si>
    <t xml:space="preserve">AT001ON</t>
  </si>
  <si>
    <t xml:space="preserve">QA001ON</t>
  </si>
  <si>
    <t xml:space="preserve">AT001MA</t>
  </si>
  <si>
    <t xml:space="preserve">ENRON CAPITAL &amp; TRADE</t>
  </si>
  <si>
    <t xml:space="preserve">AT1092101</t>
  </si>
  <si>
    <t xml:space="preserve">EXCEL ENERGY INC</t>
  </si>
  <si>
    <t xml:space="preserve">AT4366501</t>
  </si>
  <si>
    <t xml:space="preserve">RPH215716</t>
  </si>
  <si>
    <t xml:space="preserve">EXPLORATION PARTNERS</t>
  </si>
  <si>
    <t xml:space="preserve">RPH215710</t>
  </si>
  <si>
    <t xml:space="preserve">RP1206103</t>
  </si>
  <si>
    <t xml:space="preserve">AT3552801</t>
  </si>
  <si>
    <t xml:space="preserve">AT3553701</t>
  </si>
  <si>
    <t xml:space="preserve">AT3558301</t>
  </si>
  <si>
    <t xml:space="preserve">RP1180801</t>
  </si>
  <si>
    <t xml:space="preserve">AT4333501</t>
  </si>
  <si>
    <t xml:space="preserve">RP1204402</t>
  </si>
  <si>
    <t xml:space="preserve">AT4336901</t>
  </si>
  <si>
    <t xml:space="preserve">AT4341201</t>
  </si>
  <si>
    <t xml:space="preserve">AT4343301</t>
  </si>
  <si>
    <t xml:space="preserve">AT4345701</t>
  </si>
  <si>
    <t xml:space="preserve">AT4345801</t>
  </si>
  <si>
    <t xml:space="preserve">AT4349401</t>
  </si>
  <si>
    <t xml:space="preserve">AT4362801</t>
  </si>
  <si>
    <t xml:space="preserve">AT4362901</t>
  </si>
  <si>
    <t xml:space="preserve">AT4364001</t>
  </si>
  <si>
    <t xml:space="preserve">RPH215723</t>
  </si>
  <si>
    <t xml:space="preserve">EXPLORATION PARTNERS was Gas Marketing Inc</t>
  </si>
  <si>
    <t xml:space="preserve">GARNET VIELERS</t>
  </si>
  <si>
    <t xml:space="preserve">T001CGD</t>
  </si>
  <si>
    <t xml:space="preserve">RP1520101</t>
  </si>
  <si>
    <t xml:space="preserve">GUYAN GAS PRODUCERS</t>
  </si>
  <si>
    <t xml:space="preserve">RP1651907</t>
  </si>
  <si>
    <t xml:space="preserve">HANEY D G INC</t>
  </si>
  <si>
    <t xml:space="preserve">AT2152501</t>
  </si>
  <si>
    <t xml:space="preserve">RP1651902</t>
  </si>
  <si>
    <t xml:space="preserve">RP1651906</t>
  </si>
  <si>
    <t xml:space="preserve">RP1674101</t>
  </si>
  <si>
    <t xml:space="preserve">RP1674102</t>
  </si>
  <si>
    <t xml:space="preserve">RP1674111</t>
  </si>
  <si>
    <t xml:space="preserve">RP1523256</t>
  </si>
  <si>
    <t xml:space="preserve">RP1674105</t>
  </si>
  <si>
    <t xml:space="preserve">RP1523261</t>
  </si>
  <si>
    <t xml:space="preserve">T001NGD</t>
  </si>
  <si>
    <t xml:space="preserve">RP1674113</t>
  </si>
  <si>
    <t xml:space="preserve">RP1686904</t>
  </si>
  <si>
    <t xml:space="preserve">RP1523266</t>
  </si>
  <si>
    <t xml:space="preserve">RP1703401</t>
  </si>
  <si>
    <t xml:space="preserve">RP1185602</t>
  </si>
  <si>
    <t xml:space="preserve">HAYS &amp; CO</t>
  </si>
  <si>
    <t xml:space="preserve">AT3507801</t>
  </si>
  <si>
    <t xml:space="preserve">AT3507901</t>
  </si>
  <si>
    <t xml:space="preserve">AT3508401</t>
  </si>
  <si>
    <t xml:space="preserve">AT3153201</t>
  </si>
  <si>
    <t xml:space="preserve">HD WELLS OIL &amp; GAS EXPL &amp; DEV</t>
  </si>
  <si>
    <t xml:space="preserve">RP1632501</t>
  </si>
  <si>
    <t xml:space="preserve">HUNTLEY A D</t>
  </si>
  <si>
    <t xml:space="preserve">RP1684201</t>
  </si>
  <si>
    <t xml:space="preserve">RP1079501</t>
  </si>
  <si>
    <t xml:space="preserve">ILA POWELL AGENT</t>
  </si>
  <si>
    <t xml:space="preserve">RP1041607</t>
  </si>
  <si>
    <t xml:space="preserve">RPH216401</t>
  </si>
  <si>
    <t xml:space="preserve">JAY-BEE OIL &amp; GAS</t>
  </si>
  <si>
    <t xml:space="preserve">RP1161210</t>
  </si>
  <si>
    <t xml:space="preserve">RP1197703</t>
  </si>
  <si>
    <t xml:space="preserve">RP1157910</t>
  </si>
  <si>
    <t xml:space="preserve">RP1157909</t>
  </si>
  <si>
    <t xml:space="preserve">RP1161204</t>
  </si>
  <si>
    <t xml:space="preserve">RP1161203</t>
  </si>
  <si>
    <t xml:space="preserve">RP1157922</t>
  </si>
  <si>
    <t xml:space="preserve">RPH216402</t>
  </si>
  <si>
    <t xml:space="preserve">AT3565501</t>
  </si>
  <si>
    <t xml:space="preserve">AT3573701</t>
  </si>
  <si>
    <t xml:space="preserve">JAY-BEE OIL &amp; GAS  (PAC ATL)</t>
  </si>
  <si>
    <t xml:space="preserve">AT3585801</t>
  </si>
  <si>
    <t xml:space="preserve">RP1300701</t>
  </si>
  <si>
    <t xml:space="preserve">JCR PETROLEUM INC</t>
  </si>
  <si>
    <t xml:space="preserve">KENNEDY GAS &amp; OIL</t>
  </si>
  <si>
    <t xml:space="preserve">AT3556101</t>
  </si>
  <si>
    <t xml:space="preserve">KRISCOTT INC</t>
  </si>
  <si>
    <t xml:space="preserve">AT3564401</t>
  </si>
  <si>
    <t xml:space="preserve">AT4347201</t>
  </si>
  <si>
    <t xml:space="preserve">AT4347801</t>
  </si>
  <si>
    <t xml:space="preserve">AT4342301</t>
  </si>
  <si>
    <t xml:space="preserve">LIPPIZAN PETROLEUM</t>
  </si>
  <si>
    <t xml:space="preserve">RP1154517</t>
  </si>
  <si>
    <t xml:space="preserve">LONG RIDGE FARM ENERGY</t>
  </si>
  <si>
    <t xml:space="preserve">RP1154516</t>
  </si>
  <si>
    <t xml:space="preserve">RP1154522</t>
  </si>
  <si>
    <t xml:space="preserve">DT001SGW</t>
  </si>
  <si>
    <t xml:space="preserve">AT3576601</t>
  </si>
  <si>
    <t xml:space="preserve">AT3584401</t>
  </si>
  <si>
    <t xml:space="preserve">MARANATHA ENERGY CORP.</t>
  </si>
  <si>
    <t xml:space="preserve">RP1034704</t>
  </si>
  <si>
    <t xml:space="preserve">MCINTOSH PARTNERSHIPS</t>
  </si>
  <si>
    <t xml:space="preserve">RP1034801</t>
  </si>
  <si>
    <t xml:space="preserve">RP1034808</t>
  </si>
  <si>
    <t xml:space="preserve">RP1034907</t>
  </si>
  <si>
    <t xml:space="preserve">RP1187301</t>
  </si>
  <si>
    <t xml:space="preserve">MEGAN OIL &amp; GAS CO INC</t>
  </si>
  <si>
    <t xml:space="preserve">RP1024303</t>
  </si>
  <si>
    <t xml:space="preserve">OIL PRODUCERS INC</t>
  </si>
  <si>
    <t xml:space="preserve">RP1024304</t>
  </si>
  <si>
    <t xml:space="preserve">AT3564601</t>
  </si>
  <si>
    <t xml:space="preserve">P &amp; C OIL AND GAS INC.</t>
  </si>
  <si>
    <t xml:space="preserve">RP1041602</t>
  </si>
  <si>
    <t xml:space="preserve">P&amp;M OIL CO., INC., AGENT</t>
  </si>
  <si>
    <t xml:space="preserve">RP1041603</t>
  </si>
  <si>
    <t xml:space="preserve">RP1193901</t>
  </si>
  <si>
    <t xml:space="preserve">PACIFIC ATLANTIC RES INC</t>
  </si>
  <si>
    <t xml:space="preserve">RP1193902</t>
  </si>
  <si>
    <t xml:space="preserve">RP1185605</t>
  </si>
  <si>
    <t xml:space="preserve">RP1686916</t>
  </si>
  <si>
    <t xml:space="preserve">RP1301902</t>
  </si>
  <si>
    <t xml:space="preserve">RP1301901</t>
  </si>
  <si>
    <t xml:space="preserve">AT3549301</t>
  </si>
  <si>
    <t xml:space="preserve">RPH208506</t>
  </si>
  <si>
    <t xml:space="preserve">AT3571701</t>
  </si>
  <si>
    <t xml:space="preserve">AT3582101</t>
  </si>
  <si>
    <t xml:space="preserve">RPH207102</t>
  </si>
  <si>
    <t xml:space="preserve">PARDEE GAS COMPANY</t>
  </si>
  <si>
    <t xml:space="preserve">AT1077501</t>
  </si>
  <si>
    <t xml:space="preserve">RP1183001</t>
  </si>
  <si>
    <t xml:space="preserve">RP1206910</t>
  </si>
  <si>
    <t xml:space="preserve">RP1206904</t>
  </si>
  <si>
    <t xml:space="preserve">RP1206915</t>
  </si>
  <si>
    <t xml:space="preserve">AT4335601</t>
  </si>
  <si>
    <t xml:space="preserve">AT4336401</t>
  </si>
  <si>
    <t xml:space="preserve">AT4338501</t>
  </si>
  <si>
    <t xml:space="preserve">AT4339701</t>
  </si>
  <si>
    <t xml:space="preserve">RP1135407</t>
  </si>
  <si>
    <t xml:space="preserve">PENTEX ENERGY INC</t>
  </si>
  <si>
    <t xml:space="preserve">RP1197348</t>
  </si>
  <si>
    <t xml:space="preserve">RP1135406</t>
  </si>
  <si>
    <t xml:space="preserve">RP1135404</t>
  </si>
  <si>
    <t xml:space="preserve">RP1135412</t>
  </si>
  <si>
    <t xml:space="preserve">RP1135413</t>
  </si>
  <si>
    <t xml:space="preserve">RP1135422</t>
  </si>
  <si>
    <t xml:space="preserve">RP1135419</t>
  </si>
  <si>
    <t xml:space="preserve">RP1135414</t>
  </si>
  <si>
    <t xml:space="preserve">RP1135401</t>
  </si>
  <si>
    <t xml:space="preserve">AT4099201</t>
  </si>
  <si>
    <t xml:space="preserve">RP1135402</t>
  </si>
  <si>
    <t xml:space="preserve">RP1135403</t>
  </si>
  <si>
    <t xml:space="preserve">RP1135405</t>
  </si>
  <si>
    <t xml:space="preserve">RP1135409</t>
  </si>
  <si>
    <t xml:space="preserve">RP1135411</t>
  </si>
  <si>
    <t xml:space="preserve">AT5156201W744</t>
  </si>
  <si>
    <t xml:space="preserve">AT5171101</t>
  </si>
  <si>
    <t xml:space="preserve">RP1095801</t>
  </si>
  <si>
    <t xml:space="preserve">PERKINS OIL &amp; GAS CO</t>
  </si>
  <si>
    <t xml:space="preserve">AT3584101</t>
  </si>
  <si>
    <t xml:space="preserve">Perry Gains (formerly Bowie)</t>
  </si>
  <si>
    <t xml:space="preserve">AT3584201</t>
  </si>
  <si>
    <t xml:space="preserve">RP1125616</t>
  </si>
  <si>
    <t xml:space="preserve">AT4362001</t>
  </si>
  <si>
    <t xml:space="preserve">AT3015201</t>
  </si>
  <si>
    <t xml:space="preserve">PINNACLE OIL &amp; GAS CORP</t>
  </si>
  <si>
    <t xml:space="preserve">AT3548001</t>
  </si>
  <si>
    <t xml:space="preserve">AT3548301</t>
  </si>
  <si>
    <t xml:space="preserve">RP1204002</t>
  </si>
  <si>
    <t xml:space="preserve">RP1204003</t>
  </si>
  <si>
    <t xml:space="preserve">RP1204005</t>
  </si>
  <si>
    <t xml:space="preserve">RP1204011</t>
  </si>
  <si>
    <t xml:space="preserve">RP1204012</t>
  </si>
  <si>
    <t xml:space="preserve">RP1204013</t>
  </si>
  <si>
    <t xml:space="preserve">RP1125629</t>
  </si>
  <si>
    <t xml:space="preserve">POCONO ENERGY (BLAZER ENERGY)</t>
  </si>
  <si>
    <t xml:space="preserve">RP1125631</t>
  </si>
  <si>
    <t xml:space="preserve">RP1125708</t>
  </si>
  <si>
    <t xml:space="preserve">RP1125642</t>
  </si>
  <si>
    <t xml:space="preserve">RP1125651</t>
  </si>
  <si>
    <t xml:space="preserve">RP1800602</t>
  </si>
  <si>
    <t xml:space="preserve">PRIVATE STOCK CORPORATION</t>
  </si>
  <si>
    <t xml:space="preserve">AT3130401</t>
  </si>
  <si>
    <t xml:space="preserve">RP1800601</t>
  </si>
  <si>
    <t xml:space="preserve">RP1800603</t>
  </si>
  <si>
    <t xml:space="preserve">RP1800605</t>
  </si>
  <si>
    <t xml:space="preserve">AT3330401</t>
  </si>
  <si>
    <t xml:space="preserve">RP1800604</t>
  </si>
  <si>
    <t xml:space="preserve">AT3225601</t>
  </si>
  <si>
    <t xml:space="preserve">RITCHIE GAS COMPANY</t>
  </si>
  <si>
    <t xml:space="preserve">RP1157601</t>
  </si>
  <si>
    <t xml:space="preserve">RP1025401</t>
  </si>
  <si>
    <t xml:space="preserve">RP1689101</t>
  </si>
  <si>
    <t xml:space="preserve">Ritchie Petro(Oil &amp; Gas Dispersing)</t>
  </si>
  <si>
    <t xml:space="preserve">RP1647801</t>
  </si>
  <si>
    <t xml:space="preserve">RITCHIE PETROLEUM</t>
  </si>
  <si>
    <t xml:space="preserve">RP1200615</t>
  </si>
  <si>
    <t xml:space="preserve">RP1154523</t>
  </si>
  <si>
    <t xml:space="preserve">RP1656202</t>
  </si>
  <si>
    <t xml:space="preserve">RPH218301</t>
  </si>
  <si>
    <t xml:space="preserve">RP1172201</t>
  </si>
  <si>
    <t xml:space="preserve">AT3425601</t>
  </si>
  <si>
    <t xml:space="preserve">RP1154535</t>
  </si>
  <si>
    <t xml:space="preserve">AT3587701</t>
  </si>
  <si>
    <t xml:space="preserve">RP1696101</t>
  </si>
  <si>
    <t xml:space="preserve">RP1656205</t>
  </si>
  <si>
    <t xml:space="preserve">RP1202701</t>
  </si>
  <si>
    <t xml:space="preserve">ROCK ISLAND SERVICE CO</t>
  </si>
  <si>
    <t xml:space="preserve">AT4315601W711</t>
  </si>
  <si>
    <t xml:space="preserve">RUBIN RESOURCES</t>
  </si>
  <si>
    <t xml:space="preserve">AT3543701</t>
  </si>
  <si>
    <t xml:space="preserve">AT3548901</t>
  </si>
  <si>
    <t xml:space="preserve">AT3556301</t>
  </si>
  <si>
    <t xml:space="preserve">AT3556401</t>
  </si>
  <si>
    <t xml:space="preserve">AT3558401</t>
  </si>
  <si>
    <t xml:space="preserve">AT3563301</t>
  </si>
  <si>
    <t xml:space="preserve">AT3563401</t>
  </si>
  <si>
    <t xml:space="preserve">AT3571001</t>
  </si>
  <si>
    <t xml:space="preserve">AT4367401</t>
  </si>
  <si>
    <t xml:space="preserve">RP1676101</t>
  </si>
  <si>
    <t xml:space="preserve">RUSH-COOK GAS COMPANY</t>
  </si>
  <si>
    <t xml:space="preserve">RP1633201</t>
  </si>
  <si>
    <t xml:space="preserve">SANTA FE #1 LTD</t>
  </si>
  <si>
    <t xml:space="preserve">RE1802701</t>
  </si>
  <si>
    <t xml:space="preserve">SARDIS E,LLC</t>
  </si>
  <si>
    <t xml:space="preserve">RP1130001</t>
  </si>
  <si>
    <t xml:space="preserve">SENECA GAS LIMITED</t>
  </si>
  <si>
    <t xml:space="preserve">AT4366901</t>
  </si>
  <si>
    <t xml:space="preserve">SHELDON 95-1</t>
  </si>
  <si>
    <t xml:space="preserve">RP1547810</t>
  </si>
  <si>
    <t xml:space="preserve">SOUTHERN TRI OIL CO</t>
  </si>
  <si>
    <t xml:space="preserve">RP1047812</t>
  </si>
  <si>
    <t xml:space="preserve">RP1547819</t>
  </si>
  <si>
    <t xml:space="preserve">RP1047821</t>
  </si>
  <si>
    <t xml:space="preserve">RP1547803</t>
  </si>
  <si>
    <t xml:space="preserve">RP1047811</t>
  </si>
  <si>
    <t xml:space="preserve">RP1192101</t>
  </si>
  <si>
    <t xml:space="preserve">STANSBERRY GEORGE</t>
  </si>
  <si>
    <t xml:space="preserve">RP1095902</t>
  </si>
  <si>
    <t xml:space="preserve">STEPHEN GAS CO</t>
  </si>
  <si>
    <t xml:space="preserve">RP1119101</t>
  </si>
  <si>
    <t xml:space="preserve">STEPHEN GAS CO &amp; CHAS ENGEL</t>
  </si>
  <si>
    <t xml:space="preserve">RP1300001</t>
  </si>
  <si>
    <t xml:space="preserve">STEPHEN GAS COMPANY</t>
  </si>
  <si>
    <t xml:space="preserve">RP1300002</t>
  </si>
  <si>
    <t xml:space="preserve">AT3564701</t>
  </si>
  <si>
    <t xml:space="preserve">STEPHEN GAS COMPANY (Allied Natural)</t>
  </si>
  <si>
    <t xml:space="preserve">AT3564801</t>
  </si>
  <si>
    <t xml:space="preserve">AT3557501</t>
  </si>
  <si>
    <t xml:space="preserve">TRIAD ENERGY CORP OF WV</t>
  </si>
  <si>
    <t xml:space="preserve">AT4348401</t>
  </si>
  <si>
    <t xml:space="preserve">VIKING RESOURCES CORP</t>
  </si>
  <si>
    <t xml:space="preserve">AT5131001</t>
  </si>
  <si>
    <t xml:space="preserve">AT5167701</t>
  </si>
  <si>
    <t xml:space="preserve">AT5167801</t>
  </si>
  <si>
    <t xml:space="preserve">AT5168201</t>
  </si>
  <si>
    <t xml:space="preserve">AT5168301</t>
  </si>
  <si>
    <t xml:space="preserve">RP1009005</t>
  </si>
  <si>
    <t xml:space="preserve">VILLERS DONNOLLY</t>
  </si>
  <si>
    <t xml:space="preserve">RP1048405</t>
  </si>
  <si>
    <t xml:space="preserve">VIRCO CORPORATION</t>
  </si>
  <si>
    <t xml:space="preserve">RP1512401</t>
  </si>
  <si>
    <t xml:space="preserve">WALKER GAS COMPANY</t>
  </si>
  <si>
    <t xml:space="preserve">RP1185604</t>
  </si>
  <si>
    <t xml:space="preserve">WILLOW BEND OPERATING CO INC</t>
  </si>
  <si>
    <t xml:space="preserve">RP1185601</t>
  </si>
  <si>
    <t xml:space="preserve">AcctID</t>
  </si>
  <si>
    <t xml:space="preserve">Dec1-2Dth</t>
  </si>
  <si>
    <t xml:space="preserve">Dec3-31Dth</t>
  </si>
  <si>
    <t xml:space="preserve">AT4374001</t>
  </si>
  <si>
    <t xml:space="preserve">TW</t>
  </si>
  <si>
    <t xml:space="preserve">QA001MA</t>
  </si>
  <si>
    <t xml:space="preserve">ENRON CAPITAL &amp; TRADE RESOURCES</t>
  </si>
  <si>
    <t xml:space="preserve">TD</t>
  </si>
  <si>
    <t xml:space="preserve">GW</t>
  </si>
  <si>
    <t xml:space="preserve">GD</t>
  </si>
  <si>
    <t xml:space="preserve">D G HANEY INC</t>
  </si>
  <si>
    <t xml:space="preserve">PRIVATE STOCK CORP</t>
  </si>
  <si>
    <t xml:space="preserve">MCKOWN &amp; SON INC C I</t>
  </si>
  <si>
    <t xml:space="preserve">CENTRAL PACIFIC GROUP</t>
  </si>
  <si>
    <t xml:space="preserve">RITCHIE PETROLEUM CORP</t>
  </si>
  <si>
    <t xml:space="preserve">EXPLORATION PARTNERS LLC</t>
  </si>
  <si>
    <t xml:space="preserve">P &amp; C OIL AND GAS INC</t>
  </si>
  <si>
    <t xml:space="preserve">JAYBEE PRODUCTION CO</t>
  </si>
  <si>
    <t xml:space="preserve">GAINS PERRY</t>
  </si>
  <si>
    <t xml:space="preserve">COMMONWEALTH ENERGY INC</t>
  </si>
  <si>
    <t xml:space="preserve">RUBIN RESOURCES CO</t>
  </si>
  <si>
    <t xml:space="preserve">LIPPIZAN PETROLEUM INC</t>
  </si>
  <si>
    <t xml:space="preserve">SHELDON &amp; SHELDON</t>
  </si>
  <si>
    <t xml:space="preserve">GERONIMO ENTERPRISES INC</t>
  </si>
  <si>
    <t xml:space="preserve">P &amp; M OIL COMPANY INC</t>
  </si>
  <si>
    <t xml:space="preserve">POWELL ILA AGENT</t>
  </si>
  <si>
    <t xml:space="preserve">B &amp; J GAS &amp; OIL</t>
  </si>
  <si>
    <t xml:space="preserve">CRESTON WELL SERVICES INC</t>
  </si>
  <si>
    <t xml:space="preserve">POCONO ENERGY</t>
  </si>
  <si>
    <t xml:space="preserve">GAS MARKETING INC</t>
  </si>
  <si>
    <t xml:space="preserve">GILCO GAS INC</t>
  </si>
  <si>
    <t xml:space="preserve">COOK-RUSH GAS COMPANY</t>
  </si>
  <si>
    <t xml:space="preserve">KENNEDY BILLY N</t>
  </si>
  <si>
    <t xml:space="preserve">Mcf</t>
  </si>
  <si>
    <t xml:space="preserve">Dth</t>
  </si>
  <si>
    <t xml:space="preserve">Ret %</t>
  </si>
  <si>
    <t xml:space="preserve">Mcf Fuel</t>
  </si>
  <si>
    <t xml:space="preserve">Dth Fuel</t>
  </si>
  <si>
    <t xml:space="preserve">Net Mcf</t>
  </si>
  <si>
    <t xml:space="preserve">Net Dth</t>
  </si>
  <si>
    <t xml:space="preserve">GathFuel</t>
  </si>
  <si>
    <t xml:space="preserve">GathSvc</t>
  </si>
  <si>
    <t xml:space="preserve">ExtrFuel</t>
  </si>
  <si>
    <t xml:space="preserve">ExtrSvc</t>
  </si>
  <si>
    <t xml:space="preserve">200110</t>
  </si>
  <si>
    <t xml:space="preserve">DT001STW</t>
  </si>
  <si>
    <t xml:space="preserve">DT001STD</t>
  </si>
  <si>
    <t xml:space="preserve">DT001NGD</t>
  </si>
  <si>
    <t xml:space="preserve">A26</t>
  </si>
  <si>
    <t xml:space="preserve">PROCESS PRIOR MISSING CHART</t>
  </si>
  <si>
    <t xml:space="preserve">M01</t>
  </si>
  <si>
    <t xml:space="preserve">METER TEST ADJUSTMENT</t>
  </si>
  <si>
    <t xml:space="preserve">A40</t>
  </si>
  <si>
    <t xml:space="preserve">QTY Change - Prior Per Qids</t>
  </si>
  <si>
    <t xml:space="preserve">CNG-POOL</t>
  </si>
  <si>
    <t xml:space="preserve">NO DEDUCTIONS AS OF JAN 01 PRODUCTION</t>
  </si>
  <si>
    <t xml:space="preserve">IFERC</t>
  </si>
  <si>
    <t xml:space="preserve">NGI</t>
  </si>
  <si>
    <t xml:space="preserve">NO</t>
  </si>
  <si>
    <t xml:space="preserve">T Date</t>
  </si>
  <si>
    <t xml:space="preserve">CNG Name</t>
  </si>
  <si>
    <t xml:space="preserve">Deal#</t>
  </si>
  <si>
    <t xml:space="preserve">Contract</t>
  </si>
  <si>
    <t xml:space="preserve">Pricing</t>
  </si>
  <si>
    <t xml:space="preserve">MCF</t>
  </si>
  <si>
    <t xml:space="preserve">RATE</t>
  </si>
  <si>
    <t xml:space="preserve">DTH</t>
  </si>
  <si>
    <t xml:space="preserve">TRNSPT</t>
  </si>
  <si>
    <t xml:space="preserve">PRICE</t>
  </si>
  <si>
    <t xml:space="preserve">Ext. Price </t>
  </si>
  <si>
    <t xml:space="preserve">Dec1-2 Dth</t>
  </si>
  <si>
    <t xml:space="preserve">Dec1-2 Amt</t>
  </si>
  <si>
    <t xml:space="preserve">Dec3-31 Dth</t>
  </si>
  <si>
    <t xml:space="preserve">Dec3-31 Amt</t>
  </si>
  <si>
    <t xml:space="preserve">EffDate</t>
  </si>
  <si>
    <t xml:space="preserve"> </t>
  </si>
  <si>
    <t xml:space="preserve">016-00129-01-001</t>
  </si>
  <si>
    <t xml:space="preserve">98% NGI</t>
  </si>
  <si>
    <t xml:space="preserve">NA</t>
  </si>
  <si>
    <t xml:space="preserve">ALLIED NATURAL GAS PROD LTD</t>
  </si>
  <si>
    <t xml:space="preserve">98% IF</t>
  </si>
  <si>
    <t xml:space="preserve">100% IF</t>
  </si>
  <si>
    <t xml:space="preserve">H. E. Acker c/o Bowie Inc.</t>
  </si>
  <si>
    <t xml:space="preserve">016-10486-01-001</t>
  </si>
  <si>
    <t xml:space="preserve">2.79 till 03/01</t>
  </si>
  <si>
    <t xml:space="preserve">PETRO-GO INC</t>
  </si>
  <si>
    <t xml:space="preserve">016-08249-01-001</t>
  </si>
  <si>
    <t xml:space="preserve">IFERC LESS $.08</t>
  </si>
  <si>
    <t xml:space="preserve">98% IFCNG</t>
  </si>
  <si>
    <t xml:space="preserve">BOGGS NATURAL GAS CO</t>
  </si>
  <si>
    <t xml:space="preserve">IFERC --$.01(S)+.01 (W)</t>
  </si>
  <si>
    <t xml:space="preserve">Tier $3.086</t>
  </si>
  <si>
    <t xml:space="preserve">Tier 3.11 Bal IF</t>
  </si>
  <si>
    <t xml:space="preserve">Combining MID numbers</t>
  </si>
  <si>
    <t xml:space="preserve">016-13884-01-001</t>
  </si>
  <si>
    <t xml:space="preserve">100% IFERC</t>
  </si>
  <si>
    <t xml:space="preserve">016-14385-01-002</t>
  </si>
  <si>
    <t xml:space="preserve">IFERC LESS $.02</t>
  </si>
  <si>
    <t xml:space="preserve">016-14599-01-001</t>
  </si>
  <si>
    <t xml:space="preserve">Tier</t>
  </si>
  <si>
    <t xml:space="preserve">016-15062-01-001</t>
  </si>
  <si>
    <t xml:space="preserve">97% IFERC</t>
  </si>
  <si>
    <t xml:space="preserve">fmr Ritchie Petroleum</t>
  </si>
  <si>
    <t xml:space="preserve">016-38334-01-001</t>
  </si>
  <si>
    <t xml:space="preserve">99% IFERC</t>
  </si>
  <si>
    <t xml:space="preserve">to Charity Gas 8/1</t>
  </si>
  <si>
    <t xml:space="preserve">100% IF + .01</t>
  </si>
  <si>
    <t xml:space="preserve">COLUMBIA GAS TRANS CORP</t>
  </si>
  <si>
    <t xml:space="preserve">from AMERICAN ENERGY CORP</t>
  </si>
  <si>
    <t xml:space="preserve">016-02414-01-001</t>
  </si>
  <si>
    <t xml:space="preserve">Tier 5.80- old 98% IFERC</t>
  </si>
  <si>
    <t xml:space="preserve">Tier 5.80 </t>
  </si>
  <si>
    <t xml:space="preserve">016-20934-01-001</t>
  </si>
  <si>
    <t xml:space="preserve">99% NGI</t>
  </si>
  <si>
    <t xml:space="preserve">016-21579-01-001</t>
  </si>
  <si>
    <t xml:space="preserve">IFERC - $.08</t>
  </si>
  <si>
    <t xml:space="preserve">DENVER SISSON</t>
  </si>
  <si>
    <t xml:space="preserve">016-37148-01-001</t>
  </si>
  <si>
    <t xml:space="preserve">98% IFERC</t>
  </si>
  <si>
    <t xml:space="preserve">Tiered $3.03 Bal IF</t>
  </si>
  <si>
    <t xml:space="preserve">016-84822-01-001</t>
  </si>
  <si>
    <t xml:space="preserve">99% IFERC/CPSP</t>
  </si>
  <si>
    <t xml:space="preserve">016-23124-01-001</t>
  </si>
  <si>
    <t xml:space="preserve">COLUMBIA ENERGY SERVICES</t>
  </si>
  <si>
    <t xml:space="preserve">016-26784-01-001</t>
  </si>
  <si>
    <t xml:space="preserve">95% IFERC</t>
  </si>
  <si>
    <t xml:space="preserve">100% IF-.02</t>
  </si>
  <si>
    <t xml:space="preserve">016-27274-01-001</t>
  </si>
  <si>
    <t xml:space="preserve">S(100%IFERC)W(IFERC +.02)</t>
  </si>
  <si>
    <t xml:space="preserve">016-27292-01-001</t>
  </si>
  <si>
    <t xml:space="preserve">016-31420-01-001</t>
  </si>
  <si>
    <t xml:space="preserve">100% IFERC (s)  +.01 (w)</t>
  </si>
  <si>
    <t xml:space="preserve">016-35823-01-001</t>
  </si>
  <si>
    <t xml:space="preserve">$2.00 PER MMBTU</t>
  </si>
  <si>
    <t xml:space="preserve">016-43001-01-001</t>
  </si>
  <si>
    <t xml:space="preserve">016-70649-01-001</t>
  </si>
  <si>
    <t xml:space="preserve">95% OF IFERC</t>
  </si>
  <si>
    <t xml:space="preserve">016-48809-01-001</t>
  </si>
  <si>
    <t xml:space="preserve">016-44782-01-001</t>
  </si>
  <si>
    <t xml:space="preserve">016-50329-01-001</t>
  </si>
  <si>
    <t xml:space="preserve">100% NGI</t>
  </si>
  <si>
    <t xml:space="preserve">016-52911-01-001</t>
  </si>
  <si>
    <t xml:space="preserve">016-71375-01-001</t>
  </si>
  <si>
    <t xml:space="preserve">016-58860-01-001</t>
  </si>
  <si>
    <t xml:space="preserve">IFERC LESS $.05</t>
  </si>
  <si>
    <t xml:space="preserve">Contract ends 1-31-02, Megan not renewing</t>
  </si>
  <si>
    <t xml:space="preserve">016-65929-01-001</t>
  </si>
  <si>
    <t xml:space="preserve">96% OF IFERC</t>
  </si>
  <si>
    <t xml:space="preserve">016-66919-01-001</t>
  </si>
  <si>
    <t xml:space="preserve">016-67002-01-001</t>
  </si>
  <si>
    <t xml:space="preserve">95%  OF IFERC</t>
  </si>
  <si>
    <t xml:space="preserve">99% OF IFER</t>
  </si>
  <si>
    <t xml:space="preserve">016-67032-01-001</t>
  </si>
  <si>
    <t xml:space="preserve">PACIFIC ATLANTIC RESOURCES</t>
  </si>
  <si>
    <t xml:space="preserve">APPALACHIAN ENERGY INC</t>
  </si>
  <si>
    <t xml:space="preserve">016-68783-01-001</t>
  </si>
  <si>
    <t xml:space="preserve">016-70062-01-001</t>
  </si>
  <si>
    <t xml:space="preserve">98% OF NGI</t>
  </si>
  <si>
    <t xml:space="preserve">016-70303-01-001</t>
  </si>
  <si>
    <t xml:space="preserve">(W) IFERC + .01 (S) 100% IFERC</t>
  </si>
  <si>
    <t xml:space="preserve">PRIVATE STOCK</t>
  </si>
  <si>
    <t xml:space="preserve">Contract ends 1-1-02</t>
  </si>
  <si>
    <t xml:space="preserve">016-73629-01-001</t>
  </si>
  <si>
    <t xml:space="preserve">Tier 3000 @ 3.16</t>
  </si>
  <si>
    <t xml:space="preserve">016-66549-01-001</t>
  </si>
  <si>
    <t xml:space="preserve">016-74123-01-001</t>
  </si>
  <si>
    <t xml:space="preserve">96% IFERC</t>
  </si>
  <si>
    <t xml:space="preserve">016-76053-01-001</t>
  </si>
  <si>
    <t xml:space="preserve">IFERC -EVEN (S) INDEX +$.02 (W)   </t>
  </si>
  <si>
    <t xml:space="preserve">RUBIN RESOURCES ******(See notes)</t>
  </si>
  <si>
    <t xml:space="preserve">016-76198-01-001</t>
  </si>
  <si>
    <t xml:space="preserve">016-77665-01-001</t>
  </si>
  <si>
    <t xml:space="preserve">85% OF IFERC</t>
  </si>
  <si>
    <t xml:space="preserve">016-32469-01-001</t>
  </si>
  <si>
    <t xml:space="preserve">100% IF + .00</t>
  </si>
  <si>
    <t xml:space="preserve">12/103/01</t>
  </si>
  <si>
    <t xml:space="preserve">016-64327-01-001</t>
  </si>
  <si>
    <t xml:space="preserve">100% IFERC (S) +.02 (W)</t>
  </si>
  <si>
    <t xml:space="preserve">016-82500-01-001</t>
  </si>
  <si>
    <t xml:space="preserve">IFERC EVEN</t>
  </si>
  <si>
    <t xml:space="preserve">016-83231-01-001</t>
  </si>
  <si>
    <t xml:space="preserve">016-83849-01-001</t>
  </si>
  <si>
    <t xml:space="preserve">98% IFERC </t>
  </si>
  <si>
    <t xml:space="preserve">IFERC Even(s)+.01(w)</t>
  </si>
  <si>
    <t xml:space="preserve">016-91923-01-001</t>
  </si>
  <si>
    <t xml:space="preserve">016-91921-01-001</t>
  </si>
  <si>
    <t xml:space="preserve">016-91919-01-003</t>
  </si>
  <si>
    <t xml:space="preserve">016-92796-01-001</t>
  </si>
  <si>
    <t xml:space="preserve">NEW</t>
  </si>
  <si>
    <t xml:space="preserve">CHECK 100% IFERC</t>
  </si>
  <si>
    <t xml:space="preserve">ABARTA OIL &amp; GAS</t>
  </si>
  <si>
    <t xml:space="preserve">1/1/00 to 3/31/00</t>
  </si>
  <si>
    <t xml:space="preserve">EXPIRED</t>
  </si>
  <si>
    <t xml:space="preserve">7500/mo @ 2.875  remainder @</t>
  </si>
  <si>
    <t xml:space="preserve">remaining price at index + S or W</t>
  </si>
  <si>
    <t xml:space="preserve">Total</t>
  </si>
  <si>
    <t xml:space="preserve">MMBTU</t>
  </si>
  <si>
    <t xml:space="preserve">Weighted Average</t>
  </si>
  <si>
    <t xml:space="preserve">BOWIE</t>
  </si>
  <si>
    <t xml:space="preserve">11/1/00 to  3/31/01</t>
  </si>
  <si>
    <t xml:space="preserve">10000 per confirmation, 11000 per heidi</t>
  </si>
  <si>
    <t xml:space="preserve">remaining price at index +.01(W) -.01(S)</t>
  </si>
  <si>
    <t xml:space="preserve">11/1/00 to 3/31/01</t>
  </si>
  <si>
    <t xml:space="preserve">remaining price at index </t>
  </si>
  <si>
    <t xml:space="preserve">C.I.McKOWN &amp; Sons</t>
  </si>
  <si>
    <t xml:space="preserve">CNG</t>
  </si>
  <si>
    <t xml:space="preserve">04/1/00 to  3/31/01</t>
  </si>
  <si>
    <t xml:space="preserve">remaining price at index</t>
  </si>
  <si>
    <t xml:space="preserve">CARDINAL NAT FUEL</t>
  </si>
  <si>
    <t xml:space="preserve">4/1/00 to 03/31/01</t>
  </si>
  <si>
    <t xml:space="preserve">6/1/00 to 05/31/01</t>
  </si>
  <si>
    <t xml:space="preserve">expired</t>
  </si>
  <si>
    <t xml:space="preserve">remainder @ index -.02</t>
  </si>
  <si>
    <t xml:space="preserve">Total Dth</t>
  </si>
  <si>
    <t xml:space="preserve">Price</t>
  </si>
  <si>
    <t xml:space="preserve">Cedar Resources</t>
  </si>
  <si>
    <t xml:space="preserve">12/1/00 to 11/30/02</t>
  </si>
  <si>
    <t xml:space="preserve">verified 6/6</t>
  </si>
  <si>
    <r>
      <rPr>
        <b val="true"/>
        <sz val="10"/>
        <rFont val="Arial"/>
        <family val="2"/>
      </rPr>
      <t xml:space="preserve">12/1/00 to </t>
    </r>
    <r>
      <rPr>
        <b val="true"/>
        <sz val="10"/>
        <color rgb="FFFF0000"/>
        <rFont val="Arial"/>
        <family val="2"/>
      </rPr>
      <t xml:space="preserve">11/30/01</t>
    </r>
  </si>
  <si>
    <t xml:space="preserve">remainder @ 99% CNG index</t>
  </si>
  <si>
    <t xml:space="preserve">Commonwealth Energy Inc</t>
  </si>
  <si>
    <t xml:space="preserve">1/1/01 to 12/31/01</t>
  </si>
  <si>
    <t xml:space="preserve">6000/mo @</t>
  </si>
  <si>
    <t xml:space="preserve">1/1/00 to 8/31/00</t>
  </si>
  <si>
    <t xml:space="preserve">Exploration Partners</t>
  </si>
  <si>
    <t xml:space="preserve">15000 @ 2.96  11/01/99 to 10/31/00</t>
  </si>
  <si>
    <t xml:space="preserve">Bowie</t>
  </si>
  <si>
    <t xml:space="preserve">Apr-oct</t>
  </si>
  <si>
    <t xml:space="preserve">8000 @ 2.86 03/01/00 to 02/28/01  </t>
  </si>
  <si>
    <t xml:space="preserve">15000 @ 3.16 11/01/00 to 03/31/01  </t>
  </si>
  <si>
    <t xml:space="preserve">Nov-Mar</t>
  </si>
  <si>
    <t xml:space="preserve">Jay Bee Oil &amp; Gas</t>
  </si>
  <si>
    <t xml:space="preserve">Pacific-Atlantic</t>
  </si>
  <si>
    <t xml:space="preserve">confirmed 10/1</t>
  </si>
  <si>
    <t xml:space="preserve">11/1/00-10/31/01</t>
  </si>
  <si>
    <t xml:space="preserve">remaining price at index *.99</t>
  </si>
  <si>
    <t xml:space="preserve">Pentex</t>
  </si>
  <si>
    <t xml:space="preserve">7000/mo @</t>
  </si>
  <si>
    <t xml:space="preserve">12/01/00-3/31/2001</t>
  </si>
  <si>
    <t xml:space="preserve">remaining price at index +0 S or +.01 W</t>
  </si>
  <si>
    <t xml:space="preserve">Pocono-cng</t>
  </si>
  <si>
    <t xml:space="preserve">4/0/00 to 3/31/01</t>
  </si>
  <si>
    <t xml:space="preserve">Private Stock</t>
  </si>
  <si>
    <t xml:space="preserve">OLD</t>
  </si>
  <si>
    <t xml:space="preserve">10/1/00 to 9/30/01</t>
  </si>
  <si>
    <t xml:space="preserve">9/1/99 to 08/31/00</t>
  </si>
  <si>
    <t xml:space="preserve">Ritchie GAS</t>
  </si>
  <si>
    <t xml:space="preserve">The McIntosh</t>
  </si>
  <si>
    <t xml:space="preserve">10,000/mo @</t>
  </si>
  <si>
    <t xml:space="preserve">4/1/00 to 10/31/00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</si>
</sst>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\$#,##0.0000_);&quot;($&quot;#,##0.0000\)"/>
    <numFmt numFmtId="166" formatCode="[$-409]m/d/yyyy"/>
    <numFmt numFmtId="167" formatCode="[$-409]m/d/yyyy\ h:mm"/>
    <numFmt numFmtId="168" formatCode="@"/>
    <numFmt numFmtId="169" formatCode="[$-409]mmm\-yy"/>
    <numFmt numFmtId="170" formatCode="0"/>
    <numFmt numFmtId="171" formatCode="mm/dd/yy"/>
    <numFmt numFmtId="172" formatCode="_(* #,##0.00_);_(* \(#,##0.00\);_(* \-??_);_(@_)"/>
    <numFmt numFmtId="173" formatCode="_(* #,##0.0000_);_(* \(#,##0.0000\);_(* \-??_);_(@_)"/>
    <numFmt numFmtId="174" formatCode="0.0000"/>
    <numFmt numFmtId="175" formatCode="#,##0.00"/>
    <numFmt numFmtId="176" formatCode="0.00000"/>
    <numFmt numFmtId="177" formatCode="#,##0"/>
    <numFmt numFmtId="178" formatCode="\$#,##0.00_);&quot;($&quot;#,##0.00\)"/>
    <numFmt numFmtId="179" formatCode="#,##0.0000"/>
    <numFmt numFmtId="180" formatCode="0.000"/>
    <numFmt numFmtId="181" formatCode="0.00"/>
    <numFmt numFmtId="182" formatCode="[$-409]d\-mmm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 Narrow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8"/>
      <color rgb="FFFF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CC99"/>
        <bgColor rgb="FFC0C0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1" applyFont="true" applyBorder="tru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1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1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8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1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1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11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1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s" xfId="20"/>
  </cellStyles>
  <dxfs count="4"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5.56"/>
    <col collapsed="false" customWidth="true" hidden="false" outlineLevel="0" max="3" min="3" style="0" width="9.56"/>
    <col collapsed="false" customWidth="true" hidden="false" outlineLevel="0" max="4" min="4" style="0" width="44.99"/>
    <col collapsed="false" customWidth="true" hidden="false" outlineLevel="0" max="5" min="5" style="1" width="10.85"/>
    <col collapsed="false" customWidth="true" hidden="false" outlineLevel="0" max="6" min="6" style="0" width="10.13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customFormat="false" ht="12.75" hidden="false" customHeight="false" outlineLevel="0" collapsed="false">
      <c r="A2" s="4" t="s">
        <v>5</v>
      </c>
      <c r="B2" s="5" t="s">
        <v>6</v>
      </c>
      <c r="C2" s="6" t="n">
        <v>3326301</v>
      </c>
      <c r="D2" s="4" t="s">
        <v>7</v>
      </c>
      <c r="E2" s="7"/>
    </row>
    <row r="3" customFormat="false" ht="12.75" hidden="false" customHeight="false" outlineLevel="0" collapsed="false">
      <c r="A3" s="4" t="s">
        <v>8</v>
      </c>
      <c r="B3" s="6" t="s">
        <v>9</v>
      </c>
      <c r="C3" s="6" t="n">
        <v>3505301</v>
      </c>
      <c r="D3" s="4" t="s">
        <v>10</v>
      </c>
      <c r="E3" s="7" t="n">
        <v>37257</v>
      </c>
      <c r="F3" s="7" t="n">
        <v>37257</v>
      </c>
    </row>
    <row r="4" customFormat="false" ht="12.75" hidden="false" customHeight="false" outlineLevel="0" collapsed="false">
      <c r="A4" s="4" t="s">
        <v>8</v>
      </c>
      <c r="B4" s="6" t="s">
        <v>11</v>
      </c>
      <c r="C4" s="6" t="n">
        <v>3511801</v>
      </c>
      <c r="D4" s="4" t="s">
        <v>10</v>
      </c>
      <c r="E4" s="7" t="n">
        <v>37257</v>
      </c>
      <c r="F4" s="7" t="n">
        <v>37257</v>
      </c>
    </row>
    <row r="5" customFormat="false" ht="12.75" hidden="false" customHeight="false" outlineLevel="0" collapsed="false">
      <c r="A5" s="4" t="s">
        <v>8</v>
      </c>
      <c r="B5" s="6" t="s">
        <v>12</v>
      </c>
      <c r="C5" s="6" t="n">
        <v>3516301</v>
      </c>
      <c r="D5" s="4" t="s">
        <v>10</v>
      </c>
      <c r="E5" s="7" t="n">
        <v>37257</v>
      </c>
      <c r="F5" s="7" t="n">
        <v>37257</v>
      </c>
    </row>
    <row r="6" customFormat="false" ht="12.75" hidden="false" customHeight="false" outlineLevel="0" collapsed="false">
      <c r="A6" s="4" t="s">
        <v>8</v>
      </c>
      <c r="B6" s="6" t="s">
        <v>13</v>
      </c>
      <c r="C6" s="6" t="n">
        <v>3517001</v>
      </c>
      <c r="D6" s="4" t="s">
        <v>10</v>
      </c>
      <c r="E6" s="7" t="n">
        <v>37257</v>
      </c>
      <c r="F6" s="7" t="n">
        <v>37257</v>
      </c>
    </row>
    <row r="7" customFormat="false" ht="12.75" hidden="false" customHeight="false" outlineLevel="0" collapsed="false">
      <c r="A7" s="4" t="s">
        <v>8</v>
      </c>
      <c r="B7" s="6" t="s">
        <v>14</v>
      </c>
      <c r="C7" s="6" t="n">
        <v>3522201</v>
      </c>
      <c r="D7" s="4" t="s">
        <v>10</v>
      </c>
      <c r="E7" s="7" t="n">
        <v>37257</v>
      </c>
      <c r="F7" s="7" t="n">
        <v>37257</v>
      </c>
    </row>
    <row r="8" customFormat="false" ht="12.75" hidden="false" customHeight="false" outlineLevel="0" collapsed="false">
      <c r="A8" s="4" t="s">
        <v>8</v>
      </c>
      <c r="B8" s="6" t="s">
        <v>15</v>
      </c>
      <c r="C8" s="6" t="n">
        <v>3522901</v>
      </c>
      <c r="D8" s="4" t="s">
        <v>10</v>
      </c>
      <c r="E8" s="7" t="n">
        <v>37257</v>
      </c>
      <c r="F8" s="7" t="n">
        <v>37257</v>
      </c>
    </row>
    <row r="9" customFormat="false" ht="12.75" hidden="false" customHeight="false" outlineLevel="0" collapsed="false">
      <c r="A9" s="4" t="s">
        <v>8</v>
      </c>
      <c r="B9" s="6" t="s">
        <v>16</v>
      </c>
      <c r="C9" s="6" t="n">
        <v>3528901</v>
      </c>
      <c r="D9" s="4" t="s">
        <v>10</v>
      </c>
      <c r="E9" s="7" t="n">
        <v>37257</v>
      </c>
      <c r="F9" s="7" t="n">
        <v>37257</v>
      </c>
    </row>
    <row r="10" customFormat="false" ht="12.75" hidden="false" customHeight="false" outlineLevel="0" collapsed="false">
      <c r="A10" s="4" t="s">
        <v>8</v>
      </c>
      <c r="B10" s="6" t="s">
        <v>17</v>
      </c>
      <c r="C10" s="6" t="n">
        <v>3529001</v>
      </c>
      <c r="D10" s="4" t="s">
        <v>10</v>
      </c>
      <c r="E10" s="7" t="n">
        <v>37257</v>
      </c>
      <c r="F10" s="7" t="n">
        <v>37257</v>
      </c>
    </row>
    <row r="11" customFormat="false" ht="12.75" hidden="false" customHeight="false" outlineLevel="0" collapsed="false">
      <c r="A11" s="4" t="s">
        <v>8</v>
      </c>
      <c r="B11" s="6" t="s">
        <v>18</v>
      </c>
      <c r="C11" s="6" t="n">
        <v>3529101</v>
      </c>
      <c r="D11" s="4" t="s">
        <v>10</v>
      </c>
      <c r="E11" s="7" t="n">
        <v>37257</v>
      </c>
      <c r="F11" s="7" t="n">
        <v>37257</v>
      </c>
    </row>
    <row r="12" customFormat="false" ht="12.75" hidden="false" customHeight="false" outlineLevel="0" collapsed="false">
      <c r="A12" s="4" t="s">
        <v>8</v>
      </c>
      <c r="B12" s="6" t="s">
        <v>19</v>
      </c>
      <c r="C12" s="6" t="n">
        <v>3532301</v>
      </c>
      <c r="D12" s="4" t="s">
        <v>10</v>
      </c>
      <c r="E12" s="7" t="n">
        <v>37257</v>
      </c>
      <c r="F12" s="7" t="n">
        <v>37257</v>
      </c>
    </row>
    <row r="13" customFormat="false" ht="12.75" hidden="false" customHeight="false" outlineLevel="0" collapsed="false">
      <c r="A13" s="4" t="s">
        <v>8</v>
      </c>
      <c r="B13" s="6" t="s">
        <v>20</v>
      </c>
      <c r="C13" s="6" t="n">
        <v>3540501</v>
      </c>
      <c r="D13" s="4" t="s">
        <v>10</v>
      </c>
      <c r="E13" s="7" t="n">
        <v>37257</v>
      </c>
      <c r="F13" s="7" t="n">
        <v>37257</v>
      </c>
    </row>
    <row r="14" customFormat="false" ht="12.75" hidden="false" customHeight="false" outlineLevel="0" collapsed="false">
      <c r="A14" s="4" t="s">
        <v>8</v>
      </c>
      <c r="B14" s="6" t="s">
        <v>21</v>
      </c>
      <c r="C14" s="6" t="n">
        <v>3542401</v>
      </c>
      <c r="D14" s="4" t="s">
        <v>10</v>
      </c>
      <c r="E14" s="7" t="n">
        <v>37257</v>
      </c>
      <c r="F14" s="7" t="n">
        <v>37257</v>
      </c>
    </row>
    <row r="15" customFormat="false" ht="12.75" hidden="false" customHeight="false" outlineLevel="0" collapsed="false">
      <c r="A15" s="4" t="s">
        <v>5</v>
      </c>
      <c r="B15" s="5" t="s">
        <v>22</v>
      </c>
      <c r="C15" s="6" t="n">
        <v>4044401</v>
      </c>
      <c r="D15" s="8" t="s">
        <v>23</v>
      </c>
      <c r="E15" s="9"/>
    </row>
    <row r="16" customFormat="false" ht="12.75" hidden="false" customHeight="false" outlineLevel="0" collapsed="false">
      <c r="A16" s="4" t="s">
        <v>8</v>
      </c>
      <c r="B16" s="6" t="s">
        <v>24</v>
      </c>
      <c r="C16" s="6" t="n">
        <v>3559801</v>
      </c>
      <c r="D16" s="4" t="s">
        <v>25</v>
      </c>
      <c r="E16" s="7"/>
    </row>
    <row r="17" customFormat="false" ht="12.75" hidden="false" customHeight="false" outlineLevel="0" collapsed="false">
      <c r="A17" s="4" t="s">
        <v>26</v>
      </c>
      <c r="B17" s="5" t="s">
        <v>27</v>
      </c>
      <c r="C17" s="6" t="s">
        <v>26</v>
      </c>
      <c r="D17" s="4" t="s">
        <v>28</v>
      </c>
      <c r="E17" s="7"/>
    </row>
    <row r="18" customFormat="false" ht="12.75" hidden="false" customHeight="false" outlineLevel="0" collapsed="false">
      <c r="A18" s="4" t="s">
        <v>8</v>
      </c>
      <c r="B18" s="6" t="s">
        <v>29</v>
      </c>
      <c r="C18" s="6" t="n">
        <v>3008001</v>
      </c>
      <c r="D18" s="4" t="s">
        <v>30</v>
      </c>
      <c r="E18" s="7" t="n">
        <v>37257</v>
      </c>
    </row>
    <row r="19" customFormat="false" ht="12.75" hidden="false" customHeight="false" outlineLevel="0" collapsed="false">
      <c r="A19" s="4" t="s">
        <v>8</v>
      </c>
      <c r="B19" s="6" t="s">
        <v>31</v>
      </c>
      <c r="C19" s="6" t="n">
        <v>3015901</v>
      </c>
      <c r="D19" s="4" t="s">
        <v>30</v>
      </c>
      <c r="E19" s="7" t="n">
        <v>37257</v>
      </c>
    </row>
    <row r="20" customFormat="false" ht="12.75" hidden="false" customHeight="false" outlineLevel="0" collapsed="false">
      <c r="A20" s="4" t="s">
        <v>8</v>
      </c>
      <c r="B20" s="6" t="s">
        <v>32</v>
      </c>
      <c r="C20" s="6" t="n">
        <v>3543801</v>
      </c>
      <c r="D20" s="4" t="s">
        <v>30</v>
      </c>
      <c r="E20" s="7" t="n">
        <v>37257</v>
      </c>
    </row>
    <row r="21" customFormat="false" ht="12.75" hidden="false" customHeight="false" outlineLevel="0" collapsed="false">
      <c r="A21" s="4" t="s">
        <v>8</v>
      </c>
      <c r="B21" s="6" t="s">
        <v>33</v>
      </c>
      <c r="C21" s="6" t="n">
        <v>3562701</v>
      </c>
      <c r="D21" s="4" t="s">
        <v>34</v>
      </c>
      <c r="E21" s="7"/>
    </row>
    <row r="22" customFormat="false" ht="12.75" hidden="false" customHeight="false" outlineLevel="0" collapsed="false">
      <c r="A22" s="4" t="s">
        <v>5</v>
      </c>
      <c r="B22" s="5" t="s">
        <v>35</v>
      </c>
      <c r="C22" s="6" t="n">
        <v>3545501</v>
      </c>
      <c r="D22" s="4" t="s">
        <v>36</v>
      </c>
      <c r="E22" s="7"/>
    </row>
    <row r="23" customFormat="false" ht="12.75" hidden="false" customHeight="false" outlineLevel="0" collapsed="false">
      <c r="A23" s="4" t="s">
        <v>5</v>
      </c>
      <c r="B23" s="5" t="s">
        <v>37</v>
      </c>
      <c r="C23" s="6" t="n">
        <v>4006101</v>
      </c>
      <c r="D23" s="4" t="s">
        <v>36</v>
      </c>
      <c r="E23" s="7"/>
    </row>
    <row r="24" customFormat="false" ht="12.75" hidden="false" customHeight="false" outlineLevel="0" collapsed="false">
      <c r="A24" s="4" t="s">
        <v>5</v>
      </c>
      <c r="B24" s="5" t="s">
        <v>38</v>
      </c>
      <c r="C24" s="6" t="n">
        <v>4354601</v>
      </c>
      <c r="D24" s="4" t="s">
        <v>36</v>
      </c>
      <c r="E24" s="7"/>
    </row>
    <row r="25" customFormat="false" ht="12.75" hidden="false" customHeight="false" outlineLevel="0" collapsed="false">
      <c r="A25" s="4" t="s">
        <v>5</v>
      </c>
      <c r="B25" s="5" t="s">
        <v>39</v>
      </c>
      <c r="C25" s="6" t="n">
        <v>4357101</v>
      </c>
      <c r="D25" s="4" t="s">
        <v>36</v>
      </c>
      <c r="E25" s="7"/>
    </row>
    <row r="26" customFormat="false" ht="12.75" hidden="false" customHeight="false" outlineLevel="0" collapsed="false">
      <c r="A26" s="4" t="s">
        <v>5</v>
      </c>
      <c r="B26" s="5" t="s">
        <v>40</v>
      </c>
      <c r="C26" s="6" t="n">
        <v>4362701</v>
      </c>
      <c r="D26" s="4" t="s">
        <v>36</v>
      </c>
      <c r="E26" s="7"/>
    </row>
    <row r="27" customFormat="false" ht="12.75" hidden="false" customHeight="false" outlineLevel="0" collapsed="false">
      <c r="A27" s="4" t="s">
        <v>5</v>
      </c>
      <c r="B27" s="5" t="s">
        <v>41</v>
      </c>
      <c r="C27" s="6" t="n">
        <v>4366601</v>
      </c>
      <c r="D27" s="4" t="s">
        <v>36</v>
      </c>
      <c r="E27" s="7"/>
    </row>
    <row r="28" customFormat="false" ht="12.75" hidden="false" customHeight="false" outlineLevel="0" collapsed="false">
      <c r="A28" s="4" t="s">
        <v>26</v>
      </c>
      <c r="B28" s="5" t="s">
        <v>42</v>
      </c>
      <c r="C28" s="6" t="s">
        <v>26</v>
      </c>
      <c r="D28" s="4" t="s">
        <v>36</v>
      </c>
      <c r="E28" s="7"/>
    </row>
    <row r="29" customFormat="false" ht="12.75" hidden="false" customHeight="false" outlineLevel="0" collapsed="false">
      <c r="A29" s="4" t="s">
        <v>5</v>
      </c>
      <c r="B29" s="5" t="s">
        <v>43</v>
      </c>
      <c r="C29" s="6" t="n">
        <v>3565301</v>
      </c>
      <c r="D29" s="4" t="s">
        <v>44</v>
      </c>
      <c r="E29" s="7"/>
    </row>
    <row r="30" customFormat="false" ht="12.75" hidden="false" customHeight="false" outlineLevel="0" collapsed="false">
      <c r="A30" s="4" t="s">
        <v>8</v>
      </c>
      <c r="B30" s="6" t="s">
        <v>45</v>
      </c>
      <c r="C30" s="6" t="n">
        <v>1055201</v>
      </c>
      <c r="D30" s="4" t="s">
        <v>46</v>
      </c>
      <c r="E30" s="7" t="n">
        <v>37228</v>
      </c>
    </row>
    <row r="31" customFormat="false" ht="12.75" hidden="false" customHeight="false" outlineLevel="0" collapsed="false">
      <c r="A31" s="4" t="s">
        <v>8</v>
      </c>
      <c r="B31" s="6" t="s">
        <v>47</v>
      </c>
      <c r="C31" s="6" t="n">
        <v>1058501</v>
      </c>
      <c r="D31" s="4" t="s">
        <v>46</v>
      </c>
      <c r="E31" s="7" t="n">
        <v>37228</v>
      </c>
    </row>
    <row r="32" customFormat="false" ht="12.75" hidden="false" customHeight="false" outlineLevel="0" collapsed="false">
      <c r="A32" s="4" t="s">
        <v>8</v>
      </c>
      <c r="B32" s="6" t="s">
        <v>48</v>
      </c>
      <c r="C32" s="6" t="n">
        <v>1059901</v>
      </c>
      <c r="D32" s="4" t="s">
        <v>46</v>
      </c>
      <c r="E32" s="7" t="n">
        <v>37228</v>
      </c>
    </row>
    <row r="33" customFormat="false" ht="12.75" hidden="false" customHeight="false" outlineLevel="0" collapsed="false">
      <c r="A33" s="4" t="s">
        <v>8</v>
      </c>
      <c r="B33" s="6" t="s">
        <v>49</v>
      </c>
      <c r="C33" s="6" t="n">
        <v>1063501</v>
      </c>
      <c r="D33" s="4" t="s">
        <v>46</v>
      </c>
      <c r="E33" s="7" t="n">
        <v>37228</v>
      </c>
    </row>
    <row r="34" customFormat="false" ht="12.75" hidden="false" customHeight="false" outlineLevel="0" collapsed="false">
      <c r="A34" s="4" t="s">
        <v>8</v>
      </c>
      <c r="B34" s="6" t="s">
        <v>50</v>
      </c>
      <c r="C34" s="6" t="n">
        <v>3014901</v>
      </c>
      <c r="D34" s="4" t="s">
        <v>46</v>
      </c>
      <c r="E34" s="7" t="n">
        <v>37228</v>
      </c>
    </row>
    <row r="35" customFormat="false" ht="12.75" hidden="false" customHeight="false" outlineLevel="0" collapsed="false">
      <c r="A35" s="4" t="s">
        <v>51</v>
      </c>
      <c r="B35" s="6" t="s">
        <v>52</v>
      </c>
      <c r="C35" s="6" t="n">
        <v>3021701</v>
      </c>
      <c r="D35" s="4" t="s">
        <v>46</v>
      </c>
      <c r="E35" s="7" t="n">
        <v>37228</v>
      </c>
    </row>
    <row r="36" customFormat="false" ht="12.75" hidden="false" customHeight="false" outlineLevel="0" collapsed="false">
      <c r="A36" s="4" t="s">
        <v>51</v>
      </c>
      <c r="B36" s="6" t="s">
        <v>53</v>
      </c>
      <c r="C36" s="6" t="n">
        <v>3023201</v>
      </c>
      <c r="D36" s="4" t="s">
        <v>46</v>
      </c>
      <c r="E36" s="7" t="n">
        <v>37228</v>
      </c>
    </row>
    <row r="37" customFormat="false" ht="12.75" hidden="false" customHeight="false" outlineLevel="0" collapsed="false">
      <c r="A37" s="4" t="s">
        <v>8</v>
      </c>
      <c r="B37" s="6" t="s">
        <v>54</v>
      </c>
      <c r="C37" s="6" t="n">
        <v>3023401</v>
      </c>
      <c r="D37" s="4" t="s">
        <v>46</v>
      </c>
      <c r="E37" s="7" t="n">
        <v>37228</v>
      </c>
    </row>
    <row r="38" customFormat="false" ht="12.75" hidden="false" customHeight="false" outlineLevel="0" collapsed="false">
      <c r="A38" s="4" t="s">
        <v>8</v>
      </c>
      <c r="B38" s="6" t="s">
        <v>55</v>
      </c>
      <c r="C38" s="6" t="n">
        <v>3024701</v>
      </c>
      <c r="D38" s="4" t="s">
        <v>46</v>
      </c>
      <c r="E38" s="7" t="n">
        <v>37228</v>
      </c>
    </row>
    <row r="39" customFormat="false" ht="12.75" hidden="false" customHeight="false" outlineLevel="0" collapsed="false">
      <c r="A39" s="4" t="s">
        <v>8</v>
      </c>
      <c r="B39" s="6" t="s">
        <v>56</v>
      </c>
      <c r="C39" s="6" t="n">
        <v>3024901</v>
      </c>
      <c r="D39" s="4" t="s">
        <v>46</v>
      </c>
      <c r="E39" s="7" t="n">
        <v>37228</v>
      </c>
    </row>
    <row r="40" customFormat="false" ht="12.75" hidden="false" customHeight="false" outlineLevel="0" collapsed="false">
      <c r="A40" s="4" t="s">
        <v>8</v>
      </c>
      <c r="B40" s="6" t="s">
        <v>57</v>
      </c>
      <c r="C40" s="6" t="n">
        <v>3025701</v>
      </c>
      <c r="D40" s="4" t="s">
        <v>46</v>
      </c>
      <c r="E40" s="7" t="n">
        <v>37228</v>
      </c>
    </row>
    <row r="41" customFormat="false" ht="12.75" hidden="false" customHeight="false" outlineLevel="0" collapsed="false">
      <c r="A41" s="4" t="s">
        <v>8</v>
      </c>
      <c r="B41" s="6" t="s">
        <v>58</v>
      </c>
      <c r="C41" s="6" t="n">
        <v>3026101</v>
      </c>
      <c r="D41" s="4" t="s">
        <v>46</v>
      </c>
      <c r="E41" s="7" t="n">
        <v>37228</v>
      </c>
    </row>
    <row r="42" customFormat="false" ht="12.75" hidden="false" customHeight="false" outlineLevel="0" collapsed="false">
      <c r="A42" s="4" t="s">
        <v>8</v>
      </c>
      <c r="B42" s="6" t="s">
        <v>59</v>
      </c>
      <c r="C42" s="6" t="n">
        <v>3026401</v>
      </c>
      <c r="D42" s="4" t="s">
        <v>46</v>
      </c>
      <c r="E42" s="7" t="n">
        <v>37228</v>
      </c>
    </row>
    <row r="43" customFormat="false" ht="12.75" hidden="false" customHeight="false" outlineLevel="0" collapsed="false">
      <c r="A43" s="4" t="s">
        <v>8</v>
      </c>
      <c r="B43" s="6" t="s">
        <v>60</v>
      </c>
      <c r="C43" s="6" t="n">
        <v>3026601</v>
      </c>
      <c r="D43" s="4" t="s">
        <v>46</v>
      </c>
      <c r="E43" s="7" t="n">
        <v>37228</v>
      </c>
    </row>
    <row r="44" customFormat="false" ht="12.75" hidden="false" customHeight="false" outlineLevel="0" collapsed="false">
      <c r="A44" s="4" t="s">
        <v>8</v>
      </c>
      <c r="B44" s="6" t="s">
        <v>61</v>
      </c>
      <c r="C44" s="6" t="n">
        <v>3029601</v>
      </c>
      <c r="D44" s="4" t="s">
        <v>46</v>
      </c>
      <c r="E44" s="7" t="n">
        <v>37228</v>
      </c>
    </row>
    <row r="45" customFormat="false" ht="12.75" hidden="false" customHeight="false" outlineLevel="0" collapsed="false">
      <c r="A45" s="4" t="s">
        <v>8</v>
      </c>
      <c r="B45" s="6" t="s">
        <v>62</v>
      </c>
      <c r="C45" s="6" t="n">
        <v>3029801</v>
      </c>
      <c r="D45" s="4" t="s">
        <v>46</v>
      </c>
      <c r="E45" s="7" t="n">
        <v>37228</v>
      </c>
    </row>
    <row r="46" customFormat="false" ht="12.75" hidden="false" customHeight="false" outlineLevel="0" collapsed="false">
      <c r="A46" s="4" t="s">
        <v>8</v>
      </c>
      <c r="B46" s="6" t="s">
        <v>63</v>
      </c>
      <c r="C46" s="6" t="n">
        <v>3031301</v>
      </c>
      <c r="D46" s="4" t="s">
        <v>46</v>
      </c>
      <c r="E46" s="7" t="n">
        <v>37228</v>
      </c>
    </row>
    <row r="47" customFormat="false" ht="12.75" hidden="false" customHeight="false" outlineLevel="0" collapsed="false">
      <c r="A47" s="4" t="s">
        <v>8</v>
      </c>
      <c r="B47" s="6" t="s">
        <v>64</v>
      </c>
      <c r="C47" s="6" t="n">
        <v>3031701</v>
      </c>
      <c r="D47" s="4" t="s">
        <v>46</v>
      </c>
      <c r="E47" s="7" t="n">
        <v>37228</v>
      </c>
    </row>
    <row r="48" customFormat="false" ht="12.75" hidden="false" customHeight="false" outlineLevel="0" collapsed="false">
      <c r="A48" s="4" t="s">
        <v>8</v>
      </c>
      <c r="B48" s="6" t="s">
        <v>65</v>
      </c>
      <c r="C48" s="6" t="n">
        <v>3033601</v>
      </c>
      <c r="D48" s="4" t="s">
        <v>46</v>
      </c>
      <c r="E48" s="7" t="n">
        <v>37228</v>
      </c>
    </row>
    <row r="49" customFormat="false" ht="12.75" hidden="false" customHeight="false" outlineLevel="0" collapsed="false">
      <c r="A49" s="4" t="s">
        <v>8</v>
      </c>
      <c r="B49" s="6" t="s">
        <v>66</v>
      </c>
      <c r="C49" s="6" t="n">
        <v>3034501</v>
      </c>
      <c r="D49" s="4" t="s">
        <v>46</v>
      </c>
      <c r="E49" s="7" t="n">
        <v>37228</v>
      </c>
    </row>
    <row r="50" customFormat="false" ht="12.75" hidden="false" customHeight="false" outlineLevel="0" collapsed="false">
      <c r="A50" s="4" t="s">
        <v>8</v>
      </c>
      <c r="B50" s="6" t="s">
        <v>67</v>
      </c>
      <c r="C50" s="6" t="n">
        <v>3038001</v>
      </c>
      <c r="D50" s="4" t="s">
        <v>46</v>
      </c>
      <c r="E50" s="7" t="n">
        <v>37228</v>
      </c>
    </row>
    <row r="51" customFormat="false" ht="12.75" hidden="false" customHeight="false" outlineLevel="0" collapsed="false">
      <c r="A51" s="4" t="s">
        <v>8</v>
      </c>
      <c r="B51" s="6" t="s">
        <v>68</v>
      </c>
      <c r="C51" s="6" t="n">
        <v>3209901</v>
      </c>
      <c r="D51" s="4" t="s">
        <v>46</v>
      </c>
      <c r="E51" s="7" t="n">
        <v>37228</v>
      </c>
    </row>
    <row r="52" customFormat="false" ht="12.75" hidden="false" customHeight="false" outlineLevel="0" collapsed="false">
      <c r="A52" s="4" t="s">
        <v>8</v>
      </c>
      <c r="B52" s="6" t="s">
        <v>69</v>
      </c>
      <c r="C52" s="6" t="n">
        <v>3297001</v>
      </c>
      <c r="D52" s="4" t="s">
        <v>46</v>
      </c>
      <c r="E52" s="7" t="n">
        <v>37228</v>
      </c>
    </row>
    <row r="53" customFormat="false" ht="12.75" hidden="false" customHeight="false" outlineLevel="0" collapsed="false">
      <c r="A53" s="4" t="s">
        <v>8</v>
      </c>
      <c r="B53" s="6" t="s">
        <v>70</v>
      </c>
      <c r="C53" s="6" t="n">
        <v>3297001</v>
      </c>
      <c r="D53" s="4" t="s">
        <v>46</v>
      </c>
      <c r="E53" s="7" t="n">
        <v>37228</v>
      </c>
    </row>
    <row r="54" customFormat="false" ht="12.75" hidden="false" customHeight="false" outlineLevel="0" collapsed="false">
      <c r="A54" s="4" t="s">
        <v>8</v>
      </c>
      <c r="B54" s="6" t="s">
        <v>71</v>
      </c>
      <c r="C54" s="6" t="n">
        <v>3312501</v>
      </c>
      <c r="D54" s="4" t="s">
        <v>46</v>
      </c>
      <c r="E54" s="7" t="n">
        <v>37228</v>
      </c>
    </row>
    <row r="55" customFormat="false" ht="12.75" hidden="false" customHeight="false" outlineLevel="0" collapsed="false">
      <c r="A55" s="4" t="s">
        <v>8</v>
      </c>
      <c r="B55" s="6" t="s">
        <v>72</v>
      </c>
      <c r="C55" s="6" t="n">
        <v>3313401</v>
      </c>
      <c r="D55" s="4" t="s">
        <v>46</v>
      </c>
      <c r="E55" s="7" t="n">
        <v>37228</v>
      </c>
    </row>
    <row r="56" customFormat="false" ht="12.75" hidden="false" customHeight="false" outlineLevel="0" collapsed="false">
      <c r="A56" s="4" t="s">
        <v>8</v>
      </c>
      <c r="B56" s="6" t="s">
        <v>73</v>
      </c>
      <c r="C56" s="6" t="n">
        <v>3549701</v>
      </c>
      <c r="D56" s="4" t="s">
        <v>46</v>
      </c>
      <c r="E56" s="7" t="n">
        <v>37228</v>
      </c>
    </row>
    <row r="57" customFormat="false" ht="12.75" hidden="false" customHeight="false" outlineLevel="0" collapsed="false">
      <c r="A57" s="4" t="s">
        <v>8</v>
      </c>
      <c r="B57" s="6" t="s">
        <v>74</v>
      </c>
      <c r="C57" s="6" t="n">
        <v>3552201</v>
      </c>
      <c r="D57" s="4" t="s">
        <v>46</v>
      </c>
      <c r="E57" s="7" t="n">
        <v>37228</v>
      </c>
    </row>
    <row r="58" customFormat="false" ht="12.75" hidden="false" customHeight="false" outlineLevel="0" collapsed="false">
      <c r="A58" s="4" t="s">
        <v>8</v>
      </c>
      <c r="B58" s="6" t="s">
        <v>75</v>
      </c>
      <c r="C58" s="6" t="n">
        <v>3557101</v>
      </c>
      <c r="D58" s="4" t="s">
        <v>46</v>
      </c>
      <c r="E58" s="7" t="n">
        <v>37228</v>
      </c>
    </row>
    <row r="59" customFormat="false" ht="12.75" hidden="false" customHeight="false" outlineLevel="0" collapsed="false">
      <c r="A59" s="4" t="s">
        <v>8</v>
      </c>
      <c r="B59" s="6" t="s">
        <v>76</v>
      </c>
      <c r="C59" s="6" t="n">
        <v>3013701</v>
      </c>
      <c r="D59" s="4" t="s">
        <v>77</v>
      </c>
      <c r="E59" s="7" t="n">
        <v>37228</v>
      </c>
      <c r="F59" s="1" t="n">
        <v>37228</v>
      </c>
    </row>
    <row r="60" customFormat="false" ht="12.75" hidden="false" customHeight="false" outlineLevel="0" collapsed="false">
      <c r="A60" s="4" t="s">
        <v>8</v>
      </c>
      <c r="B60" s="6" t="s">
        <v>78</v>
      </c>
      <c r="C60" s="6" t="n">
        <v>3095101</v>
      </c>
      <c r="D60" s="4" t="s">
        <v>77</v>
      </c>
      <c r="E60" s="7" t="n">
        <v>37228</v>
      </c>
      <c r="F60" s="1" t="n">
        <v>37228</v>
      </c>
    </row>
    <row r="61" customFormat="false" ht="12.75" hidden="false" customHeight="false" outlineLevel="0" collapsed="false">
      <c r="A61" s="4" t="s">
        <v>8</v>
      </c>
      <c r="B61" s="6" t="s">
        <v>79</v>
      </c>
      <c r="C61" s="6" t="n">
        <v>3130501</v>
      </c>
      <c r="D61" s="4" t="s">
        <v>77</v>
      </c>
      <c r="E61" s="7" t="n">
        <v>37228</v>
      </c>
      <c r="F61" s="1" t="n">
        <v>37228</v>
      </c>
    </row>
    <row r="62" customFormat="false" ht="12.75" hidden="false" customHeight="false" outlineLevel="0" collapsed="false">
      <c r="A62" s="4" t="s">
        <v>8</v>
      </c>
      <c r="B62" s="6" t="s">
        <v>80</v>
      </c>
      <c r="C62" s="6" t="n">
        <v>3141701</v>
      </c>
      <c r="D62" s="4" t="s">
        <v>77</v>
      </c>
      <c r="E62" s="7" t="n">
        <v>37228</v>
      </c>
      <c r="F62" s="1" t="n">
        <v>37228</v>
      </c>
    </row>
    <row r="63" customFormat="false" ht="12.75" hidden="false" customHeight="false" outlineLevel="0" collapsed="false">
      <c r="A63" s="4" t="s">
        <v>51</v>
      </c>
      <c r="B63" s="6" t="s">
        <v>81</v>
      </c>
      <c r="C63" s="6" t="n">
        <v>3421301</v>
      </c>
      <c r="D63" s="4" t="s">
        <v>77</v>
      </c>
      <c r="E63" s="7" t="n">
        <v>37228</v>
      </c>
      <c r="F63" s="1" t="n">
        <v>37228</v>
      </c>
    </row>
    <row r="64" customFormat="false" ht="12.75" hidden="false" customHeight="false" outlineLevel="0" collapsed="false">
      <c r="A64" s="4" t="s">
        <v>51</v>
      </c>
      <c r="B64" s="6" t="s">
        <v>82</v>
      </c>
      <c r="C64" s="6" t="n">
        <v>3421301</v>
      </c>
      <c r="D64" s="4" t="s">
        <v>77</v>
      </c>
      <c r="E64" s="7"/>
      <c r="F64" s="1" t="n">
        <v>37228</v>
      </c>
    </row>
    <row r="65" customFormat="false" ht="12.75" hidden="false" customHeight="false" outlineLevel="0" collapsed="false">
      <c r="A65" s="4" t="s">
        <v>8</v>
      </c>
      <c r="B65" s="6" t="s">
        <v>83</v>
      </c>
      <c r="C65" s="6" t="n">
        <v>3425201</v>
      </c>
      <c r="D65" s="4" t="s">
        <v>77</v>
      </c>
      <c r="E65" s="7" t="n">
        <v>37228</v>
      </c>
      <c r="F65" s="1" t="n">
        <v>37228</v>
      </c>
    </row>
    <row r="66" customFormat="false" ht="12.75" hidden="false" customHeight="false" outlineLevel="0" collapsed="false">
      <c r="A66" s="4" t="s">
        <v>8</v>
      </c>
      <c r="B66" s="6" t="s">
        <v>84</v>
      </c>
      <c r="C66" s="6" t="n">
        <v>3425201</v>
      </c>
      <c r="D66" s="4" t="s">
        <v>77</v>
      </c>
      <c r="E66" s="7"/>
      <c r="F66" s="1" t="n">
        <v>37228</v>
      </c>
    </row>
    <row r="67" customFormat="false" ht="12.75" hidden="false" customHeight="false" outlineLevel="0" collapsed="false">
      <c r="A67" s="4" t="s">
        <v>51</v>
      </c>
      <c r="B67" s="6" t="s">
        <v>85</v>
      </c>
      <c r="C67" s="6" t="n">
        <v>3425901</v>
      </c>
      <c r="D67" s="4" t="s">
        <v>77</v>
      </c>
      <c r="E67" s="7" t="n">
        <v>37228</v>
      </c>
      <c r="F67" s="1" t="n">
        <v>37228</v>
      </c>
    </row>
    <row r="68" customFormat="false" ht="12.75" hidden="false" customHeight="false" outlineLevel="0" collapsed="false">
      <c r="A68" s="4" t="s">
        <v>8</v>
      </c>
      <c r="B68" s="6" t="s">
        <v>86</v>
      </c>
      <c r="C68" s="6" t="n">
        <v>3472501</v>
      </c>
      <c r="D68" s="4" t="s">
        <v>77</v>
      </c>
      <c r="E68" s="7" t="n">
        <v>37228</v>
      </c>
      <c r="F68" s="1" t="n">
        <v>37228</v>
      </c>
    </row>
    <row r="69" customFormat="false" ht="12.75" hidden="false" customHeight="false" outlineLevel="0" collapsed="false">
      <c r="A69" s="4" t="s">
        <v>8</v>
      </c>
      <c r="B69" s="6" t="s">
        <v>87</v>
      </c>
      <c r="C69" s="6" t="n">
        <v>3472501</v>
      </c>
      <c r="D69" s="4" t="s">
        <v>77</v>
      </c>
      <c r="E69" s="7"/>
      <c r="F69" s="1" t="n">
        <v>37228</v>
      </c>
    </row>
    <row r="70" customFormat="false" ht="12.75" hidden="false" customHeight="false" outlineLevel="0" collapsed="false">
      <c r="A70" s="4" t="s">
        <v>8</v>
      </c>
      <c r="B70" s="6" t="s">
        <v>88</v>
      </c>
      <c r="C70" s="6" t="n">
        <v>3539901</v>
      </c>
      <c r="D70" s="4" t="s">
        <v>77</v>
      </c>
      <c r="E70" s="7" t="n">
        <v>37228</v>
      </c>
      <c r="F70" s="1" t="n">
        <v>37228</v>
      </c>
    </row>
    <row r="71" customFormat="false" ht="12.75" hidden="false" customHeight="false" outlineLevel="0" collapsed="false">
      <c r="A71" s="4" t="s">
        <v>5</v>
      </c>
      <c r="B71" s="5" t="s">
        <v>89</v>
      </c>
      <c r="C71" s="6" t="n">
        <v>2150501</v>
      </c>
      <c r="D71" s="4" t="s">
        <v>90</v>
      </c>
      <c r="E71" s="7" t="n">
        <v>37256</v>
      </c>
      <c r="F71" s="1" t="n">
        <v>37256</v>
      </c>
    </row>
    <row r="72" customFormat="false" ht="12.75" hidden="false" customHeight="false" outlineLevel="0" collapsed="false">
      <c r="A72" s="4" t="s">
        <v>91</v>
      </c>
      <c r="B72" s="5" t="s">
        <v>92</v>
      </c>
      <c r="C72" s="6" t="n">
        <v>4092601</v>
      </c>
      <c r="D72" s="4" t="s">
        <v>93</v>
      </c>
      <c r="E72" s="7" t="n">
        <v>37257</v>
      </c>
    </row>
    <row r="73" customFormat="false" ht="12.75" hidden="false" customHeight="false" outlineLevel="0" collapsed="false">
      <c r="A73" s="4" t="s">
        <v>94</v>
      </c>
      <c r="B73" s="5" t="s">
        <v>95</v>
      </c>
      <c r="C73" s="6" t="n">
        <v>4133001</v>
      </c>
      <c r="D73" s="4" t="s">
        <v>93</v>
      </c>
      <c r="E73" s="7" t="n">
        <v>37257</v>
      </c>
    </row>
    <row r="74" customFormat="false" ht="12.75" hidden="false" customHeight="false" outlineLevel="0" collapsed="false">
      <c r="A74" s="4" t="s">
        <v>5</v>
      </c>
      <c r="B74" s="5" t="s">
        <v>96</v>
      </c>
      <c r="C74" s="6" t="n">
        <v>3290902</v>
      </c>
      <c r="D74" s="4" t="s">
        <v>97</v>
      </c>
      <c r="E74" s="7" t="n">
        <v>37228</v>
      </c>
      <c r="F74" s="1" t="n">
        <v>37228</v>
      </c>
    </row>
    <row r="75" customFormat="false" ht="12.75" hidden="false" customHeight="false" outlineLevel="0" collapsed="false">
      <c r="A75" s="4" t="s">
        <v>5</v>
      </c>
      <c r="B75" s="5" t="s">
        <v>98</v>
      </c>
      <c r="C75" s="6" t="n">
        <v>3423501</v>
      </c>
      <c r="D75" s="4" t="s">
        <v>99</v>
      </c>
      <c r="E75" s="7"/>
    </row>
    <row r="76" customFormat="false" ht="12.75" hidden="false" customHeight="false" outlineLevel="0" collapsed="false">
      <c r="A76" s="4" t="s">
        <v>5</v>
      </c>
      <c r="B76" s="5" t="s">
        <v>100</v>
      </c>
      <c r="C76" s="6" t="n">
        <v>3423601</v>
      </c>
      <c r="D76" s="4" t="s">
        <v>99</v>
      </c>
      <c r="E76" s="7"/>
    </row>
    <row r="77" customFormat="false" ht="12.75" hidden="false" customHeight="false" outlineLevel="0" collapsed="false">
      <c r="A77" s="4" t="s">
        <v>5</v>
      </c>
      <c r="B77" s="5" t="s">
        <v>101</v>
      </c>
      <c r="C77" s="6" t="n">
        <v>3423701</v>
      </c>
      <c r="D77" s="4" t="s">
        <v>99</v>
      </c>
      <c r="E77" s="7"/>
    </row>
    <row r="78" customFormat="false" ht="12.75" hidden="false" customHeight="false" outlineLevel="0" collapsed="false">
      <c r="A78" s="4" t="s">
        <v>5</v>
      </c>
      <c r="B78" s="5" t="s">
        <v>102</v>
      </c>
      <c r="C78" s="6" t="n">
        <v>3423801</v>
      </c>
      <c r="D78" s="4" t="s">
        <v>99</v>
      </c>
      <c r="E78" s="7"/>
    </row>
    <row r="79" customFormat="false" ht="12.75" hidden="false" customHeight="false" outlineLevel="0" collapsed="false">
      <c r="A79" s="4" t="s">
        <v>5</v>
      </c>
      <c r="B79" s="5" t="s">
        <v>103</v>
      </c>
      <c r="C79" s="6" t="n">
        <v>3429601</v>
      </c>
      <c r="D79" s="4" t="s">
        <v>99</v>
      </c>
      <c r="E79" s="7"/>
    </row>
    <row r="80" customFormat="false" ht="12.75" hidden="false" customHeight="false" outlineLevel="0" collapsed="false">
      <c r="A80" s="4" t="s">
        <v>104</v>
      </c>
      <c r="B80" s="5" t="s">
        <v>105</v>
      </c>
      <c r="C80" s="6" t="n">
        <v>3478201</v>
      </c>
      <c r="D80" s="4" t="s">
        <v>99</v>
      </c>
      <c r="E80" s="7"/>
    </row>
    <row r="81" customFormat="false" ht="12.75" hidden="false" customHeight="false" outlineLevel="0" collapsed="false">
      <c r="A81" s="4" t="s">
        <v>5</v>
      </c>
      <c r="B81" s="5" t="s">
        <v>106</v>
      </c>
      <c r="C81" s="6" t="n">
        <v>3502801</v>
      </c>
      <c r="D81" s="4" t="s">
        <v>99</v>
      </c>
      <c r="E81" s="7"/>
    </row>
    <row r="82" customFormat="false" ht="12.75" hidden="false" customHeight="false" outlineLevel="0" collapsed="false">
      <c r="A82" s="4" t="s">
        <v>5</v>
      </c>
      <c r="B82" s="5" t="s">
        <v>107</v>
      </c>
      <c r="C82" s="6" t="n">
        <v>3428401</v>
      </c>
      <c r="D82" s="4" t="s">
        <v>108</v>
      </c>
      <c r="E82" s="7"/>
    </row>
    <row r="83" customFormat="false" ht="12.75" hidden="false" customHeight="false" outlineLevel="0" collapsed="false">
      <c r="A83" s="4" t="s">
        <v>5</v>
      </c>
      <c r="B83" s="5" t="s">
        <v>109</v>
      </c>
      <c r="C83" s="6" t="n">
        <v>3429001</v>
      </c>
      <c r="D83" s="4" t="s">
        <v>108</v>
      </c>
      <c r="E83" s="7"/>
    </row>
    <row r="84" customFormat="false" ht="12.75" hidden="false" customHeight="false" outlineLevel="0" collapsed="false">
      <c r="A84" s="4" t="s">
        <v>5</v>
      </c>
      <c r="B84" s="5" t="s">
        <v>110</v>
      </c>
      <c r="C84" s="6" t="n">
        <v>3284701</v>
      </c>
      <c r="D84" s="4" t="s">
        <v>111</v>
      </c>
      <c r="E84" s="7"/>
    </row>
    <row r="85" customFormat="false" ht="12.75" hidden="false" customHeight="false" outlineLevel="0" collapsed="false">
      <c r="A85" s="4" t="s">
        <v>112</v>
      </c>
      <c r="B85" s="6" t="s">
        <v>113</v>
      </c>
      <c r="C85" s="6" t="n">
        <v>2096101</v>
      </c>
      <c r="D85" s="4" t="s">
        <v>114</v>
      </c>
      <c r="E85" s="7"/>
    </row>
    <row r="86" customFormat="false" ht="12.75" hidden="false" customHeight="false" outlineLevel="0" collapsed="false">
      <c r="A86" s="4" t="s">
        <v>112</v>
      </c>
      <c r="B86" s="6" t="s">
        <v>115</v>
      </c>
      <c r="C86" s="6" t="n">
        <v>2159601</v>
      </c>
      <c r="D86" s="4" t="s">
        <v>114</v>
      </c>
      <c r="E86" s="7"/>
    </row>
    <row r="87" customFormat="false" ht="12.75" hidden="false" customHeight="false" outlineLevel="0" collapsed="false">
      <c r="A87" s="4" t="s">
        <v>8</v>
      </c>
      <c r="B87" s="6" t="s">
        <v>116</v>
      </c>
      <c r="C87" s="6" t="n">
        <v>4333601</v>
      </c>
      <c r="D87" s="4" t="s">
        <v>117</v>
      </c>
      <c r="E87" s="7"/>
    </row>
    <row r="88" customFormat="false" ht="12.75" hidden="false" customHeight="false" outlineLevel="0" collapsed="false">
      <c r="A88" s="4" t="s">
        <v>118</v>
      </c>
      <c r="B88" s="10" t="s">
        <v>119</v>
      </c>
      <c r="C88" s="10" t="n">
        <v>3017201</v>
      </c>
      <c r="D88" s="4" t="s">
        <v>120</v>
      </c>
      <c r="E88" s="7" t="n">
        <v>37228</v>
      </c>
    </row>
    <row r="89" customFormat="false" ht="12.75" hidden="false" customHeight="false" outlineLevel="0" collapsed="false">
      <c r="A89" s="4" t="s">
        <v>118</v>
      </c>
      <c r="B89" s="6" t="s">
        <v>121</v>
      </c>
      <c r="C89" s="6" t="n">
        <v>3139001</v>
      </c>
      <c r="D89" s="4" t="s">
        <v>120</v>
      </c>
      <c r="E89" s="7" t="n">
        <v>37228</v>
      </c>
    </row>
    <row r="90" customFormat="false" ht="12.75" hidden="false" customHeight="false" outlineLevel="0" collapsed="false">
      <c r="A90" s="4" t="s">
        <v>122</v>
      </c>
      <c r="B90" s="6" t="s">
        <v>123</v>
      </c>
      <c r="C90" s="6" t="n">
        <v>4085901</v>
      </c>
      <c r="D90" s="4" t="s">
        <v>120</v>
      </c>
      <c r="E90" s="7" t="n">
        <v>37228</v>
      </c>
    </row>
    <row r="91" customFormat="false" ht="12.75" hidden="false" customHeight="false" outlineLevel="0" collapsed="false">
      <c r="A91" s="4" t="s">
        <v>124</v>
      </c>
      <c r="B91" s="5" t="s">
        <v>125</v>
      </c>
      <c r="C91" s="6" t="n">
        <v>3134901</v>
      </c>
      <c r="D91" s="4" t="s">
        <v>126</v>
      </c>
      <c r="E91" s="7" t="n">
        <v>37256</v>
      </c>
      <c r="F91" s="7" t="n">
        <v>37256</v>
      </c>
    </row>
    <row r="92" customFormat="false" ht="12.75" hidden="false" customHeight="false" outlineLevel="0" collapsed="false">
      <c r="A92" s="4" t="s">
        <v>94</v>
      </c>
      <c r="B92" s="6" t="s">
        <v>127</v>
      </c>
      <c r="C92" s="6" t="n">
        <v>4132101</v>
      </c>
      <c r="D92" s="4" t="s">
        <v>126</v>
      </c>
      <c r="E92" s="7" t="n">
        <v>37256</v>
      </c>
      <c r="F92" s="7" t="n">
        <v>37256</v>
      </c>
    </row>
    <row r="93" customFormat="false" ht="12.75" hidden="false" customHeight="false" outlineLevel="0" collapsed="false">
      <c r="A93" s="4" t="s">
        <v>94</v>
      </c>
      <c r="B93" s="6" t="s">
        <v>128</v>
      </c>
      <c r="C93" s="6" t="n">
        <v>4132201</v>
      </c>
      <c r="D93" s="4" t="s">
        <v>126</v>
      </c>
      <c r="E93" s="7" t="n">
        <v>37256</v>
      </c>
      <c r="F93" s="7" t="n">
        <v>37256</v>
      </c>
    </row>
    <row r="94" customFormat="false" ht="12.75" hidden="false" customHeight="false" outlineLevel="0" collapsed="false">
      <c r="A94" s="4" t="s">
        <v>94</v>
      </c>
      <c r="B94" s="6" t="s">
        <v>129</v>
      </c>
      <c r="C94" s="6" t="n">
        <v>4134301</v>
      </c>
      <c r="D94" s="4" t="s">
        <v>126</v>
      </c>
      <c r="E94" s="7" t="n">
        <v>37256</v>
      </c>
      <c r="F94" s="7" t="n">
        <v>37256</v>
      </c>
    </row>
    <row r="95" customFormat="false" ht="12.75" hidden="false" customHeight="false" outlineLevel="0" collapsed="false">
      <c r="A95" s="4" t="s">
        <v>94</v>
      </c>
      <c r="B95" s="6" t="s">
        <v>130</v>
      </c>
      <c r="C95" s="6" t="n">
        <v>4137901</v>
      </c>
      <c r="D95" s="4" t="s">
        <v>126</v>
      </c>
      <c r="E95" s="7" t="n">
        <v>37256</v>
      </c>
      <c r="F95" s="7" t="n">
        <v>37256</v>
      </c>
    </row>
    <row r="96" customFormat="false" ht="12.75" hidden="false" customHeight="false" outlineLevel="0" collapsed="false">
      <c r="A96" s="4" t="s">
        <v>94</v>
      </c>
      <c r="B96" s="6" t="s">
        <v>131</v>
      </c>
      <c r="C96" s="6" t="n">
        <v>4235001</v>
      </c>
      <c r="D96" s="4" t="s">
        <v>126</v>
      </c>
      <c r="E96" s="7" t="n">
        <v>37256</v>
      </c>
      <c r="F96" s="7" t="n">
        <v>37256</v>
      </c>
    </row>
    <row r="97" customFormat="false" ht="12.75" hidden="false" customHeight="false" outlineLevel="0" collapsed="false">
      <c r="A97" s="4" t="s">
        <v>94</v>
      </c>
      <c r="B97" s="6" t="s">
        <v>132</v>
      </c>
      <c r="C97" s="6" t="n">
        <v>4370801</v>
      </c>
      <c r="D97" s="4" t="s">
        <v>126</v>
      </c>
      <c r="E97" s="7" t="n">
        <v>37256</v>
      </c>
      <c r="F97" s="7" t="n">
        <v>37256</v>
      </c>
    </row>
    <row r="98" customFormat="false" ht="12.75" hidden="false" customHeight="false" outlineLevel="0" collapsed="false">
      <c r="A98" s="4" t="s">
        <v>91</v>
      </c>
      <c r="B98" s="6" t="s">
        <v>133</v>
      </c>
      <c r="C98" s="6" t="n">
        <v>4370901</v>
      </c>
      <c r="D98" s="4" t="s">
        <v>126</v>
      </c>
      <c r="E98" s="7" t="n">
        <v>37256</v>
      </c>
      <c r="F98" s="7" t="n">
        <v>37256</v>
      </c>
    </row>
    <row r="99" customFormat="false" ht="12.75" hidden="false" customHeight="false" outlineLevel="0" collapsed="false">
      <c r="A99" s="4" t="s">
        <v>94</v>
      </c>
      <c r="B99" s="6" t="s">
        <v>134</v>
      </c>
      <c r="C99" s="6" t="n">
        <v>4371201</v>
      </c>
      <c r="D99" s="4" t="s">
        <v>126</v>
      </c>
      <c r="E99" s="7" t="n">
        <v>37256</v>
      </c>
      <c r="F99" s="7" t="n">
        <v>37256</v>
      </c>
    </row>
    <row r="100" customFormat="false" ht="12.75" hidden="false" customHeight="false" outlineLevel="0" collapsed="false">
      <c r="A100" s="4" t="s">
        <v>94</v>
      </c>
      <c r="B100" s="6" t="s">
        <v>135</v>
      </c>
      <c r="C100" s="6" t="n">
        <v>4371701</v>
      </c>
      <c r="D100" s="4" t="s">
        <v>126</v>
      </c>
      <c r="E100" s="7" t="n">
        <v>37256</v>
      </c>
      <c r="F100" s="7" t="n">
        <v>37256</v>
      </c>
    </row>
    <row r="101" customFormat="false" ht="12.75" hidden="false" customHeight="false" outlineLevel="0" collapsed="false">
      <c r="A101" s="4" t="s">
        <v>136</v>
      </c>
      <c r="B101" s="6" t="s">
        <v>137</v>
      </c>
      <c r="C101" s="6" t="n">
        <v>4373001</v>
      </c>
      <c r="D101" s="4" t="s">
        <v>126</v>
      </c>
      <c r="E101" s="7" t="n">
        <v>37256</v>
      </c>
      <c r="F101" s="7" t="n">
        <v>37256</v>
      </c>
    </row>
    <row r="102" customFormat="false" ht="12.75" hidden="false" customHeight="false" outlineLevel="0" collapsed="false">
      <c r="A102" s="4"/>
      <c r="B102" s="6"/>
      <c r="C102" s="6" t="n">
        <v>4078701</v>
      </c>
      <c r="D102" s="4" t="s">
        <v>126</v>
      </c>
      <c r="E102" s="7"/>
      <c r="F102" s="7" t="n">
        <v>37256</v>
      </c>
    </row>
    <row r="103" customFormat="false" ht="12.75" hidden="false" customHeight="false" outlineLevel="0" collapsed="false">
      <c r="A103" s="4" t="s">
        <v>5</v>
      </c>
      <c r="B103" s="5" t="s">
        <v>138</v>
      </c>
      <c r="C103" s="6" t="n">
        <v>3050201</v>
      </c>
      <c r="D103" s="4" t="s">
        <v>139</v>
      </c>
      <c r="E103" s="7" t="n">
        <v>37255</v>
      </c>
      <c r="F103" s="7" t="n">
        <v>37255</v>
      </c>
    </row>
    <row r="104" customFormat="false" ht="12.75" hidden="false" customHeight="false" outlineLevel="0" collapsed="false">
      <c r="A104" s="4" t="s">
        <v>5</v>
      </c>
      <c r="B104" s="5" t="s">
        <v>140</v>
      </c>
      <c r="C104" s="6" t="n">
        <v>3053201</v>
      </c>
      <c r="D104" s="4" t="s">
        <v>139</v>
      </c>
      <c r="E104" s="7" t="n">
        <v>37255</v>
      </c>
      <c r="F104" s="7" t="n">
        <v>37255</v>
      </c>
    </row>
    <row r="105" customFormat="false" ht="12.75" hidden="false" customHeight="false" outlineLevel="0" collapsed="false">
      <c r="A105" s="4" t="s">
        <v>5</v>
      </c>
      <c r="B105" s="5" t="s">
        <v>141</v>
      </c>
      <c r="C105" s="6" t="n">
        <v>3329801</v>
      </c>
      <c r="D105" s="4" t="s">
        <v>142</v>
      </c>
      <c r="E105" s="7" t="n">
        <v>37255</v>
      </c>
      <c r="F105" s="7" t="n">
        <v>37255</v>
      </c>
    </row>
    <row r="106" customFormat="false" ht="12.75" hidden="false" customHeight="false" outlineLevel="0" collapsed="false">
      <c r="A106" s="4"/>
      <c r="B106" s="5"/>
      <c r="C106" s="6" t="n">
        <v>3329701</v>
      </c>
      <c r="D106" s="4" t="s">
        <v>142</v>
      </c>
      <c r="E106" s="7"/>
      <c r="F106" s="7" t="n">
        <v>37255</v>
      </c>
    </row>
    <row r="107" customFormat="false" ht="12.75" hidden="false" customHeight="false" outlineLevel="0" collapsed="false">
      <c r="A107" s="4"/>
      <c r="B107" s="5"/>
      <c r="C107" s="6" t="n">
        <v>3053001</v>
      </c>
      <c r="D107" s="4" t="s">
        <v>142</v>
      </c>
      <c r="E107" s="7"/>
      <c r="F107" s="7" t="n">
        <v>37255</v>
      </c>
    </row>
    <row r="108" customFormat="false" ht="12" hidden="false" customHeight="true" outlineLevel="0" collapsed="false">
      <c r="A108" s="4" t="s">
        <v>26</v>
      </c>
      <c r="B108" s="5" t="s">
        <v>143</v>
      </c>
      <c r="C108" s="6" t="s">
        <v>26</v>
      </c>
      <c r="D108" s="4" t="s">
        <v>144</v>
      </c>
      <c r="E108" s="7"/>
    </row>
    <row r="109" customFormat="false" ht="12.75" hidden="false" customHeight="false" outlineLevel="0" collapsed="false">
      <c r="A109" s="4" t="s">
        <v>26</v>
      </c>
      <c r="B109" s="5" t="s">
        <v>145</v>
      </c>
      <c r="C109" s="6" t="s">
        <v>26</v>
      </c>
      <c r="D109" s="4" t="s">
        <v>144</v>
      </c>
      <c r="E109" s="7"/>
    </row>
    <row r="110" customFormat="false" ht="12.75" hidden="false" customHeight="false" outlineLevel="0" collapsed="false">
      <c r="A110" s="4" t="s">
        <v>5</v>
      </c>
      <c r="B110" s="5" t="s">
        <v>146</v>
      </c>
      <c r="C110" s="6" t="s">
        <v>147</v>
      </c>
      <c r="D110" s="4" t="s">
        <v>148</v>
      </c>
      <c r="E110" s="7" t="n">
        <v>37256</v>
      </c>
    </row>
    <row r="111" customFormat="false" ht="12.75" hidden="false" customHeight="false" outlineLevel="0" collapsed="false">
      <c r="A111" s="4" t="s">
        <v>149</v>
      </c>
      <c r="B111" s="6" t="s">
        <v>150</v>
      </c>
      <c r="C111" s="6" t="n">
        <v>5089201</v>
      </c>
      <c r="D111" s="4" t="s">
        <v>151</v>
      </c>
      <c r="E111" s="7"/>
    </row>
    <row r="112" customFormat="false" ht="12.75" hidden="false" customHeight="false" outlineLevel="0" collapsed="false">
      <c r="A112" s="4" t="s">
        <v>152</v>
      </c>
      <c r="B112" s="5" t="s">
        <v>153</v>
      </c>
      <c r="C112" s="6" t="n">
        <v>5100601</v>
      </c>
      <c r="D112" s="4" t="s">
        <v>151</v>
      </c>
      <c r="E112" s="7"/>
    </row>
    <row r="113" customFormat="false" ht="12.75" hidden="false" customHeight="false" outlineLevel="0" collapsed="false">
      <c r="A113" s="4" t="s">
        <v>149</v>
      </c>
      <c r="B113" s="6" t="s">
        <v>154</v>
      </c>
      <c r="C113" s="6" t="n">
        <v>5105901</v>
      </c>
      <c r="D113" s="4" t="s">
        <v>151</v>
      </c>
      <c r="E113" s="7"/>
    </row>
    <row r="114" customFormat="false" ht="12.75" hidden="false" customHeight="false" outlineLevel="0" collapsed="false">
      <c r="A114" s="4" t="s">
        <v>149</v>
      </c>
      <c r="B114" s="6" t="s">
        <v>155</v>
      </c>
      <c r="C114" s="6" t="n">
        <v>5118301</v>
      </c>
      <c r="D114" s="4" t="s">
        <v>151</v>
      </c>
      <c r="E114" s="7"/>
    </row>
    <row r="115" customFormat="false" ht="12.75" hidden="false" customHeight="false" outlineLevel="0" collapsed="false">
      <c r="A115" s="4" t="s">
        <v>26</v>
      </c>
      <c r="B115" s="5" t="s">
        <v>156</v>
      </c>
      <c r="C115" s="6" t="s">
        <v>26</v>
      </c>
      <c r="D115" s="4" t="s">
        <v>151</v>
      </c>
      <c r="E115" s="7"/>
    </row>
    <row r="116" customFormat="false" ht="12.75" hidden="false" customHeight="false" outlineLevel="0" collapsed="false">
      <c r="A116" s="4" t="s">
        <v>26</v>
      </c>
      <c r="B116" s="5" t="s">
        <v>157</v>
      </c>
      <c r="C116" s="6" t="s">
        <v>26</v>
      </c>
      <c r="D116" s="4" t="s">
        <v>151</v>
      </c>
      <c r="E116" s="7"/>
    </row>
    <row r="117" customFormat="false" ht="12.75" hidden="false" customHeight="false" outlineLevel="0" collapsed="false">
      <c r="A117" s="4" t="s">
        <v>5</v>
      </c>
      <c r="B117" s="5" t="s">
        <v>158</v>
      </c>
      <c r="C117" s="6" t="n">
        <v>3120601</v>
      </c>
      <c r="D117" s="4" t="s">
        <v>159</v>
      </c>
      <c r="E117" s="7" t="n">
        <v>37228</v>
      </c>
    </row>
    <row r="118" customFormat="false" ht="12.75" hidden="false" customHeight="false" outlineLevel="0" collapsed="false">
      <c r="A118" s="4" t="s">
        <v>160</v>
      </c>
      <c r="B118" s="6" t="s">
        <v>161</v>
      </c>
      <c r="C118" s="6" t="s">
        <v>162</v>
      </c>
      <c r="D118" s="4" t="s">
        <v>163</v>
      </c>
      <c r="E118" s="7"/>
    </row>
    <row r="119" customFormat="false" ht="12.75" hidden="false" customHeight="false" outlineLevel="0" collapsed="false">
      <c r="A119" s="4" t="s">
        <v>51</v>
      </c>
      <c r="B119" s="6" t="s">
        <v>164</v>
      </c>
      <c r="C119" s="6" t="s">
        <v>165</v>
      </c>
      <c r="D119" s="4" t="s">
        <v>163</v>
      </c>
      <c r="E119" s="7"/>
    </row>
    <row r="120" customFormat="false" ht="12.75" hidden="false" customHeight="false" outlineLevel="0" collapsed="false">
      <c r="A120" s="4" t="s">
        <v>5</v>
      </c>
      <c r="B120" s="5" t="s">
        <v>166</v>
      </c>
      <c r="C120" s="6" t="n">
        <v>2041001</v>
      </c>
      <c r="D120" s="4" t="s">
        <v>167</v>
      </c>
      <c r="E120" s="7" t="n">
        <v>37228</v>
      </c>
    </row>
    <row r="121" customFormat="false" ht="12.75" hidden="false" customHeight="false" outlineLevel="0" collapsed="false">
      <c r="A121" s="4" t="s">
        <v>5</v>
      </c>
      <c r="B121" s="5" t="s">
        <v>168</v>
      </c>
      <c r="C121" s="6" t="n">
        <v>3294701</v>
      </c>
      <c r="D121" s="4" t="s">
        <v>167</v>
      </c>
      <c r="E121" s="7" t="n">
        <v>37228</v>
      </c>
    </row>
    <row r="122" customFormat="false" ht="12.75" hidden="false" customHeight="false" outlineLevel="0" collapsed="false">
      <c r="A122" s="4" t="s">
        <v>94</v>
      </c>
      <c r="B122" s="6" t="s">
        <v>169</v>
      </c>
      <c r="C122" s="6" t="n">
        <v>4281001</v>
      </c>
      <c r="D122" s="4" t="s">
        <v>170</v>
      </c>
      <c r="E122" s="7" t="n">
        <v>37228</v>
      </c>
      <c r="F122" s="1" t="n">
        <v>37288</v>
      </c>
      <c r="G122" s="0" t="s">
        <v>171</v>
      </c>
    </row>
    <row r="123" customFormat="false" ht="12.75" hidden="false" customHeight="false" outlineLevel="0" collapsed="false">
      <c r="A123" s="4" t="s">
        <v>136</v>
      </c>
      <c r="B123" s="6" t="s">
        <v>172</v>
      </c>
      <c r="C123" s="6" t="n">
        <v>4371101</v>
      </c>
      <c r="D123" s="4" t="s">
        <v>170</v>
      </c>
      <c r="E123" s="7" t="n">
        <v>37228</v>
      </c>
      <c r="F123" s="1" t="n">
        <v>37288</v>
      </c>
      <c r="G123" s="0" t="s">
        <v>171</v>
      </c>
    </row>
    <row r="124" customFormat="false" ht="12.75" hidden="false" customHeight="false" outlineLevel="0" collapsed="false">
      <c r="A124" s="4" t="s">
        <v>136</v>
      </c>
      <c r="B124" s="6" t="s">
        <v>173</v>
      </c>
      <c r="C124" s="6" t="n">
        <v>1062901</v>
      </c>
      <c r="D124" s="4" t="s">
        <v>174</v>
      </c>
      <c r="E124" s="7"/>
    </row>
    <row r="125" customFormat="false" ht="12.75" hidden="false" customHeight="false" outlineLevel="0" collapsed="false">
      <c r="A125" s="4" t="s">
        <v>136</v>
      </c>
      <c r="B125" s="6" t="s">
        <v>175</v>
      </c>
      <c r="C125" s="6" t="n">
        <v>1063001</v>
      </c>
      <c r="D125" s="4" t="s">
        <v>174</v>
      </c>
      <c r="E125" s="7"/>
    </row>
    <row r="126" customFormat="false" ht="12.75" hidden="false" customHeight="false" outlineLevel="0" collapsed="false">
      <c r="A126" s="4" t="s">
        <v>136</v>
      </c>
      <c r="B126" s="6" t="s">
        <v>176</v>
      </c>
      <c r="C126" s="6" t="n">
        <v>2052901</v>
      </c>
      <c r="D126" s="4" t="s">
        <v>174</v>
      </c>
      <c r="E126" s="7"/>
    </row>
    <row r="127" customFormat="false" ht="12.75" hidden="false" customHeight="false" outlineLevel="0" collapsed="false">
      <c r="A127" s="4" t="s">
        <v>136</v>
      </c>
      <c r="B127" s="6" t="s">
        <v>177</v>
      </c>
      <c r="C127" s="6" t="n">
        <v>2053201</v>
      </c>
      <c r="D127" s="4" t="s">
        <v>174</v>
      </c>
      <c r="E127" s="7"/>
    </row>
    <row r="128" customFormat="false" ht="12.75" hidden="false" customHeight="false" outlineLevel="0" collapsed="false">
      <c r="A128" s="4" t="s">
        <v>136</v>
      </c>
      <c r="B128" s="6" t="s">
        <v>178</v>
      </c>
      <c r="C128" s="6" t="n">
        <v>2151401</v>
      </c>
      <c r="D128" s="4" t="s">
        <v>174</v>
      </c>
      <c r="E128" s="7"/>
    </row>
    <row r="129" customFormat="false" ht="12.75" hidden="false" customHeight="false" outlineLevel="0" collapsed="false">
      <c r="A129" s="4" t="s">
        <v>26</v>
      </c>
      <c r="B129" s="5" t="s">
        <v>179</v>
      </c>
      <c r="C129" s="6" t="s">
        <v>26</v>
      </c>
      <c r="D129" s="4" t="s">
        <v>180</v>
      </c>
      <c r="E129" s="7"/>
    </row>
    <row r="130" customFormat="false" ht="12.75" hidden="false" customHeight="false" outlineLevel="0" collapsed="false">
      <c r="A130" s="4" t="s">
        <v>104</v>
      </c>
      <c r="B130" s="5" t="s">
        <v>181</v>
      </c>
      <c r="C130" s="6" t="s">
        <v>182</v>
      </c>
      <c r="D130" s="4" t="s">
        <v>180</v>
      </c>
      <c r="E130" s="7"/>
    </row>
    <row r="131" customFormat="false" ht="12.75" hidden="false" customHeight="false" outlineLevel="0" collapsed="false">
      <c r="A131" s="4" t="s">
        <v>183</v>
      </c>
      <c r="B131" s="5" t="s">
        <v>184</v>
      </c>
      <c r="C131" s="6" t="s">
        <v>185</v>
      </c>
      <c r="D131" s="4" t="s">
        <v>180</v>
      </c>
      <c r="E131" s="7"/>
    </row>
    <row r="132" customFormat="false" ht="12.75" hidden="false" customHeight="false" outlineLevel="0" collapsed="false">
      <c r="A132" s="4" t="s">
        <v>26</v>
      </c>
      <c r="B132" s="5" t="s">
        <v>186</v>
      </c>
      <c r="C132" s="6" t="s">
        <v>26</v>
      </c>
      <c r="D132" s="4" t="s">
        <v>187</v>
      </c>
      <c r="E132" s="7"/>
    </row>
    <row r="133" customFormat="false" ht="12.75" hidden="false" customHeight="false" outlineLevel="0" collapsed="false">
      <c r="A133" s="4" t="s">
        <v>26</v>
      </c>
      <c r="B133" s="5" t="s">
        <v>188</v>
      </c>
      <c r="C133" s="6" t="s">
        <v>26</v>
      </c>
      <c r="D133" s="8" t="s">
        <v>189</v>
      </c>
      <c r="E133" s="9"/>
    </row>
    <row r="134" customFormat="false" ht="12.75" hidden="false" customHeight="false" outlineLevel="0" collapsed="false">
      <c r="A134" s="4" t="s">
        <v>26</v>
      </c>
      <c r="B134" s="5" t="s">
        <v>190</v>
      </c>
      <c r="C134" s="6" t="s">
        <v>26</v>
      </c>
      <c r="D134" s="8" t="s">
        <v>189</v>
      </c>
      <c r="E134" s="9"/>
    </row>
    <row r="135" customFormat="false" ht="12.75" hidden="false" customHeight="false" outlineLevel="0" collapsed="false">
      <c r="A135" s="4" t="s">
        <v>5</v>
      </c>
      <c r="B135" s="5" t="s">
        <v>191</v>
      </c>
      <c r="C135" s="6" t="n">
        <v>1078001</v>
      </c>
      <c r="D135" s="8" t="s">
        <v>192</v>
      </c>
      <c r="E135" s="9" t="n">
        <v>37254</v>
      </c>
    </row>
    <row r="136" customFormat="false" ht="12.75" hidden="false" customHeight="false" outlineLevel="0" collapsed="false">
      <c r="A136" s="4" t="s">
        <v>5</v>
      </c>
      <c r="B136" s="5" t="s">
        <v>193</v>
      </c>
      <c r="C136" s="6" t="n">
        <v>1091301</v>
      </c>
      <c r="D136" s="8" t="s">
        <v>192</v>
      </c>
      <c r="E136" s="9" t="n">
        <v>37254</v>
      </c>
    </row>
    <row r="137" customFormat="false" ht="12.75" hidden="false" customHeight="false" outlineLevel="0" collapsed="false">
      <c r="A137" s="4" t="s">
        <v>5</v>
      </c>
      <c r="B137" s="5" t="s">
        <v>194</v>
      </c>
      <c r="C137" s="6" t="n">
        <v>3129101</v>
      </c>
      <c r="D137" s="8" t="s">
        <v>192</v>
      </c>
      <c r="E137" s="9"/>
    </row>
    <row r="138" customFormat="false" ht="12.75" hidden="false" customHeight="false" outlineLevel="0" collapsed="false">
      <c r="A138" s="4" t="s">
        <v>5</v>
      </c>
      <c r="B138" s="5" t="s">
        <v>195</v>
      </c>
      <c r="C138" s="6" t="n">
        <v>3552801</v>
      </c>
      <c r="D138" s="8" t="s">
        <v>192</v>
      </c>
      <c r="E138" s="9" t="n">
        <v>37254</v>
      </c>
    </row>
    <row r="139" customFormat="false" ht="12.75" hidden="false" customHeight="false" outlineLevel="0" collapsed="false">
      <c r="A139" s="4" t="s">
        <v>5</v>
      </c>
      <c r="B139" s="5" t="s">
        <v>196</v>
      </c>
      <c r="C139" s="6" t="n">
        <v>3553701</v>
      </c>
      <c r="D139" s="8" t="s">
        <v>192</v>
      </c>
      <c r="E139" s="9" t="n">
        <v>37254</v>
      </c>
    </row>
    <row r="140" customFormat="false" ht="12.75" hidden="false" customHeight="false" outlineLevel="0" collapsed="false">
      <c r="A140" s="4" t="s">
        <v>5</v>
      </c>
      <c r="B140" s="5" t="s">
        <v>197</v>
      </c>
      <c r="C140" s="6" t="n">
        <v>3558301</v>
      </c>
      <c r="D140" s="8" t="s">
        <v>192</v>
      </c>
      <c r="E140" s="9" t="n">
        <v>37254</v>
      </c>
    </row>
    <row r="141" customFormat="false" ht="12.75" hidden="false" customHeight="false" outlineLevel="0" collapsed="false">
      <c r="A141" s="4" t="s">
        <v>5</v>
      </c>
      <c r="B141" s="5" t="s">
        <v>198</v>
      </c>
      <c r="C141" s="6" t="n">
        <v>4023601</v>
      </c>
      <c r="D141" s="8" t="s">
        <v>192</v>
      </c>
      <c r="E141" s="9" t="n">
        <v>37254</v>
      </c>
    </row>
    <row r="142" customFormat="false" ht="12.75" hidden="false" customHeight="false" outlineLevel="0" collapsed="false">
      <c r="A142" s="4" t="s">
        <v>5</v>
      </c>
      <c r="B142" s="5" t="s">
        <v>199</v>
      </c>
      <c r="C142" s="6" t="n">
        <v>4333501</v>
      </c>
      <c r="D142" s="8" t="s">
        <v>192</v>
      </c>
      <c r="E142" s="9" t="n">
        <v>37254</v>
      </c>
    </row>
    <row r="143" customFormat="false" ht="12.75" hidden="false" customHeight="false" outlineLevel="0" collapsed="false">
      <c r="A143" s="4" t="s">
        <v>5</v>
      </c>
      <c r="B143" s="5" t="s">
        <v>200</v>
      </c>
      <c r="C143" s="6" t="n">
        <v>4336801</v>
      </c>
      <c r="D143" s="8" t="s">
        <v>192</v>
      </c>
      <c r="E143" s="9" t="n">
        <v>37254</v>
      </c>
    </row>
    <row r="144" customFormat="false" ht="12.75" hidden="false" customHeight="false" outlineLevel="0" collapsed="false">
      <c r="A144" s="4" t="s">
        <v>5</v>
      </c>
      <c r="B144" s="5" t="s">
        <v>201</v>
      </c>
      <c r="C144" s="6" t="n">
        <v>4336901</v>
      </c>
      <c r="D144" s="8" t="s">
        <v>192</v>
      </c>
      <c r="E144" s="9" t="n">
        <v>37254</v>
      </c>
    </row>
    <row r="145" customFormat="false" ht="12.75" hidden="false" customHeight="false" outlineLevel="0" collapsed="false">
      <c r="A145" s="4" t="s">
        <v>5</v>
      </c>
      <c r="B145" s="5" t="s">
        <v>202</v>
      </c>
      <c r="C145" s="6" t="n">
        <v>4341201</v>
      </c>
      <c r="D145" s="8" t="s">
        <v>192</v>
      </c>
      <c r="E145" s="9" t="n">
        <v>37254</v>
      </c>
    </row>
    <row r="146" customFormat="false" ht="12.75" hidden="false" customHeight="false" outlineLevel="0" collapsed="false">
      <c r="A146" s="4" t="s">
        <v>5</v>
      </c>
      <c r="B146" s="5" t="s">
        <v>203</v>
      </c>
      <c r="C146" s="6" t="n">
        <v>4343301</v>
      </c>
      <c r="D146" s="8" t="s">
        <v>192</v>
      </c>
      <c r="E146" s="9" t="n">
        <v>37254</v>
      </c>
    </row>
    <row r="147" customFormat="false" ht="12.75" hidden="false" customHeight="false" outlineLevel="0" collapsed="false">
      <c r="A147" s="4" t="s">
        <v>5</v>
      </c>
      <c r="B147" s="5" t="s">
        <v>204</v>
      </c>
      <c r="C147" s="6" t="n">
        <v>4345701</v>
      </c>
      <c r="D147" s="8" t="s">
        <v>192</v>
      </c>
      <c r="E147" s="9" t="n">
        <v>37254</v>
      </c>
    </row>
    <row r="148" customFormat="false" ht="12.75" hidden="false" customHeight="false" outlineLevel="0" collapsed="false">
      <c r="A148" s="4" t="s">
        <v>5</v>
      </c>
      <c r="B148" s="5" t="s">
        <v>205</v>
      </c>
      <c r="C148" s="6" t="n">
        <v>4345801</v>
      </c>
      <c r="D148" s="8" t="s">
        <v>192</v>
      </c>
      <c r="E148" s="9" t="n">
        <v>37254</v>
      </c>
    </row>
    <row r="149" customFormat="false" ht="12.75" hidden="false" customHeight="false" outlineLevel="0" collapsed="false">
      <c r="A149" s="4" t="s">
        <v>5</v>
      </c>
      <c r="B149" s="5" t="s">
        <v>206</v>
      </c>
      <c r="C149" s="6" t="n">
        <v>4349401</v>
      </c>
      <c r="D149" s="8" t="s">
        <v>192</v>
      </c>
      <c r="E149" s="9" t="n">
        <v>37254</v>
      </c>
    </row>
    <row r="150" customFormat="false" ht="12.75" hidden="false" customHeight="false" outlineLevel="0" collapsed="false">
      <c r="A150" s="4" t="s">
        <v>5</v>
      </c>
      <c r="B150" s="5" t="s">
        <v>207</v>
      </c>
      <c r="C150" s="6" t="n">
        <v>4362801</v>
      </c>
      <c r="D150" s="8" t="s">
        <v>192</v>
      </c>
      <c r="E150" s="9" t="n">
        <v>37254</v>
      </c>
    </row>
    <row r="151" customFormat="false" ht="12.75" hidden="false" customHeight="false" outlineLevel="0" collapsed="false">
      <c r="A151" s="4" t="s">
        <v>5</v>
      </c>
      <c r="B151" s="5" t="s">
        <v>208</v>
      </c>
      <c r="C151" s="6" t="n">
        <v>4362901</v>
      </c>
      <c r="D151" s="8" t="s">
        <v>192</v>
      </c>
      <c r="E151" s="9" t="n">
        <v>37254</v>
      </c>
    </row>
    <row r="152" customFormat="false" ht="12.75" hidden="false" customHeight="false" outlineLevel="0" collapsed="false">
      <c r="A152" s="4" t="s">
        <v>5</v>
      </c>
      <c r="B152" s="5" t="s">
        <v>209</v>
      </c>
      <c r="C152" s="6" t="n">
        <v>4364001</v>
      </c>
      <c r="D152" s="8" t="s">
        <v>192</v>
      </c>
      <c r="E152" s="9" t="n">
        <v>37254</v>
      </c>
    </row>
    <row r="153" customFormat="false" ht="12.75" hidden="false" customHeight="false" outlineLevel="0" collapsed="false">
      <c r="A153" s="4" t="s">
        <v>5</v>
      </c>
      <c r="B153" s="5" t="s">
        <v>210</v>
      </c>
      <c r="C153" s="6" t="n">
        <v>4354501</v>
      </c>
      <c r="D153" s="8" t="s">
        <v>211</v>
      </c>
      <c r="E153" s="7" t="n">
        <v>37257</v>
      </c>
    </row>
    <row r="154" customFormat="false" ht="12.75" hidden="false" customHeight="false" outlineLevel="0" collapsed="false">
      <c r="A154" s="4"/>
      <c r="B154" s="5"/>
      <c r="C154" s="6" t="n">
        <v>3190601</v>
      </c>
      <c r="D154" s="8" t="s">
        <v>212</v>
      </c>
      <c r="E154" s="7"/>
      <c r="F154" s="1" t="n">
        <v>37228</v>
      </c>
    </row>
    <row r="155" customFormat="false" ht="12.75" hidden="false" customHeight="false" outlineLevel="0" collapsed="false">
      <c r="A155" s="4" t="s">
        <v>213</v>
      </c>
      <c r="B155" s="5" t="s">
        <v>214</v>
      </c>
      <c r="C155" s="6" t="n">
        <v>2026901</v>
      </c>
      <c r="D155" s="4" t="s">
        <v>215</v>
      </c>
      <c r="E155" s="7" t="n">
        <v>37228</v>
      </c>
      <c r="F155" s="1" t="n">
        <v>37228</v>
      </c>
    </row>
    <row r="156" customFormat="false" ht="12.75" hidden="false" customHeight="false" outlineLevel="0" collapsed="false">
      <c r="A156" s="4" t="s">
        <v>213</v>
      </c>
      <c r="B156" s="5" t="s">
        <v>216</v>
      </c>
      <c r="C156" s="6" t="n">
        <v>2075601</v>
      </c>
      <c r="D156" s="4" t="s">
        <v>217</v>
      </c>
      <c r="E156" s="7" t="n">
        <v>37256</v>
      </c>
      <c r="F156" s="7" t="n">
        <v>37256</v>
      </c>
    </row>
    <row r="157" customFormat="false" ht="12.75" hidden="false" customHeight="false" outlineLevel="0" collapsed="false">
      <c r="A157" s="4" t="s">
        <v>5</v>
      </c>
      <c r="B157" s="5" t="s">
        <v>218</v>
      </c>
      <c r="C157" s="6" t="n">
        <v>2152501</v>
      </c>
      <c r="D157" s="4" t="s">
        <v>217</v>
      </c>
      <c r="E157" s="7" t="n">
        <v>37256</v>
      </c>
      <c r="F157" s="7" t="n">
        <v>37256</v>
      </c>
    </row>
    <row r="158" customFormat="false" ht="12.75" hidden="false" customHeight="false" outlineLevel="0" collapsed="false">
      <c r="A158" s="4" t="s">
        <v>5</v>
      </c>
      <c r="B158" s="5" t="s">
        <v>219</v>
      </c>
      <c r="C158" s="6" t="n">
        <v>3178601</v>
      </c>
      <c r="D158" s="4" t="s">
        <v>217</v>
      </c>
      <c r="E158" s="7" t="n">
        <v>37256</v>
      </c>
      <c r="F158" s="7" t="n">
        <v>37256</v>
      </c>
    </row>
    <row r="159" customFormat="false" ht="12.75" hidden="false" customHeight="false" outlineLevel="0" collapsed="false">
      <c r="A159" s="4" t="s">
        <v>5</v>
      </c>
      <c r="B159" s="5" t="s">
        <v>220</v>
      </c>
      <c r="C159" s="6" t="n">
        <v>3405301</v>
      </c>
      <c r="D159" s="4" t="s">
        <v>217</v>
      </c>
      <c r="E159" s="7" t="n">
        <v>37256</v>
      </c>
      <c r="F159" s="7" t="n">
        <v>37256</v>
      </c>
    </row>
    <row r="160" customFormat="false" ht="12.75" hidden="false" customHeight="false" outlineLevel="0" collapsed="false">
      <c r="A160" s="4" t="s">
        <v>5</v>
      </c>
      <c r="B160" s="5" t="s">
        <v>221</v>
      </c>
      <c r="C160" s="6" t="n">
        <v>3422901</v>
      </c>
      <c r="D160" s="4" t="s">
        <v>217</v>
      </c>
      <c r="E160" s="7" t="n">
        <v>37256</v>
      </c>
      <c r="F160" s="7" t="n">
        <v>37256</v>
      </c>
    </row>
    <row r="161" customFormat="false" ht="12.75" hidden="false" customHeight="false" outlineLevel="0" collapsed="false">
      <c r="A161" s="4" t="s">
        <v>5</v>
      </c>
      <c r="B161" s="5" t="s">
        <v>222</v>
      </c>
      <c r="C161" s="6" t="n">
        <v>3510601</v>
      </c>
      <c r="D161" s="4" t="s">
        <v>217</v>
      </c>
      <c r="E161" s="7" t="n">
        <v>37256</v>
      </c>
      <c r="F161" s="7" t="n">
        <v>37256</v>
      </c>
    </row>
    <row r="162" customFormat="false" ht="12.75" hidden="false" customHeight="false" outlineLevel="0" collapsed="false">
      <c r="A162" s="4" t="s">
        <v>5</v>
      </c>
      <c r="B162" s="5" t="s">
        <v>223</v>
      </c>
      <c r="C162" s="6" t="n">
        <v>3510801</v>
      </c>
      <c r="D162" s="4" t="s">
        <v>217</v>
      </c>
      <c r="E162" s="7" t="n">
        <v>37256</v>
      </c>
      <c r="F162" s="7" t="n">
        <v>37256</v>
      </c>
    </row>
    <row r="163" customFormat="false" ht="12.75" hidden="false" customHeight="false" outlineLevel="0" collapsed="false">
      <c r="A163" s="4" t="s">
        <v>5</v>
      </c>
      <c r="B163" s="5" t="s">
        <v>224</v>
      </c>
      <c r="C163" s="6" t="n">
        <v>3512101</v>
      </c>
      <c r="D163" s="4" t="s">
        <v>217</v>
      </c>
      <c r="E163" s="7" t="n">
        <v>37256</v>
      </c>
      <c r="F163" s="7" t="n">
        <v>37256</v>
      </c>
    </row>
    <row r="164" customFormat="false" ht="12.75" hidden="false" customHeight="false" outlineLevel="0" collapsed="false">
      <c r="A164" s="4" t="s">
        <v>5</v>
      </c>
      <c r="B164" s="5" t="s">
        <v>225</v>
      </c>
      <c r="C164" s="6" t="n">
        <v>3513301</v>
      </c>
      <c r="D164" s="4" t="s">
        <v>217</v>
      </c>
      <c r="E164" s="7" t="n">
        <v>37256</v>
      </c>
      <c r="F164" s="7" t="n">
        <v>37256</v>
      </c>
    </row>
    <row r="165" customFormat="false" ht="12.75" hidden="false" customHeight="false" outlineLevel="0" collapsed="false">
      <c r="A165" s="4" t="s">
        <v>5</v>
      </c>
      <c r="B165" s="5" t="s">
        <v>226</v>
      </c>
      <c r="C165" s="6" t="n">
        <v>3524201</v>
      </c>
      <c r="D165" s="4" t="s">
        <v>217</v>
      </c>
      <c r="E165" s="7" t="n">
        <v>37256</v>
      </c>
      <c r="F165" s="7" t="n">
        <v>37256</v>
      </c>
    </row>
    <row r="166" customFormat="false" ht="12.75" hidden="false" customHeight="false" outlineLevel="0" collapsed="false">
      <c r="A166" s="4" t="s">
        <v>227</v>
      </c>
      <c r="B166" s="5" t="s">
        <v>228</v>
      </c>
      <c r="C166" s="6" t="n">
        <v>3525501</v>
      </c>
      <c r="D166" s="4" t="s">
        <v>217</v>
      </c>
      <c r="E166" s="7" t="n">
        <v>37256</v>
      </c>
      <c r="F166" s="7" t="n">
        <v>37256</v>
      </c>
    </row>
    <row r="167" customFormat="false" ht="12.75" hidden="false" customHeight="false" outlineLevel="0" collapsed="false">
      <c r="A167" s="4" t="s">
        <v>5</v>
      </c>
      <c r="B167" s="5" t="s">
        <v>229</v>
      </c>
      <c r="C167" s="6" t="n">
        <v>3526101</v>
      </c>
      <c r="D167" s="4" t="s">
        <v>217</v>
      </c>
      <c r="E167" s="7" t="n">
        <v>37256</v>
      </c>
      <c r="F167" s="7" t="n">
        <v>37256</v>
      </c>
    </row>
    <row r="168" customFormat="false" ht="12.75" hidden="false" customHeight="false" outlineLevel="0" collapsed="false">
      <c r="A168" s="4" t="s">
        <v>5</v>
      </c>
      <c r="B168" s="5" t="s">
        <v>230</v>
      </c>
      <c r="C168" s="6" t="n">
        <v>3541601</v>
      </c>
      <c r="D168" s="4" t="s">
        <v>217</v>
      </c>
      <c r="E168" s="7" t="n">
        <v>37256</v>
      </c>
      <c r="F168" s="7" t="n">
        <v>37256</v>
      </c>
    </row>
    <row r="169" customFormat="false" ht="12.75" hidden="false" customHeight="false" outlineLevel="0" collapsed="false">
      <c r="A169" s="4" t="s">
        <v>5</v>
      </c>
      <c r="B169" s="5" t="s">
        <v>231</v>
      </c>
      <c r="C169" s="6" t="n">
        <v>4334701</v>
      </c>
      <c r="D169" s="4" t="s">
        <v>217</v>
      </c>
      <c r="E169" s="7" t="n">
        <v>37256</v>
      </c>
      <c r="F169" s="7" t="n">
        <v>37256</v>
      </c>
    </row>
    <row r="170" customFormat="false" ht="12.75" hidden="false" customHeight="false" outlineLevel="0" collapsed="false">
      <c r="A170" s="4"/>
      <c r="B170" s="5"/>
      <c r="C170" s="6" t="s">
        <v>147</v>
      </c>
      <c r="D170" s="4" t="s">
        <v>217</v>
      </c>
      <c r="E170" s="7"/>
      <c r="F170" s="7" t="n">
        <v>37256</v>
      </c>
    </row>
    <row r="171" customFormat="false" ht="12.75" hidden="false" customHeight="false" outlineLevel="0" collapsed="false">
      <c r="A171" s="4" t="s">
        <v>5</v>
      </c>
      <c r="B171" s="5" t="s">
        <v>232</v>
      </c>
      <c r="C171" s="6" t="n">
        <v>3427001</v>
      </c>
      <c r="D171" s="4" t="s">
        <v>233</v>
      </c>
      <c r="E171" s="7" t="n">
        <v>37257</v>
      </c>
    </row>
    <row r="172" customFormat="false" ht="12.75" hidden="false" customHeight="false" outlineLevel="0" collapsed="false">
      <c r="A172" s="4" t="s">
        <v>5</v>
      </c>
      <c r="B172" s="5" t="s">
        <v>234</v>
      </c>
      <c r="C172" s="6" t="n">
        <v>3507801</v>
      </c>
      <c r="D172" s="4" t="s">
        <v>233</v>
      </c>
      <c r="E172" s="7" t="n">
        <v>37257</v>
      </c>
    </row>
    <row r="173" customFormat="false" ht="12.75" hidden="false" customHeight="false" outlineLevel="0" collapsed="false">
      <c r="A173" s="4" t="s">
        <v>5</v>
      </c>
      <c r="B173" s="5" t="s">
        <v>235</v>
      </c>
      <c r="C173" s="6" t="n">
        <v>3507901</v>
      </c>
      <c r="D173" s="4" t="s">
        <v>233</v>
      </c>
      <c r="E173" s="7" t="n">
        <v>37257</v>
      </c>
    </row>
    <row r="174" customFormat="false" ht="12.75" hidden="false" customHeight="false" outlineLevel="0" collapsed="false">
      <c r="A174" s="4" t="s">
        <v>5</v>
      </c>
      <c r="B174" s="5" t="s">
        <v>236</v>
      </c>
      <c r="C174" s="6" t="n">
        <v>3508401</v>
      </c>
      <c r="D174" s="4" t="s">
        <v>233</v>
      </c>
      <c r="E174" s="7" t="n">
        <v>37257</v>
      </c>
    </row>
    <row r="175" customFormat="false" ht="12.75" hidden="false" customHeight="false" outlineLevel="0" collapsed="false">
      <c r="A175" s="4" t="s">
        <v>8</v>
      </c>
      <c r="B175" s="6" t="s">
        <v>237</v>
      </c>
      <c r="C175" s="6" t="n">
        <v>3153201</v>
      </c>
      <c r="D175" s="4" t="s">
        <v>238</v>
      </c>
      <c r="E175" s="7"/>
    </row>
    <row r="176" customFormat="false" ht="12.75" hidden="false" customHeight="false" outlineLevel="0" collapsed="false">
      <c r="A176" s="4" t="s">
        <v>26</v>
      </c>
      <c r="B176" s="5" t="s">
        <v>239</v>
      </c>
      <c r="C176" s="6" t="s">
        <v>26</v>
      </c>
      <c r="D176" s="4" t="s">
        <v>240</v>
      </c>
      <c r="E176" s="7"/>
    </row>
    <row r="177" customFormat="false" ht="12.75" hidden="false" customHeight="false" outlineLevel="0" collapsed="false">
      <c r="A177" s="4" t="s">
        <v>26</v>
      </c>
      <c r="B177" s="5" t="s">
        <v>241</v>
      </c>
      <c r="C177" s="6" t="s">
        <v>26</v>
      </c>
      <c r="D177" s="4" t="s">
        <v>240</v>
      </c>
      <c r="E177" s="7"/>
    </row>
    <row r="178" customFormat="false" ht="12.75" hidden="false" customHeight="false" outlineLevel="0" collapsed="false">
      <c r="A178" s="4" t="s">
        <v>5</v>
      </c>
      <c r="B178" s="5" t="s">
        <v>242</v>
      </c>
      <c r="C178" s="6" t="n">
        <v>4043501</v>
      </c>
      <c r="D178" s="4" t="s">
        <v>243</v>
      </c>
      <c r="E178" s="7" t="n">
        <v>37228</v>
      </c>
    </row>
    <row r="179" customFormat="false" ht="12.75" hidden="false" customHeight="false" outlineLevel="0" collapsed="false">
      <c r="A179" s="4" t="s">
        <v>5</v>
      </c>
      <c r="B179" s="5" t="s">
        <v>244</v>
      </c>
      <c r="C179" s="6" t="n">
        <v>4058801</v>
      </c>
      <c r="D179" s="4" t="s">
        <v>243</v>
      </c>
      <c r="E179" s="7" t="n">
        <v>37228</v>
      </c>
    </row>
    <row r="180" customFormat="false" ht="12.75" hidden="false" customHeight="false" outlineLevel="0" collapsed="false">
      <c r="A180" s="4" t="s">
        <v>5</v>
      </c>
      <c r="B180" s="5" t="s">
        <v>245</v>
      </c>
      <c r="C180" s="6" t="n">
        <v>3046501</v>
      </c>
      <c r="D180" s="8" t="s">
        <v>246</v>
      </c>
      <c r="E180" s="7" t="n">
        <v>37228</v>
      </c>
      <c r="F180" s="7" t="n">
        <v>37228</v>
      </c>
    </row>
    <row r="181" customFormat="false" ht="12.75" hidden="false" customHeight="false" outlineLevel="0" collapsed="false">
      <c r="A181" s="4" t="s">
        <v>5</v>
      </c>
      <c r="B181" s="5" t="s">
        <v>247</v>
      </c>
      <c r="C181" s="6" t="n">
        <v>3123401</v>
      </c>
      <c r="D181" s="8" t="s">
        <v>246</v>
      </c>
      <c r="E181" s="7" t="n">
        <v>37228</v>
      </c>
      <c r="F181" s="7" t="n">
        <v>37228</v>
      </c>
    </row>
    <row r="182" customFormat="false" ht="12.75" hidden="false" customHeight="false" outlineLevel="0" collapsed="false">
      <c r="A182" s="4" t="s">
        <v>5</v>
      </c>
      <c r="B182" s="5" t="s">
        <v>248</v>
      </c>
      <c r="C182" s="6" t="n">
        <v>3136601</v>
      </c>
      <c r="D182" s="8" t="s">
        <v>246</v>
      </c>
      <c r="E182" s="7" t="n">
        <v>37228</v>
      </c>
      <c r="F182" s="7" t="n">
        <v>37228</v>
      </c>
    </row>
    <row r="183" customFormat="false" ht="12.75" hidden="false" customHeight="false" outlineLevel="0" collapsed="false">
      <c r="A183" s="4" t="s">
        <v>5</v>
      </c>
      <c r="B183" s="5" t="s">
        <v>249</v>
      </c>
      <c r="C183" s="6" t="n">
        <v>3219301</v>
      </c>
      <c r="D183" s="8" t="s">
        <v>246</v>
      </c>
      <c r="E183" s="7" t="n">
        <v>37228</v>
      </c>
      <c r="F183" s="7" t="n">
        <v>37228</v>
      </c>
    </row>
    <row r="184" customFormat="false" ht="12.75" hidden="false" customHeight="false" outlineLevel="0" collapsed="false">
      <c r="A184" s="4" t="s">
        <v>5</v>
      </c>
      <c r="B184" s="5" t="s">
        <v>250</v>
      </c>
      <c r="C184" s="6" t="n">
        <v>3226701</v>
      </c>
      <c r="D184" s="8" t="s">
        <v>246</v>
      </c>
      <c r="E184" s="7" t="n">
        <v>37228</v>
      </c>
      <c r="F184" s="7" t="n">
        <v>37228</v>
      </c>
    </row>
    <row r="185" customFormat="false" ht="12.75" hidden="false" customHeight="false" outlineLevel="0" collapsed="false">
      <c r="A185" s="4" t="s">
        <v>5</v>
      </c>
      <c r="B185" s="5" t="s">
        <v>251</v>
      </c>
      <c r="C185" s="6" t="n">
        <v>3290201</v>
      </c>
      <c r="D185" s="8" t="s">
        <v>246</v>
      </c>
      <c r="E185" s="7" t="n">
        <v>37228</v>
      </c>
      <c r="F185" s="7" t="n">
        <v>37228</v>
      </c>
    </row>
    <row r="186" customFormat="false" ht="12.75" hidden="false" customHeight="false" outlineLevel="0" collapsed="false">
      <c r="A186" s="4" t="s">
        <v>5</v>
      </c>
      <c r="B186" s="5" t="s">
        <v>252</v>
      </c>
      <c r="C186" s="6" t="n">
        <v>3409901</v>
      </c>
      <c r="D186" s="8" t="s">
        <v>246</v>
      </c>
      <c r="E186" s="7" t="n">
        <v>37228</v>
      </c>
      <c r="F186" s="7" t="n">
        <v>37228</v>
      </c>
    </row>
    <row r="187" customFormat="false" ht="12.75" hidden="false" customHeight="false" outlineLevel="0" collapsed="false">
      <c r="A187" s="4" t="s">
        <v>5</v>
      </c>
      <c r="B187" s="5" t="s">
        <v>253</v>
      </c>
      <c r="C187" s="6" t="n">
        <v>3551401</v>
      </c>
      <c r="D187" s="8" t="s">
        <v>246</v>
      </c>
      <c r="E187" s="7" t="n">
        <v>37228</v>
      </c>
      <c r="F187" s="7" t="n">
        <v>37228</v>
      </c>
    </row>
    <row r="188" customFormat="false" ht="12.75" hidden="false" customHeight="false" outlineLevel="0" collapsed="false">
      <c r="A188" s="4" t="s">
        <v>104</v>
      </c>
      <c r="B188" s="5" t="s">
        <v>254</v>
      </c>
      <c r="C188" s="6" t="n">
        <v>3562001</v>
      </c>
      <c r="D188" s="8" t="s">
        <v>246</v>
      </c>
      <c r="E188" s="7" t="n">
        <v>37228</v>
      </c>
      <c r="F188" s="7" t="n">
        <v>37228</v>
      </c>
    </row>
    <row r="189" customFormat="false" ht="12.75" hidden="false" customHeight="false" outlineLevel="0" collapsed="false">
      <c r="A189" s="4" t="s">
        <v>5</v>
      </c>
      <c r="B189" s="5" t="s">
        <v>255</v>
      </c>
      <c r="C189" s="6" t="n">
        <v>3565501</v>
      </c>
      <c r="D189" s="8" t="s">
        <v>246</v>
      </c>
      <c r="E189" s="7" t="n">
        <v>37228</v>
      </c>
      <c r="F189" s="7" t="n">
        <v>37228</v>
      </c>
    </row>
    <row r="190" customFormat="false" ht="12.75" hidden="false" customHeight="false" outlineLevel="0" collapsed="false">
      <c r="A190" s="4" t="s">
        <v>5</v>
      </c>
      <c r="B190" s="5" t="s">
        <v>256</v>
      </c>
      <c r="C190" s="6" t="n">
        <v>3573701</v>
      </c>
      <c r="D190" s="8" t="s">
        <v>257</v>
      </c>
      <c r="E190" s="7" t="n">
        <v>37228</v>
      </c>
      <c r="F190" s="7" t="n">
        <v>37228</v>
      </c>
    </row>
    <row r="191" customFormat="false" ht="12.75" hidden="false" customHeight="false" outlineLevel="0" collapsed="false">
      <c r="A191" s="4" t="s">
        <v>5</v>
      </c>
      <c r="B191" s="6" t="s">
        <v>258</v>
      </c>
      <c r="C191" s="6" t="n">
        <v>3585801</v>
      </c>
      <c r="D191" s="8" t="s">
        <v>257</v>
      </c>
      <c r="E191" s="7" t="n">
        <v>37228</v>
      </c>
      <c r="F191" s="7" t="n">
        <v>37228</v>
      </c>
    </row>
    <row r="192" customFormat="false" ht="12.75" hidden="false" customHeight="false" outlineLevel="0" collapsed="false">
      <c r="A192" s="4" t="s">
        <v>5</v>
      </c>
      <c r="B192" s="5" t="s">
        <v>259</v>
      </c>
      <c r="C192" s="6" t="n">
        <v>2038501</v>
      </c>
      <c r="D192" s="4" t="s">
        <v>260</v>
      </c>
      <c r="E192" s="7" t="n">
        <v>37228</v>
      </c>
    </row>
    <row r="193" customFormat="false" ht="12.75" hidden="false" customHeight="false" outlineLevel="0" collapsed="false">
      <c r="A193" s="11"/>
      <c r="B193" s="12"/>
      <c r="C193" s="13" t="n">
        <v>3543801</v>
      </c>
      <c r="D193" s="4" t="s">
        <v>261</v>
      </c>
      <c r="E193" s="7"/>
      <c r="F193" s="1" t="n">
        <v>37257</v>
      </c>
    </row>
    <row r="194" customFormat="false" ht="12.75" hidden="false" customHeight="false" outlineLevel="0" collapsed="false">
      <c r="A194" s="11"/>
      <c r="B194" s="12"/>
      <c r="C194" s="13" t="n">
        <v>3008001</v>
      </c>
      <c r="D194" s="4" t="s">
        <v>261</v>
      </c>
      <c r="E194" s="7"/>
      <c r="F194" s="1" t="n">
        <v>37257</v>
      </c>
    </row>
    <row r="195" customFormat="false" ht="12.75" hidden="false" customHeight="false" outlineLevel="0" collapsed="false">
      <c r="A195" s="11"/>
      <c r="B195" s="12"/>
      <c r="C195" s="13" t="n">
        <v>3015901</v>
      </c>
      <c r="D195" s="4" t="s">
        <v>261</v>
      </c>
      <c r="E195" s="7"/>
      <c r="F195" s="1" t="n">
        <v>37257</v>
      </c>
    </row>
    <row r="196" customFormat="false" ht="12.75" hidden="false" customHeight="false" outlineLevel="0" collapsed="false">
      <c r="A196" s="14" t="s">
        <v>26</v>
      </c>
      <c r="B196" s="15" t="s">
        <v>262</v>
      </c>
      <c r="C196" s="10" t="s">
        <v>26</v>
      </c>
      <c r="D196" s="8" t="s">
        <v>263</v>
      </c>
      <c r="E196" s="9"/>
    </row>
    <row r="197" customFormat="false" ht="12.75" hidden="false" customHeight="false" outlineLevel="0" collapsed="false">
      <c r="A197" s="4" t="s">
        <v>26</v>
      </c>
      <c r="B197" s="5" t="s">
        <v>264</v>
      </c>
      <c r="C197" s="6" t="s">
        <v>26</v>
      </c>
      <c r="D197" s="8" t="s">
        <v>263</v>
      </c>
      <c r="E197" s="9"/>
    </row>
    <row r="198" customFormat="false" ht="12.75" hidden="false" customHeight="false" outlineLevel="0" collapsed="false">
      <c r="A198" s="4" t="s">
        <v>26</v>
      </c>
      <c r="B198" s="5" t="s">
        <v>265</v>
      </c>
      <c r="C198" s="6" t="s">
        <v>26</v>
      </c>
      <c r="D198" s="8" t="s">
        <v>263</v>
      </c>
      <c r="E198" s="9"/>
    </row>
    <row r="199" customFormat="false" ht="12.75" hidden="false" customHeight="false" outlineLevel="0" collapsed="false">
      <c r="A199" s="4" t="s">
        <v>26</v>
      </c>
      <c r="B199" s="5" t="s">
        <v>266</v>
      </c>
      <c r="C199" s="6" t="s">
        <v>26</v>
      </c>
      <c r="D199" s="8" t="s">
        <v>263</v>
      </c>
      <c r="E199" s="9"/>
    </row>
    <row r="200" customFormat="false" ht="12.75" hidden="false" customHeight="false" outlineLevel="0" collapsed="false">
      <c r="A200" s="4" t="s">
        <v>5</v>
      </c>
      <c r="B200" s="5" t="s">
        <v>267</v>
      </c>
      <c r="C200" s="6" t="n">
        <v>4342301</v>
      </c>
      <c r="D200" s="4" t="s">
        <v>268</v>
      </c>
      <c r="E200" s="7"/>
      <c r="G200" s="1" t="n">
        <v>37228</v>
      </c>
    </row>
    <row r="201" customFormat="false" ht="12.75" hidden="false" customHeight="false" outlineLevel="0" collapsed="false">
      <c r="A201" s="4" t="s">
        <v>104</v>
      </c>
      <c r="B201" s="5" t="s">
        <v>269</v>
      </c>
      <c r="C201" s="6" t="n">
        <v>3124201</v>
      </c>
      <c r="D201" s="4" t="s">
        <v>270</v>
      </c>
      <c r="E201" s="7"/>
      <c r="F201" s="1" t="n">
        <v>37257</v>
      </c>
    </row>
    <row r="202" customFormat="false" ht="12.75" hidden="false" customHeight="false" outlineLevel="0" collapsed="false">
      <c r="A202" s="4" t="s">
        <v>5</v>
      </c>
      <c r="B202" s="5" t="s">
        <v>271</v>
      </c>
      <c r="C202" s="6" t="n">
        <v>3223401</v>
      </c>
      <c r="D202" s="4" t="s">
        <v>270</v>
      </c>
      <c r="E202" s="7"/>
      <c r="F202" s="1" t="n">
        <v>37257</v>
      </c>
    </row>
    <row r="203" customFormat="false" ht="12.75" hidden="false" customHeight="false" outlineLevel="0" collapsed="false">
      <c r="A203" s="4" t="s">
        <v>5</v>
      </c>
      <c r="B203" s="5" t="s">
        <v>272</v>
      </c>
      <c r="C203" s="6" t="n">
        <v>3245501</v>
      </c>
      <c r="D203" s="4" t="s">
        <v>270</v>
      </c>
      <c r="E203" s="7"/>
      <c r="F203" s="1" t="n">
        <v>37257</v>
      </c>
    </row>
    <row r="204" customFormat="false" ht="12.75" hidden="false" customHeight="false" outlineLevel="0" collapsed="false">
      <c r="A204" s="4" t="s">
        <v>273</v>
      </c>
      <c r="B204" s="6" t="s">
        <v>274</v>
      </c>
      <c r="C204" s="6" t="n">
        <v>3576601</v>
      </c>
      <c r="D204" s="4" t="s">
        <v>270</v>
      </c>
      <c r="E204" s="7"/>
      <c r="F204" s="1" t="n">
        <v>37257</v>
      </c>
    </row>
    <row r="205" customFormat="false" ht="12.75" hidden="false" customHeight="false" outlineLevel="0" collapsed="false">
      <c r="A205" s="4" t="s">
        <v>273</v>
      </c>
      <c r="B205" s="6" t="s">
        <v>275</v>
      </c>
      <c r="C205" s="6" t="n">
        <v>3584401</v>
      </c>
      <c r="D205" s="4" t="s">
        <v>270</v>
      </c>
      <c r="E205" s="7"/>
      <c r="F205" s="1" t="n">
        <v>37257</v>
      </c>
    </row>
    <row r="206" customFormat="false" ht="12.75" hidden="false" customHeight="false" outlineLevel="0" collapsed="false">
      <c r="A206" s="4"/>
      <c r="B206" s="6"/>
      <c r="C206" s="6"/>
      <c r="D206" s="4" t="s">
        <v>270</v>
      </c>
      <c r="E206" s="7"/>
      <c r="F206" s="1" t="n">
        <v>37257</v>
      </c>
    </row>
    <row r="207" customFormat="false" ht="12.75" hidden="false" customHeight="false" outlineLevel="0" collapsed="false">
      <c r="A207" s="4"/>
      <c r="B207" s="6"/>
      <c r="C207" s="6" t="n">
        <v>2160001</v>
      </c>
      <c r="D207" s="4" t="s">
        <v>276</v>
      </c>
      <c r="E207" s="7"/>
      <c r="F207" s="1" t="n">
        <v>37228</v>
      </c>
    </row>
    <row r="208" customFormat="false" ht="12.75" hidden="false" customHeight="false" outlineLevel="0" collapsed="false">
      <c r="A208" s="4" t="s">
        <v>5</v>
      </c>
      <c r="B208" s="5" t="s">
        <v>277</v>
      </c>
      <c r="C208" s="6" t="n">
        <v>3016301</v>
      </c>
      <c r="D208" s="4" t="s">
        <v>278</v>
      </c>
      <c r="E208" s="7" t="n">
        <v>37228</v>
      </c>
      <c r="F208" s="7" t="n">
        <v>37228</v>
      </c>
    </row>
    <row r="209" customFormat="false" ht="12.75" hidden="false" customHeight="false" outlineLevel="0" collapsed="false">
      <c r="A209" s="4" t="s">
        <v>5</v>
      </c>
      <c r="B209" s="5" t="s">
        <v>279</v>
      </c>
      <c r="C209" s="6" t="n">
        <v>3153701</v>
      </c>
      <c r="D209" s="4" t="s">
        <v>278</v>
      </c>
      <c r="E209" s="7" t="n">
        <v>37228</v>
      </c>
      <c r="F209" s="7" t="n">
        <v>37228</v>
      </c>
    </row>
    <row r="210" customFormat="false" ht="12.75" hidden="false" customHeight="false" outlineLevel="0" collapsed="false">
      <c r="A210" s="4" t="s">
        <v>5</v>
      </c>
      <c r="B210" s="5" t="s">
        <v>280</v>
      </c>
      <c r="C210" s="6" t="n">
        <v>3316501</v>
      </c>
      <c r="D210" s="4" t="s">
        <v>278</v>
      </c>
      <c r="E210" s="7" t="n">
        <v>37228</v>
      </c>
      <c r="F210" s="7" t="n">
        <v>37228</v>
      </c>
    </row>
    <row r="211" customFormat="false" ht="12.75" hidden="false" customHeight="false" outlineLevel="0" collapsed="false">
      <c r="A211" s="4" t="s">
        <v>5</v>
      </c>
      <c r="B211" s="5" t="s">
        <v>281</v>
      </c>
      <c r="C211" s="6" t="n">
        <v>3316601</v>
      </c>
      <c r="D211" s="4" t="s">
        <v>278</v>
      </c>
      <c r="E211" s="7" t="n">
        <v>37228</v>
      </c>
      <c r="F211" s="7" t="n">
        <v>37228</v>
      </c>
    </row>
    <row r="212" customFormat="false" ht="12.75" hidden="false" customHeight="false" outlineLevel="0" collapsed="false">
      <c r="A212" s="4" t="s">
        <v>8</v>
      </c>
      <c r="B212" s="6" t="s">
        <v>282</v>
      </c>
      <c r="C212" s="6" t="n">
        <v>3038601</v>
      </c>
      <c r="D212" s="4" t="s">
        <v>283</v>
      </c>
      <c r="E212" s="7"/>
      <c r="F212" s="1" t="n">
        <v>37228</v>
      </c>
    </row>
    <row r="213" customFormat="false" ht="12.75" hidden="false" customHeight="false" outlineLevel="0" collapsed="false">
      <c r="A213" s="4" t="s">
        <v>26</v>
      </c>
      <c r="B213" s="5" t="s">
        <v>284</v>
      </c>
      <c r="C213" s="6" t="s">
        <v>26</v>
      </c>
      <c r="D213" s="4" t="s">
        <v>285</v>
      </c>
      <c r="E213" s="7"/>
    </row>
    <row r="214" customFormat="false" ht="12.75" hidden="false" customHeight="false" outlineLevel="0" collapsed="false">
      <c r="A214" s="4" t="s">
        <v>26</v>
      </c>
      <c r="B214" s="5" t="s">
        <v>286</v>
      </c>
      <c r="C214" s="6" t="s">
        <v>26</v>
      </c>
      <c r="D214" s="4" t="s">
        <v>285</v>
      </c>
      <c r="E214" s="7"/>
    </row>
    <row r="215" customFormat="false" ht="12.75" hidden="false" customHeight="false" outlineLevel="0" collapsed="false">
      <c r="A215" s="4" t="s">
        <v>5</v>
      </c>
      <c r="B215" s="5" t="s">
        <v>287</v>
      </c>
      <c r="C215" s="6" t="n">
        <v>3564601</v>
      </c>
      <c r="D215" s="4" t="s">
        <v>288</v>
      </c>
      <c r="E215" s="7" t="n">
        <v>37257</v>
      </c>
      <c r="F215" s="1" t="n">
        <v>37257</v>
      </c>
    </row>
    <row r="216" customFormat="false" ht="12.75" hidden="false" customHeight="false" outlineLevel="0" collapsed="false">
      <c r="A216" s="4" t="s">
        <v>5</v>
      </c>
      <c r="B216" s="5" t="s">
        <v>289</v>
      </c>
      <c r="C216" s="6" t="n">
        <v>4180601</v>
      </c>
      <c r="D216" s="4" t="s">
        <v>290</v>
      </c>
      <c r="E216" s="7"/>
    </row>
    <row r="217" customFormat="false" ht="12.75" hidden="false" customHeight="false" outlineLevel="0" collapsed="false">
      <c r="A217" s="4" t="s">
        <v>5</v>
      </c>
      <c r="B217" s="5" t="s">
        <v>291</v>
      </c>
      <c r="C217" s="6" t="n">
        <v>4188401</v>
      </c>
      <c r="D217" s="4" t="s">
        <v>290</v>
      </c>
      <c r="E217" s="7"/>
    </row>
    <row r="218" customFormat="false" ht="12.75" hidden="false" customHeight="false" outlineLevel="0" collapsed="false">
      <c r="A218" s="4" t="s">
        <v>104</v>
      </c>
      <c r="B218" s="5" t="s">
        <v>292</v>
      </c>
      <c r="C218" s="6" t="n">
        <v>3405001</v>
      </c>
      <c r="D218" s="4" t="s">
        <v>293</v>
      </c>
      <c r="E218" s="7" t="n">
        <v>37228</v>
      </c>
      <c r="F218" s="7" t="n">
        <v>37228</v>
      </c>
    </row>
    <row r="219" customFormat="false" ht="12.75" hidden="false" customHeight="false" outlineLevel="0" collapsed="false">
      <c r="A219" s="4" t="s">
        <v>5</v>
      </c>
      <c r="B219" s="5" t="s">
        <v>294</v>
      </c>
      <c r="C219" s="6" t="n">
        <v>3420401</v>
      </c>
      <c r="D219" s="4" t="s">
        <v>293</v>
      </c>
      <c r="E219" s="7" t="n">
        <v>37228</v>
      </c>
      <c r="F219" s="7" t="n">
        <v>37228</v>
      </c>
    </row>
    <row r="220" customFormat="false" ht="12.75" hidden="false" customHeight="false" outlineLevel="0" collapsed="false">
      <c r="A220" s="4" t="s">
        <v>5</v>
      </c>
      <c r="B220" s="6" t="s">
        <v>295</v>
      </c>
      <c r="C220" s="6" t="n">
        <v>3426101</v>
      </c>
      <c r="D220" s="4" t="s">
        <v>293</v>
      </c>
      <c r="E220" s="7" t="n">
        <v>37228</v>
      </c>
      <c r="F220" s="7" t="n">
        <v>37228</v>
      </c>
    </row>
    <row r="221" customFormat="false" ht="12.75" hidden="false" customHeight="false" outlineLevel="0" collapsed="false">
      <c r="A221" s="4" t="s">
        <v>5</v>
      </c>
      <c r="B221" s="15" t="s">
        <v>296</v>
      </c>
      <c r="C221" s="10" t="n">
        <v>3475001</v>
      </c>
      <c r="D221" s="4" t="s">
        <v>293</v>
      </c>
      <c r="E221" s="7" t="n">
        <v>37228</v>
      </c>
      <c r="F221" s="7" t="n">
        <v>37228</v>
      </c>
    </row>
    <row r="222" customFormat="false" ht="12.75" hidden="false" customHeight="false" outlineLevel="0" collapsed="false">
      <c r="A222" s="4" t="s">
        <v>5</v>
      </c>
      <c r="B222" s="5" t="s">
        <v>297</v>
      </c>
      <c r="C222" s="6" t="n">
        <v>3506201</v>
      </c>
      <c r="D222" s="4" t="s">
        <v>293</v>
      </c>
      <c r="E222" s="7" t="n">
        <v>37228</v>
      </c>
      <c r="F222" s="7" t="n">
        <v>37228</v>
      </c>
    </row>
    <row r="223" customFormat="false" ht="12.75" hidden="false" customHeight="false" outlineLevel="0" collapsed="false">
      <c r="A223" s="4" t="s">
        <v>5</v>
      </c>
      <c r="B223" s="5" t="s">
        <v>298</v>
      </c>
      <c r="C223" s="6" t="n">
        <v>3509101</v>
      </c>
      <c r="D223" s="4" t="s">
        <v>293</v>
      </c>
      <c r="E223" s="7" t="n">
        <v>37228</v>
      </c>
      <c r="F223" s="7" t="n">
        <v>37228</v>
      </c>
    </row>
    <row r="224" customFormat="false" ht="12.75" hidden="false" customHeight="false" outlineLevel="0" collapsed="false">
      <c r="A224" s="4" t="s">
        <v>5</v>
      </c>
      <c r="B224" s="5" t="s">
        <v>299</v>
      </c>
      <c r="C224" s="6" t="n">
        <v>3549301</v>
      </c>
      <c r="D224" s="4" t="s">
        <v>293</v>
      </c>
      <c r="E224" s="7" t="n">
        <v>37228</v>
      </c>
      <c r="F224" s="7" t="n">
        <v>37228</v>
      </c>
    </row>
    <row r="225" customFormat="false" ht="12.75" hidden="false" customHeight="false" outlineLevel="0" collapsed="false">
      <c r="A225" s="4" t="s">
        <v>5</v>
      </c>
      <c r="B225" s="6" t="s">
        <v>300</v>
      </c>
      <c r="C225" s="6" t="n">
        <v>3571701</v>
      </c>
      <c r="D225" s="4" t="s">
        <v>293</v>
      </c>
      <c r="E225" s="7" t="n">
        <v>37228</v>
      </c>
      <c r="F225" s="7" t="n">
        <v>37228</v>
      </c>
    </row>
    <row r="226" customFormat="false" ht="12.75" hidden="false" customHeight="false" outlineLevel="0" collapsed="false">
      <c r="A226" s="4" t="s">
        <v>5</v>
      </c>
      <c r="B226" s="5" t="s">
        <v>301</v>
      </c>
      <c r="C226" s="6" t="n">
        <v>3573701</v>
      </c>
      <c r="D226" s="4" t="s">
        <v>293</v>
      </c>
      <c r="E226" s="7" t="n">
        <v>37228</v>
      </c>
    </row>
    <row r="227" customFormat="false" ht="12.75" hidden="false" customHeight="false" outlineLevel="0" collapsed="false">
      <c r="A227" s="4" t="s">
        <v>104</v>
      </c>
      <c r="B227" s="6" t="s">
        <v>302</v>
      </c>
      <c r="C227" s="6" t="n">
        <v>3582101</v>
      </c>
      <c r="D227" s="4" t="s">
        <v>293</v>
      </c>
      <c r="E227" s="7" t="n">
        <v>37228</v>
      </c>
      <c r="F227" s="1" t="n">
        <v>37228</v>
      </c>
    </row>
    <row r="228" customFormat="false" ht="12.75" hidden="false" customHeight="false" outlineLevel="0" collapsed="false">
      <c r="A228" s="4" t="s">
        <v>8</v>
      </c>
      <c r="B228" s="6" t="s">
        <v>303</v>
      </c>
      <c r="C228" s="6" t="n">
        <v>1070001</v>
      </c>
      <c r="D228" s="4" t="s">
        <v>304</v>
      </c>
      <c r="E228" s="7"/>
    </row>
    <row r="229" customFormat="false" ht="12.75" hidden="false" customHeight="false" outlineLevel="0" collapsed="false">
      <c r="A229" s="4" t="s">
        <v>8</v>
      </c>
      <c r="B229" s="6" t="s">
        <v>305</v>
      </c>
      <c r="C229" s="6" t="n">
        <v>1077501</v>
      </c>
      <c r="D229" s="4" t="s">
        <v>304</v>
      </c>
      <c r="E229" s="7"/>
    </row>
    <row r="230" customFormat="false" ht="12.75" hidden="false" customHeight="false" outlineLevel="0" collapsed="false">
      <c r="A230" s="4" t="s">
        <v>8</v>
      </c>
      <c r="B230" s="6" t="s">
        <v>306</v>
      </c>
      <c r="C230" s="6" t="n">
        <v>3511201</v>
      </c>
      <c r="D230" s="4" t="s">
        <v>304</v>
      </c>
      <c r="E230" s="7"/>
    </row>
    <row r="231" customFormat="false" ht="12.75" hidden="false" customHeight="false" outlineLevel="0" collapsed="false">
      <c r="A231" s="4" t="s">
        <v>8</v>
      </c>
      <c r="B231" s="6" t="s">
        <v>307</v>
      </c>
      <c r="C231" s="6" t="n">
        <v>4025301</v>
      </c>
      <c r="D231" s="4" t="s">
        <v>304</v>
      </c>
      <c r="E231" s="7"/>
    </row>
    <row r="232" customFormat="false" ht="12.75" hidden="false" customHeight="false" outlineLevel="0" collapsed="false">
      <c r="A232" s="4" t="s">
        <v>8</v>
      </c>
      <c r="B232" s="6" t="s">
        <v>308</v>
      </c>
      <c r="C232" s="6" t="n">
        <v>4026101</v>
      </c>
      <c r="D232" s="4" t="s">
        <v>304</v>
      </c>
      <c r="E232" s="7"/>
    </row>
    <row r="233" customFormat="false" ht="12.75" hidden="false" customHeight="false" outlineLevel="0" collapsed="false">
      <c r="A233" s="4" t="s">
        <v>8</v>
      </c>
      <c r="B233" s="6" t="s">
        <v>309</v>
      </c>
      <c r="C233" s="6" t="n">
        <v>4194701</v>
      </c>
      <c r="D233" s="4" t="s">
        <v>304</v>
      </c>
      <c r="E233" s="7"/>
    </row>
    <row r="234" customFormat="false" ht="12.75" hidden="false" customHeight="false" outlineLevel="0" collapsed="false">
      <c r="A234" s="4" t="s">
        <v>8</v>
      </c>
      <c r="B234" s="6" t="s">
        <v>310</v>
      </c>
      <c r="C234" s="6" t="n">
        <v>4335601</v>
      </c>
      <c r="D234" s="4" t="s">
        <v>304</v>
      </c>
      <c r="E234" s="7"/>
    </row>
    <row r="235" customFormat="false" ht="12.75" hidden="false" customHeight="false" outlineLevel="0" collapsed="false">
      <c r="A235" s="4" t="s">
        <v>8</v>
      </c>
      <c r="B235" s="6" t="s">
        <v>311</v>
      </c>
      <c r="C235" s="6" t="n">
        <v>4336401</v>
      </c>
      <c r="D235" s="4" t="s">
        <v>304</v>
      </c>
      <c r="E235" s="7"/>
    </row>
    <row r="236" customFormat="false" ht="12.75" hidden="false" customHeight="false" outlineLevel="0" collapsed="false">
      <c r="A236" s="4" t="s">
        <v>8</v>
      </c>
      <c r="B236" s="6" t="s">
        <v>312</v>
      </c>
      <c r="C236" s="6" t="n">
        <v>4338501</v>
      </c>
      <c r="D236" s="4" t="s">
        <v>304</v>
      </c>
      <c r="E236" s="7"/>
    </row>
    <row r="237" customFormat="false" ht="12.75" hidden="false" customHeight="false" outlineLevel="0" collapsed="false">
      <c r="A237" s="4" t="s">
        <v>8</v>
      </c>
      <c r="B237" s="6" t="s">
        <v>313</v>
      </c>
      <c r="C237" s="6" t="n">
        <v>4339701</v>
      </c>
      <c r="D237" s="4" t="s">
        <v>304</v>
      </c>
      <c r="E237" s="7"/>
    </row>
    <row r="238" customFormat="false" ht="12.75" hidden="false" customHeight="false" outlineLevel="0" collapsed="false">
      <c r="A238" s="4" t="s">
        <v>8</v>
      </c>
      <c r="B238" s="6" t="s">
        <v>314</v>
      </c>
      <c r="C238" s="6" t="n">
        <v>4004301</v>
      </c>
      <c r="D238" s="4" t="s">
        <v>315</v>
      </c>
      <c r="E238" s="7" t="n">
        <v>37256</v>
      </c>
      <c r="F238" s="7" t="n">
        <v>37256</v>
      </c>
    </row>
    <row r="239" customFormat="false" ht="12.75" hidden="false" customHeight="false" outlineLevel="0" collapsed="false">
      <c r="A239" s="4" t="s">
        <v>8</v>
      </c>
      <c r="B239" s="6" t="s">
        <v>316</v>
      </c>
      <c r="C239" s="6" t="n">
        <v>4004801</v>
      </c>
      <c r="D239" s="4" t="s">
        <v>315</v>
      </c>
      <c r="E239" s="7" t="n">
        <v>37256</v>
      </c>
      <c r="F239" s="7" t="n">
        <v>37256</v>
      </c>
    </row>
    <row r="240" customFormat="false" ht="12.75" hidden="false" customHeight="false" outlineLevel="0" collapsed="false">
      <c r="A240" s="4" t="s">
        <v>8</v>
      </c>
      <c r="B240" s="6" t="s">
        <v>317</v>
      </c>
      <c r="C240" s="6" t="n">
        <v>4017601</v>
      </c>
      <c r="D240" s="4" t="s">
        <v>315</v>
      </c>
      <c r="E240" s="7" t="n">
        <v>37256</v>
      </c>
      <c r="F240" s="7" t="n">
        <v>37256</v>
      </c>
    </row>
    <row r="241" customFormat="false" ht="12.75" hidden="false" customHeight="false" outlineLevel="0" collapsed="false">
      <c r="A241" s="4" t="s">
        <v>8</v>
      </c>
      <c r="B241" s="6" t="s">
        <v>318</v>
      </c>
      <c r="C241" s="6" t="n">
        <v>4023001</v>
      </c>
      <c r="D241" s="4" t="s">
        <v>315</v>
      </c>
      <c r="E241" s="7" t="n">
        <v>37256</v>
      </c>
      <c r="F241" s="7" t="n">
        <v>37256</v>
      </c>
    </row>
    <row r="242" customFormat="false" ht="12.75" hidden="false" customHeight="false" outlineLevel="0" collapsed="false">
      <c r="A242" s="4" t="s">
        <v>8</v>
      </c>
      <c r="B242" s="6" t="s">
        <v>319</v>
      </c>
      <c r="C242" s="6" t="n">
        <v>4036701</v>
      </c>
      <c r="D242" s="4" t="s">
        <v>315</v>
      </c>
      <c r="E242" s="7" t="n">
        <v>37256</v>
      </c>
      <c r="F242" s="7" t="n">
        <v>37256</v>
      </c>
    </row>
    <row r="243" customFormat="false" ht="12.75" hidden="false" customHeight="false" outlineLevel="0" collapsed="false">
      <c r="A243" s="4" t="s">
        <v>8</v>
      </c>
      <c r="B243" s="6" t="s">
        <v>320</v>
      </c>
      <c r="C243" s="6" t="n">
        <v>4037201</v>
      </c>
      <c r="D243" s="4" t="s">
        <v>315</v>
      </c>
      <c r="E243" s="7" t="n">
        <v>37256</v>
      </c>
      <c r="F243" s="7" t="n">
        <v>37256</v>
      </c>
    </row>
    <row r="244" customFormat="false" ht="12.75" hidden="false" customHeight="false" outlineLevel="0" collapsed="false">
      <c r="A244" s="4" t="s">
        <v>8</v>
      </c>
      <c r="B244" s="6" t="s">
        <v>321</v>
      </c>
      <c r="C244" s="6" t="n">
        <v>4051201</v>
      </c>
      <c r="D244" s="4" t="s">
        <v>315</v>
      </c>
      <c r="E244" s="7" t="n">
        <v>37256</v>
      </c>
      <c r="F244" s="7" t="n">
        <v>37256</v>
      </c>
    </row>
    <row r="245" customFormat="false" ht="12.75" hidden="false" customHeight="false" outlineLevel="0" collapsed="false">
      <c r="A245" s="4" t="s">
        <v>8</v>
      </c>
      <c r="B245" s="6" t="s">
        <v>322</v>
      </c>
      <c r="C245" s="6" t="n">
        <v>4065201</v>
      </c>
      <c r="D245" s="4" t="s">
        <v>315</v>
      </c>
      <c r="E245" s="7" t="n">
        <v>37256</v>
      </c>
      <c r="F245" s="7" t="n">
        <v>37256</v>
      </c>
    </row>
    <row r="246" customFormat="false" ht="12.75" hidden="false" customHeight="false" outlineLevel="0" collapsed="false">
      <c r="A246" s="4" t="s">
        <v>8</v>
      </c>
      <c r="B246" s="6" t="s">
        <v>323</v>
      </c>
      <c r="C246" s="6" t="n">
        <v>4075401</v>
      </c>
      <c r="D246" s="4" t="s">
        <v>315</v>
      </c>
      <c r="E246" s="7" t="n">
        <v>37256</v>
      </c>
      <c r="F246" s="7" t="n">
        <v>37256</v>
      </c>
    </row>
    <row r="247" customFormat="false" ht="12.75" hidden="false" customHeight="false" outlineLevel="0" collapsed="false">
      <c r="A247" s="4" t="s">
        <v>8</v>
      </c>
      <c r="B247" s="6" t="s">
        <v>324</v>
      </c>
      <c r="C247" s="6" t="n">
        <v>4098601</v>
      </c>
      <c r="D247" s="4" t="s">
        <v>315</v>
      </c>
      <c r="E247" s="7" t="n">
        <v>37256</v>
      </c>
      <c r="F247" s="7" t="n">
        <v>37256</v>
      </c>
    </row>
    <row r="248" customFormat="false" ht="12.75" hidden="false" customHeight="false" outlineLevel="0" collapsed="false">
      <c r="A248" s="4" t="s">
        <v>8</v>
      </c>
      <c r="B248" s="6" t="s">
        <v>325</v>
      </c>
      <c r="C248" s="6" t="n">
        <v>4099201</v>
      </c>
      <c r="D248" s="4" t="s">
        <v>315</v>
      </c>
      <c r="E248" s="7" t="n">
        <v>37256</v>
      </c>
      <c r="F248" s="7" t="n">
        <v>37256</v>
      </c>
    </row>
    <row r="249" customFormat="false" ht="12.75" hidden="false" customHeight="false" outlineLevel="0" collapsed="false">
      <c r="A249" s="4" t="s">
        <v>8</v>
      </c>
      <c r="B249" s="6" t="s">
        <v>326</v>
      </c>
      <c r="C249" s="6" t="n">
        <v>4110101</v>
      </c>
      <c r="D249" s="4" t="s">
        <v>315</v>
      </c>
      <c r="E249" s="7" t="n">
        <v>37256</v>
      </c>
      <c r="F249" s="7" t="n">
        <v>37256</v>
      </c>
    </row>
    <row r="250" customFormat="false" ht="12.75" hidden="false" customHeight="false" outlineLevel="0" collapsed="false">
      <c r="A250" s="4" t="s">
        <v>8</v>
      </c>
      <c r="B250" s="6" t="s">
        <v>327</v>
      </c>
      <c r="C250" s="6" t="n">
        <v>4110201</v>
      </c>
      <c r="D250" s="4" t="s">
        <v>315</v>
      </c>
      <c r="E250" s="7" t="n">
        <v>37256</v>
      </c>
      <c r="F250" s="7" t="n">
        <v>37256</v>
      </c>
    </row>
    <row r="251" customFormat="false" ht="12.75" hidden="false" customHeight="false" outlineLevel="0" collapsed="false">
      <c r="A251" s="4" t="s">
        <v>8</v>
      </c>
      <c r="B251" s="6" t="s">
        <v>328</v>
      </c>
      <c r="C251" s="6" t="n">
        <v>4110301</v>
      </c>
      <c r="D251" s="4" t="s">
        <v>315</v>
      </c>
      <c r="E251" s="7" t="n">
        <v>37256</v>
      </c>
      <c r="F251" s="7" t="n">
        <v>37256</v>
      </c>
    </row>
    <row r="252" customFormat="false" ht="12.75" hidden="false" customHeight="false" outlineLevel="0" collapsed="false">
      <c r="A252" s="4" t="s">
        <v>8</v>
      </c>
      <c r="B252" s="6" t="s">
        <v>329</v>
      </c>
      <c r="C252" s="6" t="n">
        <v>4110401</v>
      </c>
      <c r="D252" s="4" t="s">
        <v>315</v>
      </c>
      <c r="E252" s="7" t="n">
        <v>37256</v>
      </c>
      <c r="F252" s="7" t="n">
        <v>37256</v>
      </c>
    </row>
    <row r="253" customFormat="false" ht="12.75" hidden="false" customHeight="false" outlineLevel="0" collapsed="false">
      <c r="A253" s="4" t="s">
        <v>8</v>
      </c>
      <c r="B253" s="6" t="s">
        <v>330</v>
      </c>
      <c r="C253" s="6" t="n">
        <v>4110701</v>
      </c>
      <c r="D253" s="4" t="s">
        <v>315</v>
      </c>
      <c r="E253" s="7" t="n">
        <v>37256</v>
      </c>
      <c r="F253" s="7" t="n">
        <v>37256</v>
      </c>
    </row>
    <row r="254" customFormat="false" ht="12.75" hidden="false" customHeight="false" outlineLevel="0" collapsed="false">
      <c r="A254" s="4" t="s">
        <v>149</v>
      </c>
      <c r="B254" s="6" t="s">
        <v>331</v>
      </c>
      <c r="C254" s="6" t="n">
        <v>5156201</v>
      </c>
      <c r="D254" s="4" t="s">
        <v>315</v>
      </c>
      <c r="E254" s="7" t="n">
        <v>37256</v>
      </c>
      <c r="F254" s="7" t="n">
        <v>37256</v>
      </c>
    </row>
    <row r="255" customFormat="false" ht="12.75" hidden="false" customHeight="false" outlineLevel="0" collapsed="false">
      <c r="A255" s="4" t="s">
        <v>149</v>
      </c>
      <c r="B255" s="6" t="s">
        <v>332</v>
      </c>
      <c r="C255" s="6" t="n">
        <v>5171101</v>
      </c>
      <c r="D255" s="4" t="s">
        <v>315</v>
      </c>
      <c r="E255" s="7" t="n">
        <v>37256</v>
      </c>
      <c r="F255" s="7" t="n">
        <v>37256</v>
      </c>
    </row>
    <row r="256" customFormat="false" ht="12.75" hidden="false" customHeight="false" outlineLevel="0" collapsed="false">
      <c r="A256" s="4"/>
      <c r="B256" s="6"/>
      <c r="C256" s="6" t="n">
        <v>4102601</v>
      </c>
      <c r="D256" s="4" t="s">
        <v>315</v>
      </c>
      <c r="E256" s="7"/>
      <c r="F256" s="7" t="n">
        <v>37256</v>
      </c>
    </row>
    <row r="257" customFormat="false" ht="12.75" hidden="false" customHeight="false" outlineLevel="0" collapsed="false">
      <c r="A257" s="4" t="s">
        <v>5</v>
      </c>
      <c r="B257" s="5" t="s">
        <v>333</v>
      </c>
      <c r="C257" s="6" t="n">
        <v>3086501</v>
      </c>
      <c r="D257" s="4" t="s">
        <v>334</v>
      </c>
      <c r="E257" s="7" t="n">
        <v>37228</v>
      </c>
    </row>
    <row r="258" customFormat="false" ht="12.75" hidden="false" customHeight="false" outlineLevel="0" collapsed="false">
      <c r="A258" s="4" t="s">
        <v>5</v>
      </c>
      <c r="B258" s="6" t="s">
        <v>335</v>
      </c>
      <c r="C258" s="6" t="n">
        <v>3584101</v>
      </c>
      <c r="D258" s="16" t="s">
        <v>336</v>
      </c>
      <c r="E258" s="9" t="n">
        <v>37228</v>
      </c>
      <c r="F258" s="9" t="n">
        <v>37228</v>
      </c>
    </row>
    <row r="259" customFormat="false" ht="12.75" hidden="false" customHeight="false" outlineLevel="0" collapsed="false">
      <c r="A259" s="4" t="s">
        <v>5</v>
      </c>
      <c r="B259" s="6" t="s">
        <v>337</v>
      </c>
      <c r="C259" s="6" t="n">
        <v>3584201</v>
      </c>
      <c r="D259" s="16" t="s">
        <v>336</v>
      </c>
      <c r="E259" s="9" t="n">
        <v>37228</v>
      </c>
      <c r="F259" s="9" t="n">
        <v>37228</v>
      </c>
    </row>
    <row r="260" customFormat="false" ht="12.75" hidden="false" customHeight="false" outlineLevel="0" collapsed="false">
      <c r="A260" s="4" t="s">
        <v>5</v>
      </c>
      <c r="B260" s="5" t="s">
        <v>338</v>
      </c>
      <c r="C260" s="6" t="n">
        <v>4106301</v>
      </c>
      <c r="D260" s="16" t="s">
        <v>336</v>
      </c>
      <c r="E260" s="9" t="n">
        <v>37228</v>
      </c>
      <c r="F260" s="9" t="n">
        <v>37228</v>
      </c>
    </row>
    <row r="261" customFormat="false" ht="12.75" hidden="false" customHeight="false" outlineLevel="0" collapsed="false">
      <c r="A261" s="4" t="s">
        <v>5</v>
      </c>
      <c r="B261" s="5" t="s">
        <v>339</v>
      </c>
      <c r="C261" s="6" t="n">
        <v>4362001</v>
      </c>
      <c r="D261" s="8" t="s">
        <v>336</v>
      </c>
      <c r="E261" s="9" t="n">
        <v>37228</v>
      </c>
      <c r="F261" s="9" t="n">
        <v>37228</v>
      </c>
    </row>
    <row r="262" customFormat="false" ht="12.75" hidden="false" customHeight="false" outlineLevel="0" collapsed="false">
      <c r="A262" s="4" t="s">
        <v>26</v>
      </c>
      <c r="B262" s="5" t="s">
        <v>340</v>
      </c>
      <c r="C262" s="6" t="s">
        <v>26</v>
      </c>
      <c r="D262" s="4" t="s">
        <v>341</v>
      </c>
      <c r="E262" s="7"/>
    </row>
    <row r="263" customFormat="false" ht="12.75" hidden="false" customHeight="false" outlineLevel="0" collapsed="false">
      <c r="A263" s="4" t="s">
        <v>26</v>
      </c>
      <c r="B263" s="5" t="s">
        <v>342</v>
      </c>
      <c r="C263" s="6" t="s">
        <v>26</v>
      </c>
      <c r="D263" s="4" t="s">
        <v>341</v>
      </c>
      <c r="E263" s="7"/>
    </row>
    <row r="264" customFormat="false" ht="12.75" hidden="false" customHeight="false" outlineLevel="0" collapsed="false">
      <c r="A264" s="4" t="s">
        <v>26</v>
      </c>
      <c r="B264" s="5" t="s">
        <v>343</v>
      </c>
      <c r="C264" s="6" t="s">
        <v>26</v>
      </c>
      <c r="D264" s="4" t="s">
        <v>341</v>
      </c>
      <c r="E264" s="7"/>
    </row>
    <row r="265" customFormat="false" ht="12.75" hidden="false" customHeight="false" outlineLevel="0" collapsed="false">
      <c r="A265" s="4" t="s">
        <v>26</v>
      </c>
      <c r="B265" s="5" t="s">
        <v>344</v>
      </c>
      <c r="C265" s="6" t="s">
        <v>26</v>
      </c>
      <c r="D265" s="4" t="s">
        <v>341</v>
      </c>
      <c r="E265" s="7"/>
    </row>
    <row r="266" customFormat="false" ht="12.75" hidden="false" customHeight="false" outlineLevel="0" collapsed="false">
      <c r="A266" s="4" t="s">
        <v>26</v>
      </c>
      <c r="B266" s="5" t="s">
        <v>345</v>
      </c>
      <c r="C266" s="6" t="s">
        <v>26</v>
      </c>
      <c r="D266" s="4" t="s">
        <v>341</v>
      </c>
      <c r="E266" s="7"/>
    </row>
    <row r="267" customFormat="false" ht="12.75" hidden="false" customHeight="false" outlineLevel="0" collapsed="false">
      <c r="A267" s="4" t="s">
        <v>26</v>
      </c>
      <c r="B267" s="5" t="s">
        <v>346</v>
      </c>
      <c r="C267" s="6" t="s">
        <v>26</v>
      </c>
      <c r="D267" s="4" t="s">
        <v>341</v>
      </c>
      <c r="E267" s="7"/>
    </row>
    <row r="268" customFormat="false" ht="12.75" hidden="false" customHeight="false" outlineLevel="0" collapsed="false">
      <c r="A268" s="4" t="s">
        <v>26</v>
      </c>
      <c r="B268" s="5" t="s">
        <v>347</v>
      </c>
      <c r="C268" s="6" t="s">
        <v>26</v>
      </c>
      <c r="D268" s="4" t="s">
        <v>341</v>
      </c>
      <c r="E268" s="7"/>
    </row>
    <row r="269" customFormat="false" ht="12.75" hidden="false" customHeight="false" outlineLevel="0" collapsed="false">
      <c r="A269" s="4" t="s">
        <v>26</v>
      </c>
      <c r="B269" s="5" t="s">
        <v>348</v>
      </c>
      <c r="C269" s="6" t="s">
        <v>26</v>
      </c>
      <c r="D269" s="4" t="s">
        <v>341</v>
      </c>
      <c r="E269" s="7"/>
    </row>
    <row r="270" customFormat="false" ht="12.75" hidden="false" customHeight="false" outlineLevel="0" collapsed="false">
      <c r="A270" s="4" t="s">
        <v>26</v>
      </c>
      <c r="B270" s="5" t="s">
        <v>349</v>
      </c>
      <c r="C270" s="6" t="s">
        <v>26</v>
      </c>
      <c r="D270" s="4" t="s">
        <v>341</v>
      </c>
      <c r="E270" s="7"/>
    </row>
    <row r="271" customFormat="false" ht="12.75" hidden="false" customHeight="false" outlineLevel="0" collapsed="false">
      <c r="A271" s="4" t="s">
        <v>5</v>
      </c>
      <c r="B271" s="5" t="s">
        <v>350</v>
      </c>
      <c r="C271" s="6" t="n">
        <v>3001401</v>
      </c>
      <c r="D271" s="4" t="s">
        <v>351</v>
      </c>
      <c r="E271" s="7" t="n">
        <v>37228</v>
      </c>
      <c r="F271" s="7" t="n">
        <v>37228</v>
      </c>
    </row>
    <row r="272" customFormat="false" ht="12.75" hidden="false" customHeight="false" outlineLevel="0" collapsed="false">
      <c r="A272" s="4" t="s">
        <v>5</v>
      </c>
      <c r="B272" s="5" t="s">
        <v>352</v>
      </c>
      <c r="C272" s="6" t="n">
        <v>3001601</v>
      </c>
      <c r="D272" s="4" t="s">
        <v>351</v>
      </c>
      <c r="E272" s="7" t="n">
        <v>37228</v>
      </c>
      <c r="F272" s="7" t="n">
        <v>37228</v>
      </c>
    </row>
    <row r="273" customFormat="false" ht="12.75" hidden="false" customHeight="false" outlineLevel="0" collapsed="false">
      <c r="A273" s="4" t="s">
        <v>5</v>
      </c>
      <c r="B273" s="5" t="s">
        <v>353</v>
      </c>
      <c r="C273" s="6" t="n">
        <v>3038201</v>
      </c>
      <c r="D273" s="4" t="s">
        <v>351</v>
      </c>
      <c r="E273" s="7" t="n">
        <v>37228</v>
      </c>
      <c r="F273" s="7" t="n">
        <v>37228</v>
      </c>
    </row>
    <row r="274" customFormat="false" ht="12.75" hidden="false" customHeight="false" outlineLevel="0" collapsed="false">
      <c r="A274" s="4" t="s">
        <v>5</v>
      </c>
      <c r="B274" s="5" t="s">
        <v>354</v>
      </c>
      <c r="C274" s="6" t="n">
        <v>3043201</v>
      </c>
      <c r="D274" s="4" t="s">
        <v>351</v>
      </c>
      <c r="E274" s="7" t="n">
        <v>37228</v>
      </c>
      <c r="F274" s="7" t="n">
        <v>37228</v>
      </c>
    </row>
    <row r="275" customFormat="false" ht="12.75" hidden="false" customHeight="false" outlineLevel="0" collapsed="false">
      <c r="A275" s="4" t="s">
        <v>5</v>
      </c>
      <c r="B275" s="5" t="s">
        <v>355</v>
      </c>
      <c r="C275" s="6" t="n">
        <v>3043401</v>
      </c>
      <c r="D275" s="4" t="s">
        <v>351</v>
      </c>
      <c r="E275" s="7" t="n">
        <v>37228</v>
      </c>
      <c r="F275" s="7" t="n">
        <v>37228</v>
      </c>
    </row>
    <row r="276" customFormat="false" ht="12.75" hidden="false" customHeight="false" outlineLevel="0" collapsed="false">
      <c r="A276" s="4" t="s">
        <v>5</v>
      </c>
      <c r="B276" s="5" t="s">
        <v>356</v>
      </c>
      <c r="C276" s="6" t="n">
        <v>3127401</v>
      </c>
      <c r="D276" s="4" t="s">
        <v>357</v>
      </c>
      <c r="E276" s="7" t="n">
        <v>37257</v>
      </c>
      <c r="F276" s="7" t="n">
        <v>37257</v>
      </c>
    </row>
    <row r="277" customFormat="false" ht="12.75" hidden="false" customHeight="false" outlineLevel="0" collapsed="false">
      <c r="A277" s="4" t="s">
        <v>5</v>
      </c>
      <c r="B277" s="5" t="s">
        <v>358</v>
      </c>
      <c r="C277" s="6" t="n">
        <v>3130401</v>
      </c>
      <c r="D277" s="4" t="s">
        <v>357</v>
      </c>
      <c r="E277" s="7" t="n">
        <v>37257</v>
      </c>
      <c r="F277" s="7" t="n">
        <v>37257</v>
      </c>
    </row>
    <row r="278" customFormat="false" ht="12.75" hidden="false" customHeight="false" outlineLevel="0" collapsed="false">
      <c r="A278" s="4" t="s">
        <v>5</v>
      </c>
      <c r="B278" s="5" t="s">
        <v>359</v>
      </c>
      <c r="C278" s="6" t="n">
        <v>3131001</v>
      </c>
      <c r="D278" s="4" t="s">
        <v>357</v>
      </c>
      <c r="E278" s="7" t="n">
        <v>37257</v>
      </c>
      <c r="F278" s="7" t="n">
        <v>37257</v>
      </c>
    </row>
    <row r="279" customFormat="false" ht="12.75" hidden="false" customHeight="false" outlineLevel="0" collapsed="false">
      <c r="A279" s="4" t="s">
        <v>5</v>
      </c>
      <c r="B279" s="5" t="s">
        <v>360</v>
      </c>
      <c r="C279" s="6" t="n">
        <v>3131101</v>
      </c>
      <c r="D279" s="4" t="s">
        <v>357</v>
      </c>
      <c r="E279" s="7" t="n">
        <v>37257</v>
      </c>
      <c r="F279" s="7" t="n">
        <v>37257</v>
      </c>
    </row>
    <row r="280" customFormat="false" ht="12.75" hidden="false" customHeight="false" outlineLevel="0" collapsed="false">
      <c r="A280" s="4" t="s">
        <v>5</v>
      </c>
      <c r="B280" s="5" t="s">
        <v>361</v>
      </c>
      <c r="C280" s="6" t="n">
        <v>3327701</v>
      </c>
      <c r="D280" s="4" t="s">
        <v>357</v>
      </c>
      <c r="E280" s="7" t="n">
        <v>37257</v>
      </c>
      <c r="F280" s="7" t="n">
        <v>37257</v>
      </c>
    </row>
    <row r="281" customFormat="false" ht="12.75" hidden="false" customHeight="false" outlineLevel="0" collapsed="false">
      <c r="A281" s="4" t="s">
        <v>5</v>
      </c>
      <c r="B281" s="5" t="s">
        <v>362</v>
      </c>
      <c r="C281" s="6" t="n">
        <v>3330401</v>
      </c>
      <c r="D281" s="4" t="s">
        <v>357</v>
      </c>
      <c r="E281" s="7" t="n">
        <v>37257</v>
      </c>
      <c r="F281" s="7" t="n">
        <v>37257</v>
      </c>
    </row>
    <row r="282" customFormat="false" ht="12.75" hidden="false" customHeight="false" outlineLevel="0" collapsed="false">
      <c r="A282" s="4" t="s">
        <v>26</v>
      </c>
      <c r="B282" s="5" t="s">
        <v>363</v>
      </c>
      <c r="C282" s="6" t="s">
        <v>26</v>
      </c>
      <c r="D282" s="4" t="s">
        <v>357</v>
      </c>
      <c r="E282" s="7" t="n">
        <v>37257</v>
      </c>
    </row>
    <row r="283" customFormat="false" ht="12.75" hidden="false" customHeight="false" outlineLevel="0" collapsed="false">
      <c r="A283" s="4" t="s">
        <v>5</v>
      </c>
      <c r="B283" s="5" t="s">
        <v>364</v>
      </c>
      <c r="C283" s="6" t="n">
        <v>3225601</v>
      </c>
      <c r="D283" s="4" t="s">
        <v>365</v>
      </c>
      <c r="E283" s="7" t="n">
        <v>37228</v>
      </c>
      <c r="F283" s="1" t="n">
        <v>37228</v>
      </c>
    </row>
    <row r="284" customFormat="false" ht="12.75" hidden="false" customHeight="false" outlineLevel="0" collapsed="false">
      <c r="A284" s="4" t="s">
        <v>5</v>
      </c>
      <c r="B284" s="5" t="s">
        <v>366</v>
      </c>
      <c r="C284" s="6" t="n">
        <v>3231101</v>
      </c>
      <c r="D284" s="4" t="s">
        <v>365</v>
      </c>
      <c r="E284" s="7" t="n">
        <v>37228</v>
      </c>
      <c r="F284" s="1" t="n">
        <v>37228</v>
      </c>
    </row>
    <row r="285" customFormat="false" ht="12.75" hidden="false" customHeight="false" outlineLevel="0" collapsed="false">
      <c r="A285" s="4" t="s">
        <v>5</v>
      </c>
      <c r="B285" s="5" t="s">
        <v>367</v>
      </c>
      <c r="C285" s="6" t="n">
        <v>3250501</v>
      </c>
      <c r="D285" s="4" t="s">
        <v>365</v>
      </c>
      <c r="E285" s="7" t="n">
        <v>37228</v>
      </c>
      <c r="F285" s="1" t="n">
        <v>37228</v>
      </c>
    </row>
    <row r="286" customFormat="false" ht="12.75" hidden="false" customHeight="false" outlineLevel="0" collapsed="false">
      <c r="A286" s="4" t="s">
        <v>5</v>
      </c>
      <c r="B286" s="5" t="s">
        <v>368</v>
      </c>
      <c r="C286" s="6" t="n">
        <v>3325801</v>
      </c>
      <c r="D286" s="4" t="s">
        <v>369</v>
      </c>
      <c r="E286" s="7" t="n">
        <v>37257</v>
      </c>
    </row>
    <row r="287" customFormat="false" ht="12.75" hidden="false" customHeight="false" outlineLevel="0" collapsed="false">
      <c r="A287" s="4" t="s">
        <v>5</v>
      </c>
      <c r="B287" s="5" t="s">
        <v>370</v>
      </c>
      <c r="C287" s="6" t="n">
        <v>3130301</v>
      </c>
      <c r="D287" s="4" t="s">
        <v>371</v>
      </c>
      <c r="E287" s="7" t="n">
        <v>37257</v>
      </c>
    </row>
    <row r="288" customFormat="false" ht="12.75" hidden="false" customHeight="false" outlineLevel="0" collapsed="false">
      <c r="A288" s="4" t="s">
        <v>273</v>
      </c>
      <c r="B288" s="6" t="s">
        <v>372</v>
      </c>
      <c r="C288" s="6" t="n">
        <v>3133001</v>
      </c>
      <c r="D288" s="4" t="s">
        <v>371</v>
      </c>
      <c r="E288" s="7" t="n">
        <v>37257</v>
      </c>
    </row>
    <row r="289" customFormat="false" ht="12.75" hidden="false" customHeight="false" outlineLevel="0" collapsed="false">
      <c r="A289" s="4" t="s">
        <v>273</v>
      </c>
      <c r="B289" s="6" t="s">
        <v>373</v>
      </c>
      <c r="C289" s="6" t="n">
        <v>3241501</v>
      </c>
      <c r="D289" s="4" t="s">
        <v>371</v>
      </c>
      <c r="E289" s="7" t="n">
        <v>37257</v>
      </c>
    </row>
    <row r="290" customFormat="false" ht="12.75" hidden="false" customHeight="false" outlineLevel="0" collapsed="false">
      <c r="A290" s="4" t="s">
        <v>104</v>
      </c>
      <c r="B290" s="5" t="s">
        <v>374</v>
      </c>
      <c r="C290" s="6" t="n">
        <v>3394401</v>
      </c>
      <c r="D290" s="4" t="s">
        <v>371</v>
      </c>
      <c r="E290" s="7" t="n">
        <v>37257</v>
      </c>
    </row>
    <row r="291" customFormat="false" ht="12.75" hidden="false" customHeight="false" outlineLevel="0" collapsed="false">
      <c r="A291" s="4" t="s">
        <v>273</v>
      </c>
      <c r="B291" s="6" t="s">
        <v>375</v>
      </c>
      <c r="C291" s="6" t="n">
        <v>3410301</v>
      </c>
      <c r="D291" s="4" t="s">
        <v>371</v>
      </c>
      <c r="E291" s="7" t="n">
        <v>37257</v>
      </c>
    </row>
    <row r="292" customFormat="false" ht="12.75" hidden="false" customHeight="false" outlineLevel="0" collapsed="false">
      <c r="A292" s="4" t="s">
        <v>273</v>
      </c>
      <c r="B292" s="6" t="s">
        <v>376</v>
      </c>
      <c r="C292" s="6" t="n">
        <v>3415201</v>
      </c>
      <c r="D292" s="4" t="s">
        <v>371</v>
      </c>
      <c r="E292" s="7" t="n">
        <v>37257</v>
      </c>
    </row>
    <row r="293" customFormat="false" ht="12.75" hidden="false" customHeight="false" outlineLevel="0" collapsed="false">
      <c r="A293" s="4" t="s">
        <v>273</v>
      </c>
      <c r="B293" s="6" t="s">
        <v>377</v>
      </c>
      <c r="C293" s="6" t="n">
        <v>3425601</v>
      </c>
      <c r="D293" s="4" t="s">
        <v>371</v>
      </c>
      <c r="E293" s="7" t="n">
        <v>37257</v>
      </c>
    </row>
    <row r="294" customFormat="false" ht="12.75" hidden="false" customHeight="false" outlineLevel="0" collapsed="false">
      <c r="A294" s="4" t="s">
        <v>273</v>
      </c>
      <c r="B294" s="6" t="s">
        <v>378</v>
      </c>
      <c r="C294" s="6" t="n">
        <v>3533901</v>
      </c>
      <c r="D294" s="4" t="s">
        <v>371</v>
      </c>
      <c r="E294" s="7" t="n">
        <v>37257</v>
      </c>
    </row>
    <row r="295" customFormat="false" ht="12.75" hidden="false" customHeight="false" outlineLevel="0" collapsed="false">
      <c r="A295" s="4" t="s">
        <v>273</v>
      </c>
      <c r="B295" s="6" t="s">
        <v>379</v>
      </c>
      <c r="C295" s="6" t="n">
        <v>3587701</v>
      </c>
      <c r="D295" s="4" t="s">
        <v>371</v>
      </c>
      <c r="E295" s="7" t="n">
        <v>37257</v>
      </c>
    </row>
    <row r="296" customFormat="false" ht="12.75" hidden="false" customHeight="false" outlineLevel="0" collapsed="false">
      <c r="A296" s="4" t="s">
        <v>94</v>
      </c>
      <c r="B296" s="5" t="s">
        <v>380</v>
      </c>
      <c r="C296" s="6" t="n">
        <v>4156001</v>
      </c>
      <c r="D296" s="4" t="s">
        <v>371</v>
      </c>
      <c r="E296" s="7" t="n">
        <v>37257</v>
      </c>
    </row>
    <row r="297" customFormat="false" ht="12.75" hidden="false" customHeight="false" outlineLevel="0" collapsed="false">
      <c r="A297" s="4" t="s">
        <v>5</v>
      </c>
      <c r="B297" s="5" t="s">
        <v>381</v>
      </c>
      <c r="C297" s="6" t="n">
        <v>4243601</v>
      </c>
      <c r="D297" s="4" t="s">
        <v>371</v>
      </c>
      <c r="E297" s="7" t="n">
        <v>37257</v>
      </c>
    </row>
    <row r="298" customFormat="false" ht="12.75" hidden="false" customHeight="false" outlineLevel="0" collapsed="false">
      <c r="A298" s="14" t="s">
        <v>5</v>
      </c>
      <c r="B298" s="15" t="s">
        <v>382</v>
      </c>
      <c r="C298" s="10" t="n">
        <v>3422001</v>
      </c>
      <c r="D298" s="4" t="s">
        <v>383</v>
      </c>
      <c r="E298" s="7" t="n">
        <v>37228</v>
      </c>
    </row>
    <row r="299" customFormat="false" ht="12.75" hidden="false" customHeight="false" outlineLevel="0" collapsed="false">
      <c r="A299" s="4" t="s">
        <v>94</v>
      </c>
      <c r="B299" s="5" t="s">
        <v>384</v>
      </c>
      <c r="C299" s="6" t="n">
        <v>4315601</v>
      </c>
      <c r="D299" s="8" t="s">
        <v>385</v>
      </c>
      <c r="E299" s="17"/>
      <c r="F299" s="1" t="n">
        <v>37225</v>
      </c>
    </row>
    <row r="300" customFormat="false" ht="12.75" hidden="false" customHeight="false" outlineLevel="0" collapsed="false">
      <c r="A300" s="4" t="s">
        <v>26</v>
      </c>
      <c r="B300" s="5" t="s">
        <v>386</v>
      </c>
      <c r="C300" s="6" t="s">
        <v>26</v>
      </c>
      <c r="D300" s="8" t="s">
        <v>385</v>
      </c>
      <c r="E300" s="9"/>
      <c r="F300" s="1" t="n">
        <v>37225</v>
      </c>
    </row>
    <row r="301" customFormat="false" ht="12.75" hidden="false" customHeight="false" outlineLevel="0" collapsed="false">
      <c r="A301" s="4" t="s">
        <v>26</v>
      </c>
      <c r="B301" s="5" t="s">
        <v>387</v>
      </c>
      <c r="C301" s="6" t="s">
        <v>26</v>
      </c>
      <c r="D301" s="8" t="s">
        <v>385</v>
      </c>
      <c r="E301" s="9"/>
      <c r="F301" s="1" t="n">
        <v>37225</v>
      </c>
    </row>
    <row r="302" customFormat="false" ht="12.75" hidden="false" customHeight="false" outlineLevel="0" collapsed="false">
      <c r="A302" s="4" t="s">
        <v>26</v>
      </c>
      <c r="B302" s="5" t="s">
        <v>388</v>
      </c>
      <c r="C302" s="6" t="s">
        <v>26</v>
      </c>
      <c r="D302" s="8" t="s">
        <v>385</v>
      </c>
      <c r="E302" s="9"/>
      <c r="F302" s="1" t="n">
        <v>37225</v>
      </c>
    </row>
    <row r="303" customFormat="false" ht="12.75" hidden="false" customHeight="false" outlineLevel="0" collapsed="false">
      <c r="A303" s="4" t="s">
        <v>26</v>
      </c>
      <c r="B303" s="5" t="s">
        <v>389</v>
      </c>
      <c r="C303" s="6" t="s">
        <v>26</v>
      </c>
      <c r="D303" s="8" t="s">
        <v>385</v>
      </c>
      <c r="E303" s="9"/>
      <c r="F303" s="1" t="n">
        <v>37225</v>
      </c>
    </row>
    <row r="304" customFormat="false" ht="12.75" hidden="false" customHeight="false" outlineLevel="0" collapsed="false">
      <c r="A304" s="4" t="s">
        <v>26</v>
      </c>
      <c r="B304" s="5" t="s">
        <v>390</v>
      </c>
      <c r="C304" s="6" t="s">
        <v>26</v>
      </c>
      <c r="D304" s="8" t="s">
        <v>385</v>
      </c>
      <c r="E304" s="9"/>
      <c r="F304" s="1" t="n">
        <v>37225</v>
      </c>
    </row>
    <row r="305" customFormat="false" ht="12.75" hidden="false" customHeight="false" outlineLevel="0" collapsed="false">
      <c r="A305" s="4" t="s">
        <v>26</v>
      </c>
      <c r="B305" s="5" t="s">
        <v>391</v>
      </c>
      <c r="C305" s="6" t="s">
        <v>26</v>
      </c>
      <c r="D305" s="8" t="s">
        <v>385</v>
      </c>
      <c r="E305" s="9"/>
      <c r="F305" s="1" t="n">
        <v>37225</v>
      </c>
    </row>
    <row r="306" customFormat="false" ht="12.75" hidden="false" customHeight="false" outlineLevel="0" collapsed="false">
      <c r="A306" s="4" t="s">
        <v>26</v>
      </c>
      <c r="B306" s="5" t="s">
        <v>392</v>
      </c>
      <c r="C306" s="6" t="s">
        <v>26</v>
      </c>
      <c r="D306" s="8" t="s">
        <v>385</v>
      </c>
      <c r="E306" s="9"/>
      <c r="F306" s="1" t="n">
        <v>37225</v>
      </c>
    </row>
    <row r="307" customFormat="false" ht="12.75" hidden="false" customHeight="false" outlineLevel="0" collapsed="false">
      <c r="A307" s="4" t="s">
        <v>26</v>
      </c>
      <c r="B307" s="5" t="s">
        <v>393</v>
      </c>
      <c r="C307" s="6" t="s">
        <v>26</v>
      </c>
      <c r="D307" s="8" t="s">
        <v>385</v>
      </c>
      <c r="E307" s="9"/>
      <c r="F307" s="1" t="n">
        <v>37225</v>
      </c>
    </row>
    <row r="308" customFormat="false" ht="12.75" hidden="false" customHeight="false" outlineLevel="0" collapsed="false">
      <c r="A308" s="4" t="s">
        <v>26</v>
      </c>
      <c r="B308" s="5" t="s">
        <v>394</v>
      </c>
      <c r="C308" s="6" t="s">
        <v>26</v>
      </c>
      <c r="D308" s="8" t="s">
        <v>385</v>
      </c>
      <c r="E308" s="9"/>
      <c r="F308" s="1" t="n">
        <v>37225</v>
      </c>
    </row>
    <row r="309" customFormat="false" ht="12.75" hidden="false" customHeight="false" outlineLevel="0" collapsed="false">
      <c r="A309" s="4"/>
      <c r="B309" s="5" t="n">
        <v>3585701</v>
      </c>
      <c r="C309" s="6"/>
      <c r="D309" s="8" t="s">
        <v>385</v>
      </c>
      <c r="E309" s="9"/>
      <c r="F309" s="1" t="n">
        <v>37225</v>
      </c>
    </row>
    <row r="310" customFormat="false" ht="12.75" hidden="false" customHeight="false" outlineLevel="0" collapsed="false">
      <c r="A310" s="4"/>
      <c r="B310" s="5" t="n">
        <v>4371501</v>
      </c>
      <c r="C310" s="6"/>
      <c r="D310" s="8" t="s">
        <v>385</v>
      </c>
      <c r="E310" s="9"/>
      <c r="F310" s="1" t="n">
        <v>37225</v>
      </c>
    </row>
    <row r="311" customFormat="false" ht="12.75" hidden="false" customHeight="false" outlineLevel="0" collapsed="false">
      <c r="A311" s="4"/>
      <c r="B311" s="5" t="n">
        <v>4371601</v>
      </c>
      <c r="C311" s="6"/>
      <c r="D311" s="8" t="s">
        <v>385</v>
      </c>
      <c r="E311" s="9"/>
      <c r="F311" s="1" t="n">
        <v>37225</v>
      </c>
    </row>
    <row r="312" customFormat="false" ht="12.75" hidden="false" customHeight="false" outlineLevel="0" collapsed="false">
      <c r="A312" s="4" t="s">
        <v>213</v>
      </c>
      <c r="B312" s="5" t="s">
        <v>395</v>
      </c>
      <c r="C312" s="6" t="n">
        <v>2095501</v>
      </c>
      <c r="D312" s="4" t="s">
        <v>396</v>
      </c>
      <c r="E312" s="7"/>
      <c r="F312" s="1" t="n">
        <v>37228</v>
      </c>
    </row>
    <row r="313" customFormat="false" ht="12.75" hidden="false" customHeight="false" outlineLevel="0" collapsed="false">
      <c r="A313" s="4" t="s">
        <v>5</v>
      </c>
      <c r="B313" s="5" t="s">
        <v>397</v>
      </c>
      <c r="C313" s="6" t="n">
        <v>3127501</v>
      </c>
      <c r="D313" s="4" t="s">
        <v>398</v>
      </c>
      <c r="E313" s="7"/>
    </row>
    <row r="314" customFormat="false" ht="12.75" hidden="false" customHeight="false" outlineLevel="0" collapsed="false">
      <c r="A314" s="4" t="s">
        <v>5</v>
      </c>
      <c r="B314" s="5" t="s">
        <v>399</v>
      </c>
      <c r="C314" s="6" t="n">
        <v>3402401</v>
      </c>
      <c r="D314" s="18" t="s">
        <v>400</v>
      </c>
      <c r="E314" s="19" t="n">
        <v>37347</v>
      </c>
    </row>
    <row r="315" customFormat="false" ht="12.75" hidden="false" customHeight="false" outlineLevel="0" collapsed="false">
      <c r="A315" s="4" t="s">
        <v>8</v>
      </c>
      <c r="B315" s="6" t="s">
        <v>401</v>
      </c>
      <c r="C315" s="6" t="n">
        <v>3245701</v>
      </c>
      <c r="D315" s="4" t="s">
        <v>402</v>
      </c>
      <c r="E315" s="7" t="n">
        <v>37228</v>
      </c>
    </row>
    <row r="316" customFormat="false" ht="12.75" hidden="false" customHeight="false" outlineLevel="0" collapsed="false">
      <c r="A316" s="4" t="s">
        <v>5</v>
      </c>
      <c r="B316" s="5" t="s">
        <v>403</v>
      </c>
      <c r="C316" s="6" t="n">
        <v>4366901</v>
      </c>
      <c r="D316" s="8" t="s">
        <v>404</v>
      </c>
      <c r="E316" s="9" t="n">
        <v>37228</v>
      </c>
    </row>
    <row r="317" customFormat="false" ht="12.75" hidden="false" customHeight="false" outlineLevel="0" collapsed="false">
      <c r="A317" s="4" t="s">
        <v>5</v>
      </c>
      <c r="B317" s="5" t="s">
        <v>405</v>
      </c>
      <c r="C317" s="6" t="n">
        <v>3007601</v>
      </c>
      <c r="D317" s="4" t="s">
        <v>406</v>
      </c>
      <c r="E317" s="7" t="n">
        <v>37257</v>
      </c>
      <c r="F317" s="7" t="n">
        <v>37257</v>
      </c>
    </row>
    <row r="318" customFormat="false" ht="12.75" hidden="false" customHeight="false" outlineLevel="0" collapsed="false">
      <c r="A318" s="4" t="s">
        <v>5</v>
      </c>
      <c r="B318" s="5" t="s">
        <v>407</v>
      </c>
      <c r="C318" s="6" t="n">
        <v>3234701</v>
      </c>
      <c r="D318" s="4" t="s">
        <v>406</v>
      </c>
      <c r="E318" s="7" t="n">
        <v>37257</v>
      </c>
      <c r="F318" s="7" t="n">
        <v>37257</v>
      </c>
    </row>
    <row r="319" customFormat="false" ht="12.75" hidden="false" customHeight="false" outlineLevel="0" collapsed="false">
      <c r="A319" s="4" t="s">
        <v>5</v>
      </c>
      <c r="B319" s="5" t="s">
        <v>408</v>
      </c>
      <c r="C319" s="6" t="n">
        <v>3427701</v>
      </c>
      <c r="D319" s="4" t="s">
        <v>406</v>
      </c>
      <c r="E319" s="7" t="n">
        <v>37257</v>
      </c>
      <c r="F319" s="7" t="n">
        <v>37257</v>
      </c>
    </row>
    <row r="320" customFormat="false" ht="12.75" hidden="false" customHeight="false" outlineLevel="0" collapsed="false">
      <c r="A320" s="4" t="s">
        <v>104</v>
      </c>
      <c r="B320" s="5" t="s">
        <v>409</v>
      </c>
      <c r="C320" s="6" t="n">
        <v>3514402</v>
      </c>
      <c r="D320" s="4" t="s">
        <v>406</v>
      </c>
      <c r="E320" s="7" t="n">
        <v>37257</v>
      </c>
      <c r="F320" s="7" t="n">
        <v>37257</v>
      </c>
    </row>
    <row r="321" customFormat="false" ht="12.75" hidden="false" customHeight="false" outlineLevel="0" collapsed="false">
      <c r="A321" s="4" t="s">
        <v>5</v>
      </c>
      <c r="B321" s="5" t="s">
        <v>410</v>
      </c>
      <c r="C321" s="6" t="n">
        <v>4044101</v>
      </c>
      <c r="D321" s="4" t="s">
        <v>406</v>
      </c>
      <c r="E321" s="7" t="n">
        <v>37257</v>
      </c>
      <c r="F321" s="7" t="n">
        <v>37257</v>
      </c>
    </row>
    <row r="322" customFormat="false" ht="12.75" hidden="false" customHeight="false" outlineLevel="0" collapsed="false">
      <c r="A322" s="4" t="s">
        <v>26</v>
      </c>
      <c r="B322" s="5" t="s">
        <v>411</v>
      </c>
      <c r="C322" s="6" t="s">
        <v>26</v>
      </c>
      <c r="D322" s="4" t="s">
        <v>406</v>
      </c>
      <c r="E322" s="7" t="n">
        <v>37257</v>
      </c>
      <c r="F322" s="7" t="n">
        <v>37257</v>
      </c>
    </row>
    <row r="323" customFormat="false" ht="12.75" hidden="false" customHeight="false" outlineLevel="0" collapsed="false">
      <c r="A323" s="4"/>
      <c r="B323" s="5"/>
      <c r="C323" s="6" t="n">
        <v>4050001</v>
      </c>
      <c r="D323" s="4" t="s">
        <v>406</v>
      </c>
      <c r="E323" s="7"/>
      <c r="F323" s="7" t="n">
        <v>37257</v>
      </c>
    </row>
    <row r="324" customFormat="false" ht="12.75" hidden="false" customHeight="false" outlineLevel="0" collapsed="false">
      <c r="A324" s="4"/>
      <c r="B324" s="5"/>
      <c r="C324" s="6" t="n">
        <v>4058001</v>
      </c>
      <c r="D324" s="4" t="s">
        <v>406</v>
      </c>
      <c r="E324" s="7"/>
      <c r="F324" s="7" t="n">
        <v>37257</v>
      </c>
    </row>
    <row r="325" customFormat="false" ht="12.75" hidden="false" customHeight="false" outlineLevel="0" collapsed="false">
      <c r="A325" s="4"/>
      <c r="B325" s="5"/>
      <c r="C325" s="6" t="n">
        <v>4143601</v>
      </c>
      <c r="D325" s="4" t="s">
        <v>406</v>
      </c>
      <c r="E325" s="7"/>
      <c r="F325" s="7" t="n">
        <v>37257</v>
      </c>
    </row>
    <row r="326" customFormat="false" ht="12.75" hidden="false" customHeight="false" outlineLevel="0" collapsed="false">
      <c r="A326" s="4" t="s">
        <v>5</v>
      </c>
      <c r="B326" s="5" t="s">
        <v>412</v>
      </c>
      <c r="C326" s="6" t="n">
        <v>4324601</v>
      </c>
      <c r="D326" s="4" t="s">
        <v>413</v>
      </c>
      <c r="E326" s="7" t="n">
        <v>37228</v>
      </c>
    </row>
    <row r="327" customFormat="false" ht="12.75" hidden="false" customHeight="false" outlineLevel="0" collapsed="false">
      <c r="A327" s="4" t="s">
        <v>26</v>
      </c>
      <c r="B327" s="5" t="s">
        <v>414</v>
      </c>
      <c r="C327" s="6" t="s">
        <v>26</v>
      </c>
      <c r="D327" s="8" t="s">
        <v>415</v>
      </c>
      <c r="E327" s="9"/>
    </row>
    <row r="328" customFormat="false" ht="12.75" hidden="false" customHeight="false" outlineLevel="0" collapsed="false">
      <c r="A328" s="4" t="s">
        <v>26</v>
      </c>
      <c r="B328" s="5" t="s">
        <v>416</v>
      </c>
      <c r="C328" s="6" t="s">
        <v>26</v>
      </c>
      <c r="D328" s="8" t="s">
        <v>417</v>
      </c>
      <c r="E328" s="9"/>
    </row>
    <row r="329" customFormat="false" ht="12.75" hidden="false" customHeight="false" outlineLevel="0" collapsed="false">
      <c r="A329" s="4" t="s">
        <v>26</v>
      </c>
      <c r="B329" s="5" t="s">
        <v>418</v>
      </c>
      <c r="C329" s="6" t="s">
        <v>26</v>
      </c>
      <c r="D329" s="8" t="s">
        <v>419</v>
      </c>
      <c r="E329" s="9"/>
    </row>
    <row r="330" customFormat="false" ht="12.75" hidden="false" customHeight="false" outlineLevel="0" collapsed="false">
      <c r="A330" s="4" t="s">
        <v>26</v>
      </c>
      <c r="B330" s="5" t="s">
        <v>420</v>
      </c>
      <c r="C330" s="6" t="s">
        <v>26</v>
      </c>
      <c r="D330" s="8" t="s">
        <v>419</v>
      </c>
      <c r="E330" s="9"/>
    </row>
    <row r="331" customFormat="false" ht="12.75" hidden="false" customHeight="false" outlineLevel="0" collapsed="false">
      <c r="A331" s="4" t="s">
        <v>8</v>
      </c>
      <c r="B331" s="6" t="s">
        <v>421</v>
      </c>
      <c r="C331" s="6" t="n">
        <v>3564701</v>
      </c>
      <c r="D331" s="4" t="s">
        <v>422</v>
      </c>
      <c r="E331" s="7"/>
    </row>
    <row r="332" customFormat="false" ht="12.75" hidden="false" customHeight="false" outlineLevel="0" collapsed="false">
      <c r="A332" s="4" t="s">
        <v>8</v>
      </c>
      <c r="B332" s="6" t="s">
        <v>423</v>
      </c>
      <c r="C332" s="6" t="n">
        <v>3564801</v>
      </c>
      <c r="D332" s="4" t="s">
        <v>422</v>
      </c>
      <c r="E332" s="7"/>
    </row>
    <row r="333" customFormat="false" ht="12.75" hidden="false" customHeight="false" outlineLevel="0" collapsed="false">
      <c r="A333" s="4" t="s">
        <v>94</v>
      </c>
      <c r="B333" s="6" t="s">
        <v>424</v>
      </c>
      <c r="C333" s="6" t="n">
        <v>3557501</v>
      </c>
      <c r="D333" s="4" t="s">
        <v>425</v>
      </c>
      <c r="E333" s="7"/>
      <c r="F333" s="1" t="n">
        <v>37227</v>
      </c>
    </row>
    <row r="334" customFormat="false" ht="12.75" hidden="false" customHeight="false" outlineLevel="0" collapsed="false">
      <c r="A334" s="4" t="s">
        <v>94</v>
      </c>
      <c r="B334" s="6" t="s">
        <v>426</v>
      </c>
      <c r="C334" s="6" t="n">
        <v>4348401</v>
      </c>
      <c r="D334" s="4" t="s">
        <v>425</v>
      </c>
      <c r="E334" s="7"/>
      <c r="F334" s="1" t="n">
        <v>37227</v>
      </c>
    </row>
    <row r="335" customFormat="false" ht="12.75" hidden="false" customHeight="false" outlineLevel="0" collapsed="false">
      <c r="A335" s="4"/>
      <c r="B335" s="6"/>
      <c r="C335" s="6" t="n">
        <v>3402401</v>
      </c>
      <c r="D335" s="4" t="s">
        <v>425</v>
      </c>
      <c r="E335" s="7"/>
      <c r="F335" s="1" t="n">
        <v>37227</v>
      </c>
    </row>
    <row r="336" customFormat="false" ht="12.75" hidden="false" customHeight="false" outlineLevel="0" collapsed="false">
      <c r="A336" s="4"/>
      <c r="B336" s="6"/>
      <c r="C336" s="6" t="n">
        <v>3557401</v>
      </c>
      <c r="D336" s="4" t="s">
        <v>425</v>
      </c>
      <c r="E336" s="7"/>
      <c r="F336" s="1" t="n">
        <v>37227</v>
      </c>
    </row>
    <row r="337" customFormat="false" ht="12.75" hidden="false" customHeight="false" outlineLevel="0" collapsed="false">
      <c r="A337" s="4"/>
      <c r="B337" s="6"/>
      <c r="C337" s="6" t="n">
        <v>3249501</v>
      </c>
      <c r="D337" s="4" t="s">
        <v>425</v>
      </c>
      <c r="E337" s="7"/>
      <c r="F337" s="1" t="n">
        <v>37227</v>
      </c>
    </row>
    <row r="338" customFormat="false" ht="12.75" hidden="false" customHeight="false" outlineLevel="0" collapsed="false">
      <c r="A338" s="4"/>
      <c r="B338" s="6"/>
      <c r="C338" s="6" t="n">
        <v>3242601</v>
      </c>
      <c r="D338" s="4" t="s">
        <v>425</v>
      </c>
      <c r="E338" s="7"/>
      <c r="F338" s="1" t="n">
        <v>37227</v>
      </c>
    </row>
    <row r="339" customFormat="false" ht="12.75" hidden="false" customHeight="false" outlineLevel="0" collapsed="false">
      <c r="A339" s="4"/>
      <c r="B339" s="6"/>
      <c r="C339" s="6" t="n">
        <v>3249801</v>
      </c>
      <c r="D339" s="4" t="s">
        <v>425</v>
      </c>
      <c r="E339" s="7"/>
      <c r="F339" s="1" t="n">
        <v>37227</v>
      </c>
    </row>
    <row r="340" customFormat="false" ht="12.75" hidden="false" customHeight="false" outlineLevel="0" collapsed="false">
      <c r="A340" s="4"/>
      <c r="B340" s="6"/>
      <c r="C340" s="6" t="n">
        <v>3118101</v>
      </c>
      <c r="D340" s="4" t="s">
        <v>425</v>
      </c>
      <c r="E340" s="7"/>
      <c r="F340" s="1" t="n">
        <v>37227</v>
      </c>
    </row>
    <row r="341" customFormat="false" ht="12.75" hidden="false" customHeight="false" outlineLevel="0" collapsed="false">
      <c r="A341" s="4"/>
      <c r="B341" s="6"/>
      <c r="C341" s="6" t="n">
        <v>3244301</v>
      </c>
      <c r="D341" s="4" t="s">
        <v>425</v>
      </c>
      <c r="E341" s="7"/>
      <c r="F341" s="1" t="n">
        <v>37227</v>
      </c>
    </row>
    <row r="342" customFormat="false" ht="12.75" hidden="false" customHeight="false" outlineLevel="0" collapsed="false">
      <c r="A342" s="4"/>
      <c r="B342" s="6"/>
      <c r="C342" s="6" t="n">
        <v>3402701</v>
      </c>
      <c r="D342" s="4" t="s">
        <v>425</v>
      </c>
      <c r="E342" s="7"/>
      <c r="F342" s="1" t="n">
        <v>37227</v>
      </c>
    </row>
    <row r="343" customFormat="false" ht="12.75" hidden="false" customHeight="false" outlineLevel="0" collapsed="false">
      <c r="A343" s="4"/>
      <c r="B343" s="6"/>
      <c r="C343" s="6" t="n">
        <v>3247301</v>
      </c>
      <c r="D343" s="4" t="s">
        <v>425</v>
      </c>
      <c r="E343" s="7"/>
      <c r="F343" s="1" t="n">
        <v>37227</v>
      </c>
    </row>
    <row r="344" customFormat="false" ht="12.75" hidden="false" customHeight="false" outlineLevel="0" collapsed="false">
      <c r="A344" s="4"/>
      <c r="B344" s="6"/>
      <c r="C344" s="6" t="n">
        <v>4283501</v>
      </c>
      <c r="D344" s="4" t="s">
        <v>425</v>
      </c>
      <c r="E344" s="7"/>
      <c r="F344" s="1" t="n">
        <v>37227</v>
      </c>
    </row>
    <row r="345" customFormat="false" ht="12.75" hidden="false" customHeight="false" outlineLevel="0" collapsed="false">
      <c r="A345" s="4"/>
      <c r="B345" s="6"/>
      <c r="C345" s="6" t="n">
        <v>3252301</v>
      </c>
      <c r="D345" s="4" t="s">
        <v>425</v>
      </c>
      <c r="E345" s="7"/>
      <c r="F345" s="1" t="n">
        <v>37227</v>
      </c>
    </row>
    <row r="346" customFormat="false" ht="12.75" hidden="false" customHeight="false" outlineLevel="0" collapsed="false">
      <c r="A346" s="4" t="s">
        <v>26</v>
      </c>
      <c r="B346" s="5" t="n">
        <v>5168401</v>
      </c>
      <c r="C346" s="6" t="s">
        <v>26</v>
      </c>
      <c r="D346" s="18" t="s">
        <v>427</v>
      </c>
      <c r="E346" s="19"/>
    </row>
    <row r="347" customFormat="false" ht="12.75" hidden="false" customHeight="false" outlineLevel="0" collapsed="false">
      <c r="A347" s="4" t="s">
        <v>26</v>
      </c>
      <c r="B347" s="5" t="s">
        <v>428</v>
      </c>
      <c r="C347" s="6" t="s">
        <v>26</v>
      </c>
      <c r="D347" s="18" t="s">
        <v>427</v>
      </c>
      <c r="E347" s="19"/>
      <c r="F347" s="1" t="n">
        <v>37228</v>
      </c>
    </row>
    <row r="348" customFormat="false" ht="12.75" hidden="false" customHeight="false" outlineLevel="0" collapsed="false">
      <c r="A348" s="4" t="s">
        <v>26</v>
      </c>
      <c r="B348" s="5" t="s">
        <v>429</v>
      </c>
      <c r="C348" s="6" t="s">
        <v>26</v>
      </c>
      <c r="D348" s="18" t="s">
        <v>427</v>
      </c>
      <c r="E348" s="19"/>
      <c r="F348" s="1" t="n">
        <v>37228</v>
      </c>
    </row>
    <row r="349" customFormat="false" ht="12.75" hidden="false" customHeight="false" outlineLevel="0" collapsed="false">
      <c r="A349" s="4" t="s">
        <v>26</v>
      </c>
      <c r="B349" s="5" t="s">
        <v>430</v>
      </c>
      <c r="C349" s="6" t="s">
        <v>26</v>
      </c>
      <c r="D349" s="18" t="s">
        <v>427</v>
      </c>
      <c r="E349" s="19"/>
      <c r="F349" s="1" t="n">
        <v>37228</v>
      </c>
    </row>
    <row r="350" customFormat="false" ht="12.75" hidden="false" customHeight="false" outlineLevel="0" collapsed="false">
      <c r="A350" s="4" t="s">
        <v>26</v>
      </c>
      <c r="B350" s="5" t="s">
        <v>431</v>
      </c>
      <c r="C350" s="6" t="s">
        <v>26</v>
      </c>
      <c r="D350" s="18" t="s">
        <v>427</v>
      </c>
      <c r="E350" s="19"/>
      <c r="F350" s="1" t="n">
        <v>37228</v>
      </c>
    </row>
    <row r="351" customFormat="false" ht="12.75" hidden="false" customHeight="false" outlineLevel="0" collapsed="false">
      <c r="A351" s="4" t="s">
        <v>26</v>
      </c>
      <c r="B351" s="5" t="s">
        <v>432</v>
      </c>
      <c r="C351" s="6" t="s">
        <v>26</v>
      </c>
      <c r="D351" s="18" t="s">
        <v>427</v>
      </c>
      <c r="E351" s="19"/>
      <c r="F351" s="1" t="n">
        <v>37228</v>
      </c>
    </row>
    <row r="352" customFormat="false" ht="12.75" hidden="false" customHeight="false" outlineLevel="0" collapsed="false">
      <c r="A352" s="4" t="s">
        <v>5</v>
      </c>
      <c r="B352" s="5" t="s">
        <v>433</v>
      </c>
      <c r="C352" s="6" t="n">
        <v>3190601</v>
      </c>
      <c r="D352" s="4" t="s">
        <v>434</v>
      </c>
      <c r="E352" s="7" t="n">
        <v>37228</v>
      </c>
    </row>
    <row r="353" customFormat="false" ht="12.75" hidden="false" customHeight="false" outlineLevel="0" collapsed="false">
      <c r="A353" s="4" t="s">
        <v>26</v>
      </c>
      <c r="B353" s="5" t="s">
        <v>435</v>
      </c>
      <c r="C353" s="6" t="s">
        <v>26</v>
      </c>
      <c r="D353" s="8" t="s">
        <v>436</v>
      </c>
      <c r="E353" s="9"/>
    </row>
    <row r="354" customFormat="false" ht="12.75" hidden="false" customHeight="false" outlineLevel="0" collapsed="false">
      <c r="A354" s="4" t="s">
        <v>213</v>
      </c>
      <c r="B354" s="5" t="s">
        <v>437</v>
      </c>
      <c r="C354" s="6" t="n">
        <v>2062201</v>
      </c>
      <c r="D354" s="4" t="s">
        <v>438</v>
      </c>
      <c r="E354" s="7"/>
    </row>
    <row r="355" customFormat="false" ht="12.75" hidden="false" customHeight="false" outlineLevel="0" collapsed="false">
      <c r="A355" s="4" t="s">
        <v>273</v>
      </c>
      <c r="B355" s="6" t="s">
        <v>439</v>
      </c>
      <c r="C355" s="6" t="n">
        <v>3425301</v>
      </c>
      <c r="D355" s="4" t="s">
        <v>440</v>
      </c>
      <c r="E355" s="7" t="n">
        <v>37257</v>
      </c>
      <c r="F355" s="7" t="n">
        <v>37257</v>
      </c>
    </row>
    <row r="356" customFormat="false" ht="12.75" hidden="false" customHeight="false" outlineLevel="0" collapsed="false">
      <c r="A356" s="4" t="s">
        <v>273</v>
      </c>
      <c r="B356" s="6" t="s">
        <v>441</v>
      </c>
      <c r="C356" s="6" t="n">
        <v>4244501</v>
      </c>
      <c r="D356" s="4" t="s">
        <v>440</v>
      </c>
      <c r="E356" s="7" t="n">
        <v>37257</v>
      </c>
      <c r="F356" s="7" t="n">
        <v>37257</v>
      </c>
    </row>
    <row r="357" customFormat="false" ht="12.75" hidden="false" customHeight="false" outlineLevel="0" collapsed="false">
      <c r="C357" s="20" t="n">
        <v>3508401</v>
      </c>
      <c r="D357" s="4" t="s">
        <v>440</v>
      </c>
      <c r="F357" s="7" t="n">
        <v>37257</v>
      </c>
    </row>
    <row r="358" customFormat="false" ht="12.75" hidden="false" customHeight="false" outlineLevel="0" collapsed="false">
      <c r="C358" s="20" t="n">
        <v>3507901</v>
      </c>
      <c r="D358" s="4" t="s">
        <v>440</v>
      </c>
      <c r="F358" s="7" t="n">
        <v>37257</v>
      </c>
    </row>
    <row r="359" customFormat="false" ht="12.75" hidden="false" customHeight="false" outlineLevel="0" collapsed="false">
      <c r="C359" s="20" t="n">
        <v>3427001</v>
      </c>
      <c r="D359" s="4" t="s">
        <v>440</v>
      </c>
      <c r="F359" s="7" t="n">
        <v>37257</v>
      </c>
    </row>
    <row r="360" customFormat="false" ht="12.75" hidden="false" customHeight="false" outlineLevel="0" collapsed="false">
      <c r="C360" s="20" t="n">
        <v>3507801</v>
      </c>
      <c r="D360" s="4" t="s">
        <v>440</v>
      </c>
      <c r="F360" s="7" t="n">
        <v>37257</v>
      </c>
    </row>
  </sheetData>
  <autoFilter ref="A1:E35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5"/>
  <sheetViews>
    <sheetView showFormulas="false" showGridLines="true" showRowColHeaders="true" showZeros="true" rightToLeft="false" tabSelected="false" showOutlineSymbols="true" defaultGridColor="true" view="normal" topLeftCell="A225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2.75" hidden="false" customHeight="false" outlineLevel="0" collapsed="false">
      <c r="A1" s="0" t="s">
        <v>442</v>
      </c>
      <c r="C1" s="0" t="s">
        <v>443</v>
      </c>
      <c r="D1" s="0" t="s">
        <v>444</v>
      </c>
    </row>
    <row r="2" customFormat="false" ht="12.75" hidden="false" customHeight="false" outlineLevel="0" collapsed="false">
      <c r="A2" s="0" t="s">
        <v>181</v>
      </c>
      <c r="B2" s="0" t="str">
        <f aca="false">IF(ISNA(VLOOKUP(A2,Dedcode,4)),"na",VLOOKUP(A2,Dedcode,4))</f>
        <v>TW</v>
      </c>
      <c r="C2" s="0" t="n">
        <v>102</v>
      </c>
      <c r="D2" s="0" t="n">
        <v>1466</v>
      </c>
      <c r="E2" s="0" t="n">
        <f aca="false">C2-ROUND(+C2*(VLOOKUP(B2,cngded,6,FALSE())),0)</f>
        <v>98</v>
      </c>
      <c r="F2" s="0" t="n">
        <f aca="false">D2-ROUND(+D2*(VLOOKUP(B2,cngded,6,FALSE())),0)</f>
        <v>1409</v>
      </c>
    </row>
    <row r="3" customFormat="false" ht="12.75" hidden="false" customHeight="false" outlineLevel="0" collapsed="false">
      <c r="A3" s="0" t="s">
        <v>186</v>
      </c>
      <c r="B3" s="0" t="str">
        <f aca="false">IF(ISNA(VLOOKUP(A3,Dedcode,4)),"na",VLOOKUP(A3,Dedcode,4))</f>
        <v>TW</v>
      </c>
      <c r="C3" s="0" t="n">
        <v>12</v>
      </c>
      <c r="D3" s="0" t="n">
        <v>150</v>
      </c>
      <c r="E3" s="0" t="n">
        <f aca="false">C3-ROUND(+C3*(VLOOKUP(B3,cngded,6,FALSE())),0)</f>
        <v>12</v>
      </c>
      <c r="F3" s="0" t="n">
        <f aca="false">D3-ROUND(+D3*(VLOOKUP(B3,cngded,6,FALSE())),0)</f>
        <v>144</v>
      </c>
    </row>
    <row r="4" customFormat="false" ht="12.75" hidden="false" customHeight="false" outlineLevel="0" collapsed="false">
      <c r="A4" s="0" t="s">
        <v>184</v>
      </c>
      <c r="B4" s="0" t="str">
        <f aca="false">IF(ISNA(VLOOKUP(A4,Dedcode,4)),"na",VLOOKUP(A4,Dedcode,4))</f>
        <v>TD</v>
      </c>
      <c r="C4" s="0" t="n">
        <v>7</v>
      </c>
      <c r="D4" s="0" t="n">
        <v>87</v>
      </c>
      <c r="E4" s="0" t="n">
        <f aca="false">C4-ROUND(+C4*(VLOOKUP(B4,cngded,6,FALSE())),0)</f>
        <v>7</v>
      </c>
      <c r="F4" s="0" t="n">
        <f aca="false">D4-ROUND(+D4*(VLOOKUP(B4,cngded,6,FALSE())),0)</f>
        <v>87</v>
      </c>
    </row>
    <row r="5" customFormat="false" ht="12.75" hidden="false" customHeight="false" outlineLevel="0" collapsed="false">
      <c r="A5" s="0" t="s">
        <v>45</v>
      </c>
      <c r="B5" s="0" t="str">
        <f aca="false">IF(ISNA(VLOOKUP(A5,Dedcode,4)),"na",VLOOKUP(A5,Dedcode,4))</f>
        <v>GW</v>
      </c>
      <c r="C5" s="0" t="n">
        <v>0</v>
      </c>
      <c r="D5" s="0" t="n">
        <v>0</v>
      </c>
      <c r="E5" s="0" t="n">
        <f aca="false">C5-ROUND(+C5*(VLOOKUP(B5,cngded,6,FALSE())),0)</f>
        <v>0</v>
      </c>
      <c r="F5" s="0" t="n">
        <f aca="false">D5-ROUND(+D5*(VLOOKUP(B5,cngded,6,FALSE())),0)</f>
        <v>0</v>
      </c>
    </row>
    <row r="6" customFormat="false" ht="12.75" hidden="false" customHeight="false" outlineLevel="0" collapsed="false">
      <c r="A6" s="0" t="s">
        <v>47</v>
      </c>
      <c r="B6" s="0" t="str">
        <f aca="false">IF(ISNA(VLOOKUP(A6,Dedcode,4)),"na",VLOOKUP(A6,Dedcode,4))</f>
        <v>GW</v>
      </c>
      <c r="C6" s="0" t="n">
        <v>0</v>
      </c>
      <c r="D6" s="0" t="n">
        <v>0</v>
      </c>
      <c r="E6" s="0" t="n">
        <f aca="false">C6-ROUND(+C6*(VLOOKUP(B6,cngded,6,FALSE())),0)</f>
        <v>0</v>
      </c>
      <c r="F6" s="0" t="n">
        <f aca="false">D6-ROUND(+D6*(VLOOKUP(B6,cngded,6,FALSE())),0)</f>
        <v>0</v>
      </c>
    </row>
    <row r="7" customFormat="false" ht="12.75" hidden="false" customHeight="false" outlineLevel="0" collapsed="false">
      <c r="A7" s="0" t="s">
        <v>48</v>
      </c>
      <c r="B7" s="0" t="str">
        <f aca="false">IF(ISNA(VLOOKUP(A7,Dedcode,4)),"na",VLOOKUP(A7,Dedcode,4))</f>
        <v>GW</v>
      </c>
      <c r="C7" s="0" t="n">
        <v>28</v>
      </c>
      <c r="D7" s="0" t="n">
        <v>388</v>
      </c>
      <c r="E7" s="0" t="n">
        <f aca="false">C7-ROUND(+C7*(VLOOKUP(B7,cngded,6,FALSE())),0)</f>
        <v>24</v>
      </c>
      <c r="F7" s="0" t="n">
        <f aca="false">D7-ROUND(+D7*(VLOOKUP(B7,cngded,6,FALSE())),0)</f>
        <v>337</v>
      </c>
    </row>
    <row r="8" customFormat="false" ht="12.75" hidden="false" customHeight="false" outlineLevel="0" collapsed="false">
      <c r="A8" s="0" t="s">
        <v>173</v>
      </c>
      <c r="B8" s="0" t="str">
        <f aca="false">IF(ISNA(VLOOKUP(A8,Dedcode,4)),"na",VLOOKUP(A8,Dedcode,4))</f>
        <v>GD</v>
      </c>
      <c r="C8" s="0" t="n">
        <v>134</v>
      </c>
      <c r="D8" s="0" t="n">
        <v>0</v>
      </c>
      <c r="E8" s="0" t="n">
        <f aca="false">C8-ROUND(+C8*(VLOOKUP(B8,cngded,6,FALSE())),0)</f>
        <v>121</v>
      </c>
      <c r="F8" s="0" t="n">
        <f aca="false">D8-ROUND(+D8*(VLOOKUP(B8,cngded,6,FALSE())),0)</f>
        <v>0</v>
      </c>
    </row>
    <row r="9" customFormat="false" ht="12.75" hidden="false" customHeight="false" outlineLevel="0" collapsed="false">
      <c r="A9" s="0" t="s">
        <v>175</v>
      </c>
      <c r="B9" s="0" t="str">
        <f aca="false">IF(ISNA(VLOOKUP(A9,Dedcode,4)),"na",VLOOKUP(A9,Dedcode,4))</f>
        <v>GD</v>
      </c>
      <c r="C9" s="0" t="n">
        <v>27</v>
      </c>
      <c r="D9" s="0" t="n">
        <v>0</v>
      </c>
      <c r="E9" s="0" t="n">
        <f aca="false">C9-ROUND(+C9*(VLOOKUP(B9,cngded,6,FALSE())),0)</f>
        <v>24</v>
      </c>
      <c r="F9" s="0" t="n">
        <f aca="false">D9-ROUND(+D9*(VLOOKUP(B9,cngded,6,FALSE())),0)</f>
        <v>0</v>
      </c>
    </row>
    <row r="10" customFormat="false" ht="12.75" hidden="false" customHeight="false" outlineLevel="0" collapsed="false">
      <c r="A10" s="0" t="s">
        <v>49</v>
      </c>
      <c r="B10" s="0" t="str">
        <f aca="false">IF(ISNA(VLOOKUP(A10,Dedcode,4)),"na",VLOOKUP(A10,Dedcode,4))</f>
        <v>GW</v>
      </c>
      <c r="C10" s="0" t="n">
        <v>0</v>
      </c>
      <c r="D10" s="0" t="n">
        <v>0</v>
      </c>
      <c r="E10" s="0" t="n">
        <f aca="false">C10-ROUND(+C10*(VLOOKUP(B10,cngded,6,FALSE())),0)</f>
        <v>0</v>
      </c>
      <c r="F10" s="0" t="n">
        <f aca="false">D10-ROUND(+D10*(VLOOKUP(B10,cngded,6,FALSE())),0)</f>
        <v>0</v>
      </c>
    </row>
    <row r="11" customFormat="false" ht="12.75" hidden="false" customHeight="false" outlineLevel="0" collapsed="false">
      <c r="A11" s="0" t="s">
        <v>113</v>
      </c>
      <c r="B11" s="0" t="str">
        <f aca="false">IF(ISNA(VLOOKUP(A11,Dedcode,4)),"na",VLOOKUP(A11,Dedcode,4))</f>
        <v>GD</v>
      </c>
      <c r="C11" s="0" t="n">
        <v>0</v>
      </c>
      <c r="D11" s="0" t="n">
        <v>0</v>
      </c>
      <c r="E11" s="0" t="n">
        <f aca="false">C11-ROUND(+C11*(VLOOKUP(B11,cngded,6,FALSE())),0)</f>
        <v>0</v>
      </c>
      <c r="F11" s="0" t="n">
        <f aca="false">D11-ROUND(+D11*(VLOOKUP(B11,cngded,6,FALSE())),0)</f>
        <v>0</v>
      </c>
    </row>
    <row r="12" customFormat="false" ht="12.75" hidden="false" customHeight="false" outlineLevel="0" collapsed="false">
      <c r="A12" s="0" t="s">
        <v>89</v>
      </c>
      <c r="B12" s="0" t="str">
        <f aca="false">IF(ISNA(VLOOKUP(A12,Dedcode,4)),"na",VLOOKUP(A12,Dedcode,4))</f>
        <v>GW</v>
      </c>
      <c r="C12" s="0" t="n">
        <v>34</v>
      </c>
      <c r="D12" s="0" t="n">
        <v>620</v>
      </c>
      <c r="E12" s="0" t="n">
        <f aca="false">C12-ROUND(+C12*(VLOOKUP(B12,cngded,6,FALSE())),0)</f>
        <v>29</v>
      </c>
      <c r="F12" s="0" t="n">
        <f aca="false">D12-ROUND(+D12*(VLOOKUP(B12,cngded,6,FALSE())),0)</f>
        <v>538</v>
      </c>
    </row>
    <row r="13" customFormat="false" ht="12.75" hidden="false" customHeight="false" outlineLevel="0" collapsed="false">
      <c r="A13" s="0" t="s">
        <v>178</v>
      </c>
      <c r="B13" s="0" t="str">
        <f aca="false">IF(ISNA(VLOOKUP(A13,Dedcode,4)),"na",VLOOKUP(A13,Dedcode,4))</f>
        <v>GD</v>
      </c>
      <c r="C13" s="0" t="n">
        <v>627</v>
      </c>
      <c r="D13" s="0" t="n">
        <v>0</v>
      </c>
      <c r="E13" s="0" t="n">
        <f aca="false">C13-ROUND(+C13*(VLOOKUP(B13,cngded,6,FALSE())),0)</f>
        <v>568</v>
      </c>
      <c r="F13" s="0" t="n">
        <f aca="false">D13-ROUND(+D13*(VLOOKUP(B13,cngded,6,FALSE())),0)</f>
        <v>0</v>
      </c>
    </row>
    <row r="14" customFormat="false" ht="12.75" hidden="false" customHeight="false" outlineLevel="0" collapsed="false">
      <c r="A14" s="0" t="s">
        <v>218</v>
      </c>
      <c r="B14" s="0" t="str">
        <f aca="false">IF(ISNA(VLOOKUP(A14,Dedcode,4)),"na",VLOOKUP(A14,Dedcode,4))</f>
        <v>GW</v>
      </c>
      <c r="C14" s="0" t="n">
        <v>0</v>
      </c>
      <c r="D14" s="0" t="n">
        <v>23</v>
      </c>
      <c r="E14" s="0" t="n">
        <f aca="false">C14-ROUND(+C14*(VLOOKUP(B14,cngded,6,FALSE())),0)</f>
        <v>0</v>
      </c>
      <c r="F14" s="0" t="n">
        <f aca="false">D14-ROUND(+D14*(VLOOKUP(B14,cngded,6,FALSE())),0)</f>
        <v>20</v>
      </c>
    </row>
    <row r="15" customFormat="false" ht="12.75" hidden="false" customHeight="false" outlineLevel="0" collapsed="false">
      <c r="A15" s="0" t="s">
        <v>115</v>
      </c>
      <c r="B15" s="0" t="str">
        <f aca="false">IF(ISNA(VLOOKUP(A15,Dedcode,4)),"na",VLOOKUP(A15,Dedcode,4))</f>
        <v>GD</v>
      </c>
      <c r="C15" s="0" t="n">
        <v>107</v>
      </c>
      <c r="D15" s="0" t="n">
        <v>0</v>
      </c>
      <c r="E15" s="0" t="n">
        <f aca="false">C15-ROUND(+C15*(VLOOKUP(B15,cngded,6,FALSE())),0)</f>
        <v>97</v>
      </c>
      <c r="F15" s="0" t="n">
        <f aca="false">D15-ROUND(+D15*(VLOOKUP(B15,cngded,6,FALSE())),0)</f>
        <v>0</v>
      </c>
    </row>
    <row r="16" customFormat="false" ht="12.75" hidden="false" customHeight="false" outlineLevel="0" collapsed="false">
      <c r="A16" s="0" t="s">
        <v>358</v>
      </c>
      <c r="B16" s="0" t="str">
        <f aca="false">IF(ISNA(VLOOKUP(A16,Dedcode,4)),"na",VLOOKUP(A16,Dedcode,4))</f>
        <v>GW</v>
      </c>
      <c r="C16" s="0" t="n">
        <v>20</v>
      </c>
      <c r="D16" s="0" t="n">
        <v>0</v>
      </c>
      <c r="E16" s="0" t="n">
        <f aca="false">C16-ROUND(+C16*(VLOOKUP(B16,cngded,6,FALSE())),0)</f>
        <v>17</v>
      </c>
      <c r="F16" s="0" t="n">
        <f aca="false">D16-ROUND(+D16*(VLOOKUP(B16,cngded,6,FALSE())),0)</f>
        <v>0</v>
      </c>
    </row>
    <row r="17" customFormat="false" ht="12.75" hidden="false" customHeight="false" outlineLevel="0" collapsed="false">
      <c r="A17" s="0" t="s">
        <v>79</v>
      </c>
      <c r="B17" s="0" t="str">
        <f aca="false">IF(ISNA(VLOOKUP(A17,Dedcode,4)),"na",VLOOKUP(A17,Dedcode,4))</f>
        <v>GW</v>
      </c>
      <c r="C17" s="0" t="n">
        <v>58</v>
      </c>
      <c r="D17" s="0" t="n">
        <v>289</v>
      </c>
      <c r="E17" s="0" t="n">
        <f aca="false">C17-ROUND(+C17*(VLOOKUP(B17,cngded,6,FALSE())),0)</f>
        <v>50</v>
      </c>
      <c r="F17" s="0" t="n">
        <f aca="false">D17-ROUND(+D17*(VLOOKUP(B17,cngded,6,FALSE())),0)</f>
        <v>251</v>
      </c>
    </row>
    <row r="18" customFormat="false" ht="12.75" hidden="false" customHeight="false" outlineLevel="0" collapsed="false">
      <c r="A18" s="0" t="s">
        <v>364</v>
      </c>
      <c r="B18" s="0" t="str">
        <f aca="false">IF(ISNA(VLOOKUP(A18,Dedcode,4)),"na",VLOOKUP(A18,Dedcode,4))</f>
        <v>GW</v>
      </c>
      <c r="C18" s="0" t="n">
        <v>0</v>
      </c>
      <c r="D18" s="0" t="n">
        <v>10</v>
      </c>
      <c r="E18" s="0" t="n">
        <f aca="false">C18-ROUND(+C18*(VLOOKUP(B18,cngded,6,FALSE())),0)</f>
        <v>0</v>
      </c>
      <c r="F18" s="0" t="n">
        <f aca="false">D18-ROUND(+D18*(VLOOKUP(B18,cngded,6,FALSE())),0)</f>
        <v>9</v>
      </c>
    </row>
    <row r="19" customFormat="false" ht="12.75" hidden="false" customHeight="false" outlineLevel="0" collapsed="false">
      <c r="A19" s="0" t="s">
        <v>362</v>
      </c>
      <c r="B19" s="0" t="str">
        <f aca="false">IF(ISNA(VLOOKUP(A19,Dedcode,4)),"na",VLOOKUP(A19,Dedcode,4))</f>
        <v>GW</v>
      </c>
      <c r="C19" s="0" t="n">
        <v>130</v>
      </c>
      <c r="D19" s="0" t="n">
        <v>802</v>
      </c>
      <c r="E19" s="0" t="n">
        <f aca="false">C19-ROUND(+C19*(VLOOKUP(B19,cngded,6,FALSE())),0)</f>
        <v>113</v>
      </c>
      <c r="F19" s="0" t="n">
        <f aca="false">D19-ROUND(+D19*(VLOOKUP(B19,cngded,6,FALSE())),0)</f>
        <v>696</v>
      </c>
    </row>
    <row r="20" customFormat="false" ht="12.75" hidden="false" customHeight="false" outlineLevel="0" collapsed="false">
      <c r="A20" s="0" t="s">
        <v>81</v>
      </c>
      <c r="B20" s="0" t="str">
        <f aca="false">IF(ISNA(VLOOKUP(A20,Dedcode,4)),"na",VLOOKUP(A20,Dedcode,4))</f>
        <v>TW</v>
      </c>
      <c r="C20" s="0" t="n">
        <v>20</v>
      </c>
      <c r="D20" s="0" t="n">
        <v>10</v>
      </c>
      <c r="E20" s="0" t="n">
        <f aca="false">C20-ROUND(+C20*(VLOOKUP(B20,cngded,6,FALSE())),0)</f>
        <v>19</v>
      </c>
      <c r="F20" s="0" t="n">
        <f aca="false">D20-ROUND(+D20*(VLOOKUP(B20,cngded,6,FALSE())),0)</f>
        <v>10</v>
      </c>
    </row>
    <row r="21" customFormat="false" ht="12.75" hidden="false" customHeight="false" outlineLevel="0" collapsed="false">
      <c r="A21" s="0" t="s">
        <v>98</v>
      </c>
      <c r="B21" s="0" t="str">
        <f aca="false">IF(ISNA(VLOOKUP(A21,Dedcode,4)),"na",VLOOKUP(A21,Dedcode,4))</f>
        <v>GW</v>
      </c>
      <c r="C21" s="0" t="n">
        <v>0</v>
      </c>
      <c r="D21" s="0" t="n">
        <v>0</v>
      </c>
      <c r="E21" s="0" t="n">
        <f aca="false">C21-ROUND(+C21*(VLOOKUP(B21,cngded,6,FALSE())),0)</f>
        <v>0</v>
      </c>
      <c r="F21" s="0" t="n">
        <f aca="false">D21-ROUND(+D21*(VLOOKUP(B21,cngded,6,FALSE())),0)</f>
        <v>0</v>
      </c>
    </row>
    <row r="22" customFormat="false" ht="12.75" hidden="false" customHeight="false" outlineLevel="0" collapsed="false">
      <c r="A22" s="0" t="s">
        <v>100</v>
      </c>
      <c r="B22" s="0" t="str">
        <f aca="false">IF(ISNA(VLOOKUP(A22,Dedcode,4)),"na",VLOOKUP(A22,Dedcode,4))</f>
        <v>GW</v>
      </c>
      <c r="C22" s="0" t="n">
        <v>8</v>
      </c>
      <c r="D22" s="0" t="n">
        <v>116</v>
      </c>
      <c r="E22" s="0" t="n">
        <f aca="false">C22-ROUND(+C22*(VLOOKUP(B22,cngded,6,FALSE())),0)</f>
        <v>7</v>
      </c>
      <c r="F22" s="0" t="n">
        <f aca="false">D22-ROUND(+D22*(VLOOKUP(B22,cngded,6,FALSE())),0)</f>
        <v>101</v>
      </c>
    </row>
    <row r="23" customFormat="false" ht="12.75" hidden="false" customHeight="false" outlineLevel="0" collapsed="false">
      <c r="A23" s="0" t="s">
        <v>101</v>
      </c>
      <c r="B23" s="0" t="str">
        <f aca="false">IF(ISNA(VLOOKUP(A23,Dedcode,4)),"na",VLOOKUP(A23,Dedcode,4))</f>
        <v>GW</v>
      </c>
      <c r="C23" s="0" t="n">
        <v>10</v>
      </c>
      <c r="D23" s="0" t="n">
        <v>136</v>
      </c>
      <c r="E23" s="0" t="n">
        <f aca="false">C23-ROUND(+C23*(VLOOKUP(B23,cngded,6,FALSE())),0)</f>
        <v>9</v>
      </c>
      <c r="F23" s="0" t="n">
        <f aca="false">D23-ROUND(+D23*(VLOOKUP(B23,cngded,6,FALSE())),0)</f>
        <v>118</v>
      </c>
    </row>
    <row r="24" customFormat="false" ht="12.75" hidden="false" customHeight="false" outlineLevel="0" collapsed="false">
      <c r="A24" s="0" t="s">
        <v>102</v>
      </c>
      <c r="B24" s="0" t="str">
        <f aca="false">IF(ISNA(VLOOKUP(A24,Dedcode,4)),"na",VLOOKUP(A24,Dedcode,4))</f>
        <v>GW</v>
      </c>
      <c r="C24" s="0" t="n">
        <v>25</v>
      </c>
      <c r="D24" s="0" t="n">
        <v>581</v>
      </c>
      <c r="E24" s="0" t="n">
        <f aca="false">C24-ROUND(+C24*(VLOOKUP(B24,cngded,6,FALSE())),0)</f>
        <v>22</v>
      </c>
      <c r="F24" s="0" t="n">
        <f aca="false">D24-ROUND(+D24*(VLOOKUP(B24,cngded,6,FALSE())),0)</f>
        <v>504</v>
      </c>
    </row>
    <row r="25" customFormat="false" ht="12.75" hidden="false" customHeight="false" outlineLevel="0" collapsed="false">
      <c r="A25" s="0" t="s">
        <v>83</v>
      </c>
      <c r="B25" s="0" t="str">
        <f aca="false">IF(ISNA(VLOOKUP(A25,Dedcode,4)),"na",VLOOKUP(A25,Dedcode,4))</f>
        <v>GW</v>
      </c>
      <c r="C25" s="0" t="n">
        <v>42</v>
      </c>
      <c r="D25" s="0" t="n">
        <v>20</v>
      </c>
      <c r="E25" s="0" t="n">
        <f aca="false">C25-ROUND(+C25*(VLOOKUP(B25,cngded,6,FALSE())),0)</f>
        <v>36</v>
      </c>
      <c r="F25" s="0" t="n">
        <f aca="false">D25-ROUND(+D25*(VLOOKUP(B25,cngded,6,FALSE())),0)</f>
        <v>17</v>
      </c>
    </row>
    <row r="26" customFormat="false" ht="12.75" hidden="false" customHeight="false" outlineLevel="0" collapsed="false">
      <c r="A26" s="0" t="s">
        <v>377</v>
      </c>
      <c r="B26" s="0" t="str">
        <f aca="false">IF(ISNA(VLOOKUP(A26,Dedcode,4)),"na",VLOOKUP(A26,Dedcode,4))</f>
        <v>GW</v>
      </c>
      <c r="C26" s="0" t="n">
        <v>14</v>
      </c>
      <c r="D26" s="0" t="n">
        <v>386</v>
      </c>
      <c r="E26" s="0" t="n">
        <f aca="false">C26-ROUND(+C26*(VLOOKUP(B26,cngded,6,FALSE())),0)</f>
        <v>12</v>
      </c>
      <c r="F26" s="0" t="n">
        <f aca="false">D26-ROUND(+D26*(VLOOKUP(B26,cngded,6,FALSE())),0)</f>
        <v>335</v>
      </c>
    </row>
    <row r="27" customFormat="false" ht="12.75" hidden="false" customHeight="false" outlineLevel="0" collapsed="false">
      <c r="A27" s="0" t="s">
        <v>107</v>
      </c>
      <c r="B27" s="0" t="str">
        <f aca="false">IF(ISNA(VLOOKUP(A27,Dedcode,4)),"na",VLOOKUP(A27,Dedcode,4))</f>
        <v>GW</v>
      </c>
      <c r="C27" s="0" t="n">
        <v>14</v>
      </c>
      <c r="D27" s="0" t="n">
        <v>169</v>
      </c>
      <c r="E27" s="0" t="n">
        <f aca="false">C27-ROUND(+C27*(VLOOKUP(B27,cngded,6,FALSE())),0)</f>
        <v>12</v>
      </c>
      <c r="F27" s="0" t="n">
        <f aca="false">D27-ROUND(+D27*(VLOOKUP(B27,cngded,6,FALSE())),0)</f>
        <v>147</v>
      </c>
    </row>
    <row r="28" customFormat="false" ht="12.75" hidden="false" customHeight="false" outlineLevel="0" collapsed="false">
      <c r="A28" s="0" t="s">
        <v>109</v>
      </c>
      <c r="B28" s="0" t="str">
        <f aca="false">IF(ISNA(VLOOKUP(A28,Dedcode,4)),"na",VLOOKUP(A28,Dedcode,4))</f>
        <v>GW</v>
      </c>
      <c r="C28" s="0" t="n">
        <v>44</v>
      </c>
      <c r="D28" s="0" t="n">
        <v>754</v>
      </c>
      <c r="E28" s="0" t="n">
        <f aca="false">C28-ROUND(+C28*(VLOOKUP(B28,cngded,6,FALSE())),0)</f>
        <v>38</v>
      </c>
      <c r="F28" s="0" t="n">
        <f aca="false">D28-ROUND(+D28*(VLOOKUP(B28,cngded,6,FALSE())),0)</f>
        <v>654</v>
      </c>
    </row>
    <row r="29" customFormat="false" ht="12.75" hidden="false" customHeight="false" outlineLevel="0" collapsed="false">
      <c r="A29" s="0" t="s">
        <v>103</v>
      </c>
      <c r="B29" s="0" t="str">
        <f aca="false">IF(ISNA(VLOOKUP(A29,Dedcode,4)),"na",VLOOKUP(A29,Dedcode,4))</f>
        <v>GW</v>
      </c>
      <c r="C29" s="0" t="n">
        <v>34</v>
      </c>
      <c r="D29" s="0" t="n">
        <v>283</v>
      </c>
      <c r="E29" s="0" t="n">
        <f aca="false">C29-ROUND(+C29*(VLOOKUP(B29,cngded,6,FALSE())),0)</f>
        <v>29</v>
      </c>
      <c r="F29" s="0" t="n">
        <f aca="false">D29-ROUND(+D29*(VLOOKUP(B29,cngded,6,FALSE())),0)</f>
        <v>246</v>
      </c>
    </row>
    <row r="30" customFormat="false" ht="12.75" hidden="false" customHeight="false" outlineLevel="0" collapsed="false">
      <c r="A30" s="0" t="s">
        <v>86</v>
      </c>
      <c r="B30" s="0" t="str">
        <f aca="false">IF(ISNA(VLOOKUP(A30,Dedcode,4)),"na",VLOOKUP(A30,Dedcode,4))</f>
        <v>GW</v>
      </c>
      <c r="C30" s="0" t="n">
        <v>0</v>
      </c>
      <c r="D30" s="0" t="n">
        <v>0</v>
      </c>
      <c r="E30" s="0" t="n">
        <f aca="false">C30-ROUND(+C30*(VLOOKUP(B30,cngded,6,FALSE())),0)</f>
        <v>0</v>
      </c>
      <c r="F30" s="0" t="n">
        <f aca="false">D30-ROUND(+D30*(VLOOKUP(B30,cngded,6,FALSE())),0)</f>
        <v>0</v>
      </c>
    </row>
    <row r="31" customFormat="false" ht="12.75" hidden="false" customHeight="false" outlineLevel="0" collapsed="false">
      <c r="A31" s="0" t="s">
        <v>105</v>
      </c>
      <c r="B31" s="0" t="str">
        <f aca="false">IF(ISNA(VLOOKUP(A31,Dedcode,4)),"na",VLOOKUP(A31,Dedcode,4))</f>
        <v>TW</v>
      </c>
      <c r="C31" s="0" t="n">
        <v>10</v>
      </c>
      <c r="D31" s="0" t="n">
        <v>130</v>
      </c>
      <c r="E31" s="0" t="n">
        <f aca="false">C31-ROUND(+C31*(VLOOKUP(B31,cngded,6,FALSE())),0)</f>
        <v>10</v>
      </c>
      <c r="F31" s="0" t="n">
        <f aca="false">D31-ROUND(+D31*(VLOOKUP(B31,cngded,6,FALSE())),0)</f>
        <v>125</v>
      </c>
    </row>
    <row r="32" customFormat="false" ht="12.75" hidden="false" customHeight="false" outlineLevel="0" collapsed="false">
      <c r="A32" s="0" t="s">
        <v>106</v>
      </c>
      <c r="B32" s="0" t="str">
        <f aca="false">IF(ISNA(VLOOKUP(A32,Dedcode,4)),"na",VLOOKUP(A32,Dedcode,4))</f>
        <v>GW</v>
      </c>
      <c r="C32" s="0" t="n">
        <v>0</v>
      </c>
      <c r="D32" s="0" t="n">
        <v>0</v>
      </c>
      <c r="E32" s="0" t="n">
        <f aca="false">C32-ROUND(+C32*(VLOOKUP(B32,cngded,6,FALSE())),0)</f>
        <v>0</v>
      </c>
      <c r="F32" s="0" t="n">
        <f aca="false">D32-ROUND(+D32*(VLOOKUP(B32,cngded,6,FALSE())),0)</f>
        <v>0</v>
      </c>
    </row>
    <row r="33" customFormat="false" ht="12.75" hidden="false" customHeight="false" outlineLevel="0" collapsed="false">
      <c r="A33" s="0" t="s">
        <v>9</v>
      </c>
      <c r="B33" s="0" t="str">
        <f aca="false">IF(ISNA(VLOOKUP(A33,Dedcode,4)),"na",VLOOKUP(A33,Dedcode,4))</f>
        <v>GW</v>
      </c>
      <c r="C33" s="0" t="n">
        <v>74</v>
      </c>
      <c r="D33" s="0" t="n">
        <v>1101</v>
      </c>
      <c r="E33" s="0" t="n">
        <f aca="false">C33-ROUND(+C33*(VLOOKUP(B33,cngded,6,FALSE())),0)</f>
        <v>64</v>
      </c>
      <c r="F33" s="0" t="n">
        <f aca="false">D33-ROUND(+D33*(VLOOKUP(B33,cngded,6,FALSE())),0)</f>
        <v>955</v>
      </c>
    </row>
    <row r="34" customFormat="false" ht="12.75" hidden="false" customHeight="false" outlineLevel="0" collapsed="false">
      <c r="A34" s="0" t="s">
        <v>234</v>
      </c>
      <c r="B34" s="0" t="str">
        <f aca="false">IF(ISNA(VLOOKUP(A34,Dedcode,4)),"na",VLOOKUP(A34,Dedcode,4))</f>
        <v>GW</v>
      </c>
      <c r="C34" s="0" t="n">
        <v>48</v>
      </c>
      <c r="D34" s="0" t="n">
        <v>644</v>
      </c>
      <c r="E34" s="0" t="n">
        <f aca="false">C34-ROUND(+C34*(VLOOKUP(B34,cngded,6,FALSE())),0)</f>
        <v>42</v>
      </c>
      <c r="F34" s="0" t="n">
        <f aca="false">D34-ROUND(+D34*(VLOOKUP(B34,cngded,6,FALSE())),0)</f>
        <v>559</v>
      </c>
    </row>
    <row r="35" customFormat="false" ht="12.75" hidden="false" customHeight="false" outlineLevel="0" collapsed="false">
      <c r="A35" s="0" t="s">
        <v>235</v>
      </c>
      <c r="B35" s="0" t="str">
        <f aca="false">IF(ISNA(VLOOKUP(A35,Dedcode,4)),"na",VLOOKUP(A35,Dedcode,4))</f>
        <v>GW</v>
      </c>
      <c r="C35" s="0" t="n">
        <v>30</v>
      </c>
      <c r="D35" s="0" t="n">
        <v>383</v>
      </c>
      <c r="E35" s="0" t="n">
        <f aca="false">C35-ROUND(+C35*(VLOOKUP(B35,cngded,6,FALSE())),0)</f>
        <v>26</v>
      </c>
      <c r="F35" s="0" t="n">
        <f aca="false">D35-ROUND(+D35*(VLOOKUP(B35,cngded,6,FALSE())),0)</f>
        <v>332</v>
      </c>
    </row>
    <row r="36" customFormat="false" ht="12.75" hidden="false" customHeight="false" outlineLevel="0" collapsed="false">
      <c r="A36" s="0" t="s">
        <v>236</v>
      </c>
      <c r="B36" s="0" t="str">
        <f aca="false">IF(ISNA(VLOOKUP(A36,Dedcode,4)),"na",VLOOKUP(A36,Dedcode,4))</f>
        <v>GW</v>
      </c>
      <c r="C36" s="0" t="n">
        <v>4</v>
      </c>
      <c r="D36" s="0" t="n">
        <v>53</v>
      </c>
      <c r="E36" s="0" t="n">
        <f aca="false">C36-ROUND(+C36*(VLOOKUP(B36,cngded,6,FALSE())),0)</f>
        <v>3</v>
      </c>
      <c r="F36" s="0" t="n">
        <f aca="false">D36-ROUND(+D36*(VLOOKUP(B36,cngded,6,FALSE())),0)</f>
        <v>46</v>
      </c>
    </row>
    <row r="37" customFormat="false" ht="12.75" hidden="false" customHeight="false" outlineLevel="0" collapsed="false">
      <c r="A37" s="0" t="s">
        <v>88</v>
      </c>
      <c r="B37" s="0" t="str">
        <f aca="false">IF(ISNA(VLOOKUP(A37,Dedcode,4)),"na",VLOOKUP(A37,Dedcode,4))</f>
        <v>GW</v>
      </c>
      <c r="C37" s="0" t="n">
        <v>0</v>
      </c>
      <c r="D37" s="0" t="n">
        <v>0</v>
      </c>
      <c r="E37" s="0" t="n">
        <f aca="false">C37-ROUND(+C37*(VLOOKUP(B37,cngded,6,FALSE())),0)</f>
        <v>0</v>
      </c>
      <c r="F37" s="0" t="n">
        <f aca="false">D37-ROUND(+D37*(VLOOKUP(B37,cngded,6,FALSE())),0)</f>
        <v>0</v>
      </c>
    </row>
    <row r="38" customFormat="false" ht="12.75" hidden="false" customHeight="false" outlineLevel="0" collapsed="false">
      <c r="A38" s="0" t="s">
        <v>20</v>
      </c>
      <c r="B38" s="0" t="str">
        <f aca="false">IF(ISNA(VLOOKUP(A38,Dedcode,4)),"na",VLOOKUP(A38,Dedcode,4))</f>
        <v>GW</v>
      </c>
      <c r="C38" s="0" t="n">
        <v>196</v>
      </c>
      <c r="D38" s="0" t="n">
        <v>2378</v>
      </c>
      <c r="E38" s="0" t="n">
        <f aca="false">C38-ROUND(+C38*(VLOOKUP(B38,cngded,6,FALSE())),0)</f>
        <v>170</v>
      </c>
      <c r="F38" s="0" t="n">
        <f aca="false">D38-ROUND(+D38*(VLOOKUP(B38,cngded,6,FALSE())),0)</f>
        <v>2063</v>
      </c>
    </row>
    <row r="39" customFormat="false" ht="12.75" hidden="false" customHeight="false" outlineLevel="0" collapsed="false">
      <c r="A39" s="0" t="s">
        <v>299</v>
      </c>
      <c r="B39" s="0" t="str">
        <f aca="false">IF(ISNA(VLOOKUP(A39,Dedcode,4)),"na",VLOOKUP(A39,Dedcode,4))</f>
        <v>GW</v>
      </c>
      <c r="C39" s="0" t="n">
        <v>44</v>
      </c>
      <c r="D39" s="0" t="n">
        <v>44</v>
      </c>
      <c r="E39" s="0" t="n">
        <f aca="false">C39-ROUND(+C39*(VLOOKUP(B39,cngded,6,FALSE())),0)</f>
        <v>38</v>
      </c>
      <c r="F39" s="0" t="n">
        <f aca="false">D39-ROUND(+D39*(VLOOKUP(B39,cngded,6,FALSE())),0)</f>
        <v>38</v>
      </c>
    </row>
    <row r="40" customFormat="false" ht="12.75" hidden="false" customHeight="false" outlineLevel="0" collapsed="false">
      <c r="A40" s="0" t="s">
        <v>73</v>
      </c>
      <c r="B40" s="0" t="str">
        <f aca="false">IF(ISNA(VLOOKUP(A40,Dedcode,4)),"na",VLOOKUP(A40,Dedcode,4))</f>
        <v>GW</v>
      </c>
      <c r="C40" s="0" t="n">
        <v>14</v>
      </c>
      <c r="D40" s="0" t="n">
        <v>203</v>
      </c>
      <c r="E40" s="0" t="n">
        <f aca="false">C40-ROUND(+C40*(VLOOKUP(B40,cngded,6,FALSE())),0)</f>
        <v>12</v>
      </c>
      <c r="F40" s="0" t="n">
        <f aca="false">D40-ROUND(+D40*(VLOOKUP(B40,cngded,6,FALSE())),0)</f>
        <v>176</v>
      </c>
    </row>
    <row r="41" customFormat="false" ht="12.75" hidden="false" customHeight="false" outlineLevel="0" collapsed="false">
      <c r="A41" s="0" t="s">
        <v>74</v>
      </c>
      <c r="B41" s="0" t="str">
        <f aca="false">IF(ISNA(VLOOKUP(A41,Dedcode,4)),"na",VLOOKUP(A41,Dedcode,4))</f>
        <v>GW</v>
      </c>
      <c r="C41" s="0" t="n">
        <v>2</v>
      </c>
      <c r="D41" s="0" t="n">
        <v>2</v>
      </c>
      <c r="E41" s="0" t="n">
        <f aca="false">C41-ROUND(+C41*(VLOOKUP(B41,cngded,6,FALSE())),0)</f>
        <v>2</v>
      </c>
      <c r="F41" s="0" t="n">
        <f aca="false">D41-ROUND(+D41*(VLOOKUP(B41,cngded,6,FALSE())),0)</f>
        <v>2</v>
      </c>
    </row>
    <row r="42" customFormat="false" ht="12.75" hidden="false" customHeight="false" outlineLevel="0" collapsed="false">
      <c r="A42" s="0" t="s">
        <v>195</v>
      </c>
      <c r="B42" s="0" t="str">
        <f aca="false">IF(ISNA(VLOOKUP(A42,Dedcode,4)),"na",VLOOKUP(A42,Dedcode,4))</f>
        <v>GW</v>
      </c>
      <c r="C42" s="0" t="n">
        <v>0</v>
      </c>
      <c r="D42" s="0" t="n">
        <v>0</v>
      </c>
      <c r="E42" s="0" t="n">
        <f aca="false">C42-ROUND(+C42*(VLOOKUP(B42,cngded,6,FALSE())),0)</f>
        <v>0</v>
      </c>
      <c r="F42" s="0" t="n">
        <f aca="false">D42-ROUND(+D42*(VLOOKUP(B42,cngded,6,FALSE())),0)</f>
        <v>0</v>
      </c>
    </row>
    <row r="43" customFormat="false" ht="12.75" hidden="false" customHeight="false" outlineLevel="0" collapsed="false">
      <c r="A43" s="0" t="s">
        <v>196</v>
      </c>
      <c r="B43" s="0" t="str">
        <f aca="false">IF(ISNA(VLOOKUP(A43,Dedcode,4)),"na",VLOOKUP(A43,Dedcode,4))</f>
        <v>GW</v>
      </c>
      <c r="C43" s="0" t="n">
        <v>0</v>
      </c>
      <c r="D43" s="0" t="n">
        <v>0</v>
      </c>
      <c r="E43" s="0" t="n">
        <f aca="false">C43-ROUND(+C43*(VLOOKUP(B43,cngded,6,FALSE())),0)</f>
        <v>0</v>
      </c>
      <c r="F43" s="0" t="n">
        <f aca="false">D43-ROUND(+D43*(VLOOKUP(B43,cngded,6,FALSE())),0)</f>
        <v>0</v>
      </c>
    </row>
    <row r="44" customFormat="false" ht="12.75" hidden="false" customHeight="false" outlineLevel="0" collapsed="false">
      <c r="A44" s="0" t="s">
        <v>75</v>
      </c>
      <c r="B44" s="0" t="str">
        <f aca="false">IF(ISNA(VLOOKUP(A44,Dedcode,4)),"na",VLOOKUP(A44,Dedcode,4))</f>
        <v>GW</v>
      </c>
      <c r="C44" s="0" t="n">
        <v>0</v>
      </c>
      <c r="D44" s="0" t="n">
        <v>0</v>
      </c>
      <c r="E44" s="0" t="n">
        <f aca="false">C44-ROUND(+C44*(VLOOKUP(B44,cngded,6,FALSE())),0)</f>
        <v>0</v>
      </c>
      <c r="F44" s="0" t="n">
        <f aca="false">D44-ROUND(+D44*(VLOOKUP(B44,cngded,6,FALSE())),0)</f>
        <v>0</v>
      </c>
    </row>
    <row r="45" customFormat="false" ht="12.75" hidden="false" customHeight="false" outlineLevel="0" collapsed="false">
      <c r="A45" s="0" t="s">
        <v>424</v>
      </c>
      <c r="B45" s="0" t="str">
        <f aca="false">IF(ISNA(VLOOKUP(A45,Dedcode,4)),"na",VLOOKUP(A45,Dedcode,4))</f>
        <v>GD</v>
      </c>
      <c r="C45" s="0" t="n">
        <v>8</v>
      </c>
      <c r="D45" s="0" t="n">
        <v>120</v>
      </c>
      <c r="E45" s="0" t="n">
        <f aca="false">C45-ROUND(+C45*(VLOOKUP(B45,cngded,6,FALSE())),0)</f>
        <v>7</v>
      </c>
      <c r="F45" s="0" t="n">
        <f aca="false">D45-ROUND(+D45*(VLOOKUP(B45,cngded,6,FALSE())),0)</f>
        <v>109</v>
      </c>
    </row>
    <row r="46" customFormat="false" ht="12.75" hidden="false" customHeight="false" outlineLevel="0" collapsed="false">
      <c r="A46" s="0" t="s">
        <v>197</v>
      </c>
      <c r="B46" s="0" t="str">
        <f aca="false">IF(ISNA(VLOOKUP(A46,Dedcode,4)),"na",VLOOKUP(A46,Dedcode,4))</f>
        <v>GW</v>
      </c>
      <c r="C46" s="0" t="n">
        <v>0</v>
      </c>
      <c r="D46" s="0" t="n">
        <v>286</v>
      </c>
      <c r="E46" s="0" t="n">
        <f aca="false">C46-ROUND(+C46*(VLOOKUP(B46,cngded,6,FALSE())),0)</f>
        <v>0</v>
      </c>
      <c r="F46" s="0" t="n">
        <f aca="false">D46-ROUND(+D46*(VLOOKUP(B46,cngded,6,FALSE())),0)</f>
        <v>248</v>
      </c>
    </row>
    <row r="47" customFormat="false" ht="12.75" hidden="false" customHeight="false" outlineLevel="0" collapsed="false">
      <c r="A47" s="0" t="s">
        <v>287</v>
      </c>
      <c r="B47" s="0" t="str">
        <f aca="false">IF(ISNA(VLOOKUP(A47,Dedcode,4)),"na",VLOOKUP(A47,Dedcode,4))</f>
        <v>GW</v>
      </c>
      <c r="C47" s="0" t="n">
        <v>4</v>
      </c>
      <c r="D47" s="0" t="n">
        <v>13</v>
      </c>
      <c r="E47" s="0" t="n">
        <f aca="false">C47-ROUND(+C47*(VLOOKUP(B47,cngded,6,FALSE())),0)</f>
        <v>3</v>
      </c>
      <c r="F47" s="0" t="n">
        <f aca="false">D47-ROUND(+D47*(VLOOKUP(B47,cngded,6,FALSE())),0)</f>
        <v>11</v>
      </c>
    </row>
    <row r="48" customFormat="false" ht="12.75" hidden="false" customHeight="false" outlineLevel="0" collapsed="false">
      <c r="A48" s="0" t="s">
        <v>255</v>
      </c>
      <c r="B48" s="0" t="str">
        <f aca="false">IF(ISNA(VLOOKUP(A48,Dedcode,4)),"na",VLOOKUP(A48,Dedcode,4))</f>
        <v>GW</v>
      </c>
      <c r="C48" s="0" t="n">
        <v>8</v>
      </c>
      <c r="D48" s="0" t="n">
        <v>113</v>
      </c>
      <c r="E48" s="0" t="n">
        <f aca="false">C48-ROUND(+C48*(VLOOKUP(B48,cngded,6,FALSE())),0)</f>
        <v>7</v>
      </c>
      <c r="F48" s="0" t="n">
        <f aca="false">D48-ROUND(+D48*(VLOOKUP(B48,cngded,6,FALSE())),0)</f>
        <v>98</v>
      </c>
    </row>
    <row r="49" customFormat="false" ht="12.75" hidden="false" customHeight="false" outlineLevel="0" collapsed="false">
      <c r="A49" s="0" t="s">
        <v>256</v>
      </c>
      <c r="B49" s="0" t="str">
        <f aca="false">IF(ISNA(VLOOKUP(A49,Dedcode,4)),"na",VLOOKUP(A49,Dedcode,4))</f>
        <v>GW</v>
      </c>
      <c r="C49" s="0" t="n">
        <v>48</v>
      </c>
      <c r="D49" s="0" t="n">
        <v>202</v>
      </c>
      <c r="E49" s="0" t="n">
        <f aca="false">C49-ROUND(+C49*(VLOOKUP(B49,cngded,6,FALSE())),0)</f>
        <v>42</v>
      </c>
      <c r="F49" s="0" t="n">
        <f aca="false">D49-ROUND(+D49*(VLOOKUP(B49,cngded,6,FALSE())),0)</f>
        <v>175</v>
      </c>
    </row>
    <row r="50" customFormat="false" ht="12.75" hidden="false" customHeight="false" outlineLevel="0" collapsed="false">
      <c r="A50" s="0" t="s">
        <v>274</v>
      </c>
      <c r="B50" s="0" t="str">
        <f aca="false">IF(ISNA(VLOOKUP(A50,Dedcode,4)),"na",VLOOKUP(A50,Dedcode,4))</f>
        <v>GW</v>
      </c>
      <c r="C50" s="0" t="n">
        <v>0</v>
      </c>
      <c r="D50" s="0" t="n">
        <v>0</v>
      </c>
      <c r="E50" s="0" t="n">
        <f aca="false">C50-ROUND(+C50*(VLOOKUP(B50,cngded,6,FALSE())),0)</f>
        <v>0</v>
      </c>
      <c r="F50" s="0" t="n">
        <f aca="false">D50-ROUND(+D50*(VLOOKUP(B50,cngded,6,FALSE())),0)</f>
        <v>0</v>
      </c>
    </row>
    <row r="51" customFormat="false" ht="12.75" hidden="false" customHeight="false" outlineLevel="0" collapsed="false">
      <c r="A51" s="0" t="s">
        <v>302</v>
      </c>
      <c r="B51" s="0" t="str">
        <f aca="false">IF(ISNA(VLOOKUP(A51,Dedcode,4)),"na",VLOOKUP(A51,Dedcode,4))</f>
        <v>TW</v>
      </c>
      <c r="C51" s="0" t="n">
        <v>0</v>
      </c>
      <c r="D51" s="0" t="n">
        <v>2</v>
      </c>
      <c r="E51" s="0" t="n">
        <f aca="false">C51-ROUND(+C51*(VLOOKUP(B51,cngded,6,FALSE())),0)</f>
        <v>0</v>
      </c>
      <c r="F51" s="0" t="n">
        <f aca="false">D51-ROUND(+D51*(VLOOKUP(B51,cngded,6,FALSE())),0)</f>
        <v>2</v>
      </c>
    </row>
    <row r="52" customFormat="false" ht="12.75" hidden="false" customHeight="false" outlineLevel="0" collapsed="false">
      <c r="A52" s="0" t="s">
        <v>335</v>
      </c>
      <c r="B52" s="0" t="str">
        <f aca="false">IF(ISNA(VLOOKUP(A52,Dedcode,4)),"na",VLOOKUP(A52,Dedcode,4))</f>
        <v>GW</v>
      </c>
      <c r="C52" s="0" t="n">
        <v>14</v>
      </c>
      <c r="D52" s="0" t="n">
        <v>0</v>
      </c>
      <c r="E52" s="0" t="n">
        <f aca="false">C52-ROUND(+C52*(VLOOKUP(B52,cngded,6,FALSE())),0)</f>
        <v>12</v>
      </c>
      <c r="F52" s="0" t="n">
        <f aca="false">D52-ROUND(+D52*(VLOOKUP(B52,cngded,6,FALSE())),0)</f>
        <v>0</v>
      </c>
    </row>
    <row r="53" customFormat="false" ht="12.75" hidden="false" customHeight="false" outlineLevel="0" collapsed="false">
      <c r="A53" s="0" t="s">
        <v>337</v>
      </c>
      <c r="B53" s="0" t="str">
        <f aca="false">IF(ISNA(VLOOKUP(A53,Dedcode,4)),"na",VLOOKUP(A53,Dedcode,4))</f>
        <v>GW</v>
      </c>
      <c r="C53" s="0" t="n">
        <v>28</v>
      </c>
      <c r="D53" s="0" t="n">
        <v>19</v>
      </c>
      <c r="E53" s="0" t="n">
        <f aca="false">C53-ROUND(+C53*(VLOOKUP(B53,cngded,6,FALSE())),0)</f>
        <v>24</v>
      </c>
      <c r="F53" s="0" t="n">
        <f aca="false">D53-ROUND(+D53*(VLOOKUP(B53,cngded,6,FALSE())),0)</f>
        <v>16</v>
      </c>
    </row>
    <row r="54" customFormat="false" ht="12.75" hidden="false" customHeight="false" outlineLevel="0" collapsed="false">
      <c r="A54" s="0" t="s">
        <v>275</v>
      </c>
      <c r="B54" s="0" t="str">
        <f aca="false">IF(ISNA(VLOOKUP(A54,Dedcode,4)),"na",VLOOKUP(A54,Dedcode,4))</f>
        <v>GW</v>
      </c>
      <c r="C54" s="0" t="n">
        <v>4</v>
      </c>
      <c r="D54" s="0" t="n">
        <v>10</v>
      </c>
      <c r="E54" s="0" t="n">
        <f aca="false">C54-ROUND(+C54*(VLOOKUP(B54,cngded,6,FALSE())),0)</f>
        <v>3</v>
      </c>
      <c r="F54" s="0" t="n">
        <f aca="false">D54-ROUND(+D54*(VLOOKUP(B54,cngded,6,FALSE())),0)</f>
        <v>9</v>
      </c>
    </row>
    <row r="55" customFormat="false" ht="12.75" hidden="false" customHeight="false" outlineLevel="0" collapsed="false">
      <c r="A55" s="0" t="s">
        <v>258</v>
      </c>
      <c r="B55" s="0" t="str">
        <f aca="false">IF(ISNA(VLOOKUP(A55,Dedcode,4)),"na",VLOOKUP(A55,Dedcode,4))</f>
        <v>GW</v>
      </c>
      <c r="C55" s="0" t="n">
        <v>104</v>
      </c>
      <c r="D55" s="0" t="n">
        <v>1818</v>
      </c>
      <c r="E55" s="0" t="n">
        <f aca="false">C55-ROUND(+C55*(VLOOKUP(B55,cngded,6,FALSE())),0)</f>
        <v>90</v>
      </c>
      <c r="F55" s="0" t="n">
        <f aca="false">D55-ROUND(+D55*(VLOOKUP(B55,cngded,6,FALSE())),0)</f>
        <v>1577</v>
      </c>
    </row>
    <row r="56" customFormat="false" ht="12.75" hidden="false" customHeight="false" outlineLevel="0" collapsed="false">
      <c r="A56" s="0" t="s">
        <v>379</v>
      </c>
      <c r="B56" s="0" t="str">
        <f aca="false">IF(ISNA(VLOOKUP(A56,Dedcode,4)),"na",VLOOKUP(A56,Dedcode,4))</f>
        <v>GW</v>
      </c>
      <c r="C56" s="0" t="n">
        <v>10</v>
      </c>
      <c r="D56" s="0" t="n">
        <v>178</v>
      </c>
      <c r="E56" s="0" t="n">
        <f aca="false">C56-ROUND(+C56*(VLOOKUP(B56,cngded,6,FALSE())),0)</f>
        <v>9</v>
      </c>
      <c r="F56" s="0" t="n">
        <f aca="false">D56-ROUND(+D56*(VLOOKUP(B56,cngded,6,FALSE())),0)</f>
        <v>154</v>
      </c>
    </row>
    <row r="57" customFormat="false" ht="12.75" hidden="false" customHeight="false" outlineLevel="0" collapsed="false">
      <c r="A57" s="0" t="s">
        <v>325</v>
      </c>
      <c r="B57" s="0" t="str">
        <f aca="false">IF(ISNA(VLOOKUP(A57,Dedcode,4)),"na",VLOOKUP(A57,Dedcode,4))</f>
        <v>GW</v>
      </c>
      <c r="C57" s="0" t="n">
        <v>10</v>
      </c>
      <c r="D57" s="0" t="n">
        <v>180</v>
      </c>
      <c r="E57" s="0" t="n">
        <f aca="false">C57-ROUND(+C57*(VLOOKUP(B57,cngded,6,FALSE())),0)</f>
        <v>9</v>
      </c>
      <c r="F57" s="0" t="n">
        <f aca="false">D57-ROUND(+D57*(VLOOKUP(B57,cngded,6,FALSE())),0)</f>
        <v>156</v>
      </c>
    </row>
    <row r="58" customFormat="false" ht="12.75" hidden="false" customHeight="false" outlineLevel="0" collapsed="false">
      <c r="A58" s="0" t="s">
        <v>127</v>
      </c>
      <c r="B58" s="0" t="str">
        <f aca="false">IF(ISNA(VLOOKUP(A58,Dedcode,4)),"na",VLOOKUP(A58,Dedcode,4))</f>
        <v>GD</v>
      </c>
      <c r="C58" s="0" t="n">
        <v>34</v>
      </c>
      <c r="D58" s="0" t="n">
        <v>48</v>
      </c>
      <c r="E58" s="0" t="n">
        <f aca="false">C58-ROUND(+C58*(VLOOKUP(B58,cngded,6,FALSE())),0)</f>
        <v>31</v>
      </c>
      <c r="F58" s="0" t="n">
        <f aca="false">D58-ROUND(+D58*(VLOOKUP(B58,cngded,6,FALSE())),0)</f>
        <v>44</v>
      </c>
    </row>
    <row r="59" customFormat="false" ht="12.75" hidden="false" customHeight="false" outlineLevel="0" collapsed="false">
      <c r="A59" s="0" t="s">
        <v>128</v>
      </c>
      <c r="B59" s="0" t="str">
        <f aca="false">IF(ISNA(VLOOKUP(A59,Dedcode,4)),"na",VLOOKUP(A59,Dedcode,4))</f>
        <v>GD</v>
      </c>
      <c r="C59" s="0" t="n">
        <v>4</v>
      </c>
      <c r="D59" s="0" t="n">
        <v>27</v>
      </c>
      <c r="E59" s="0" t="n">
        <f aca="false">C59-ROUND(+C59*(VLOOKUP(B59,cngded,6,FALSE())),0)</f>
        <v>4</v>
      </c>
      <c r="F59" s="0" t="n">
        <f aca="false">D59-ROUND(+D59*(VLOOKUP(B59,cngded,6,FALSE())),0)</f>
        <v>24</v>
      </c>
    </row>
    <row r="60" customFormat="false" ht="12.75" hidden="false" customHeight="false" outlineLevel="0" collapsed="false">
      <c r="A60" s="0" t="s">
        <v>129</v>
      </c>
      <c r="B60" s="0" t="str">
        <f aca="false">IF(ISNA(VLOOKUP(A60,Dedcode,4)),"na",VLOOKUP(A60,Dedcode,4))</f>
        <v>GD</v>
      </c>
      <c r="C60" s="0" t="n">
        <v>6</v>
      </c>
      <c r="D60" s="0" t="n">
        <v>7</v>
      </c>
      <c r="E60" s="0" t="n">
        <f aca="false">C60-ROUND(+C60*(VLOOKUP(B60,cngded,6,FALSE())),0)</f>
        <v>5</v>
      </c>
      <c r="F60" s="0" t="n">
        <f aca="false">D60-ROUND(+D60*(VLOOKUP(B60,cngded,6,FALSE())),0)</f>
        <v>6</v>
      </c>
    </row>
    <row r="61" customFormat="false" ht="12.75" hidden="false" customHeight="false" outlineLevel="0" collapsed="false">
      <c r="A61" s="0" t="s">
        <v>130</v>
      </c>
      <c r="B61" s="0" t="str">
        <f aca="false">IF(ISNA(VLOOKUP(A61,Dedcode,4)),"na",VLOOKUP(A61,Dedcode,4))</f>
        <v>GD</v>
      </c>
      <c r="C61" s="0" t="n">
        <v>6</v>
      </c>
      <c r="D61" s="0" t="n">
        <v>47</v>
      </c>
      <c r="E61" s="0" t="n">
        <f aca="false">C61-ROUND(+C61*(VLOOKUP(B61,cngded,6,FALSE())),0)</f>
        <v>5</v>
      </c>
      <c r="F61" s="0" t="n">
        <f aca="false">D61-ROUND(+D61*(VLOOKUP(B61,cngded,6,FALSE())),0)</f>
        <v>43</v>
      </c>
    </row>
    <row r="62" customFormat="false" ht="12.75" hidden="false" customHeight="false" outlineLevel="0" collapsed="false">
      <c r="A62" s="0" t="s">
        <v>131</v>
      </c>
      <c r="B62" s="0" t="str">
        <f aca="false">IF(ISNA(VLOOKUP(A62,Dedcode,4)),"na",VLOOKUP(A62,Dedcode,4))</f>
        <v>GD</v>
      </c>
      <c r="C62" s="0" t="n">
        <v>14</v>
      </c>
      <c r="D62" s="0" t="n">
        <v>168</v>
      </c>
      <c r="E62" s="0" t="n">
        <f aca="false">C62-ROUND(+C62*(VLOOKUP(B62,cngded,6,FALSE())),0)</f>
        <v>13</v>
      </c>
      <c r="F62" s="0" t="n">
        <f aca="false">D62-ROUND(+D62*(VLOOKUP(B62,cngded,6,FALSE())),0)</f>
        <v>152</v>
      </c>
    </row>
    <row r="63" customFormat="false" ht="12.75" hidden="false" customHeight="false" outlineLevel="0" collapsed="false">
      <c r="A63" s="0" t="s">
        <v>169</v>
      </c>
      <c r="B63" s="0" t="str">
        <f aca="false">IF(ISNA(VLOOKUP(A63,Dedcode,4)),"na",VLOOKUP(A63,Dedcode,4))</f>
        <v>GD</v>
      </c>
      <c r="C63" s="0" t="n">
        <v>0</v>
      </c>
      <c r="D63" s="0" t="n">
        <v>0</v>
      </c>
      <c r="E63" s="0" t="n">
        <f aca="false">C63-ROUND(+C63*(VLOOKUP(B63,cngded,6,FALSE())),0)</f>
        <v>0</v>
      </c>
      <c r="F63" s="0" t="n">
        <f aca="false">D63-ROUND(+D63*(VLOOKUP(B63,cngded,6,FALSE())),0)</f>
        <v>0</v>
      </c>
    </row>
    <row r="64" customFormat="false" ht="12.75" hidden="false" customHeight="false" outlineLevel="0" collapsed="false">
      <c r="A64" s="0" t="s">
        <v>199</v>
      </c>
      <c r="B64" s="0" t="str">
        <f aca="false">IF(ISNA(VLOOKUP(A64,Dedcode,4)),"na",VLOOKUP(A64,Dedcode,4))</f>
        <v>GW</v>
      </c>
      <c r="C64" s="0" t="n">
        <v>0</v>
      </c>
      <c r="D64" s="0" t="n">
        <v>0</v>
      </c>
      <c r="E64" s="0" t="n">
        <f aca="false">C64-ROUND(+C64*(VLOOKUP(B64,cngded,6,FALSE())),0)</f>
        <v>0</v>
      </c>
      <c r="F64" s="0" t="n">
        <f aca="false">D64-ROUND(+D64*(VLOOKUP(B64,cngded,6,FALSE())),0)</f>
        <v>0</v>
      </c>
    </row>
    <row r="65" customFormat="false" ht="12.75" hidden="false" customHeight="false" outlineLevel="0" collapsed="false">
      <c r="A65" s="0" t="s">
        <v>201</v>
      </c>
      <c r="B65" s="0" t="str">
        <f aca="false">IF(ISNA(VLOOKUP(A65,Dedcode,4)),"na",VLOOKUP(A65,Dedcode,4))</f>
        <v>GW</v>
      </c>
      <c r="C65" s="0" t="n">
        <v>0</v>
      </c>
      <c r="D65" s="0" t="n">
        <v>120</v>
      </c>
      <c r="E65" s="0" t="n">
        <f aca="false">C65-ROUND(+C65*(VLOOKUP(B65,cngded,6,FALSE())),0)</f>
        <v>0</v>
      </c>
      <c r="F65" s="0" t="n">
        <f aca="false">D65-ROUND(+D65*(VLOOKUP(B65,cngded,6,FALSE())),0)</f>
        <v>104</v>
      </c>
    </row>
    <row r="66" customFormat="false" ht="12.75" hidden="false" customHeight="false" outlineLevel="0" collapsed="false">
      <c r="A66" s="0" t="s">
        <v>202</v>
      </c>
      <c r="B66" s="0" t="str">
        <f aca="false">IF(ISNA(VLOOKUP(A66,Dedcode,4)),"na",VLOOKUP(A66,Dedcode,4))</f>
        <v>GW</v>
      </c>
      <c r="C66" s="0" t="n">
        <v>0</v>
      </c>
      <c r="D66" s="0" t="n">
        <v>50</v>
      </c>
      <c r="E66" s="0" t="n">
        <f aca="false">C66-ROUND(+C66*(VLOOKUP(B66,cngded,6,FALSE())),0)</f>
        <v>0</v>
      </c>
      <c r="F66" s="0" t="n">
        <f aca="false">D66-ROUND(+D66*(VLOOKUP(B66,cngded,6,FALSE())),0)</f>
        <v>43</v>
      </c>
    </row>
    <row r="67" customFormat="false" ht="12.75" hidden="false" customHeight="false" outlineLevel="0" collapsed="false">
      <c r="A67" s="0" t="s">
        <v>267</v>
      </c>
      <c r="B67" s="0" t="str">
        <f aca="false">IF(ISNA(VLOOKUP(A67,Dedcode,4)),"na",VLOOKUP(A67,Dedcode,4))</f>
        <v>GW</v>
      </c>
      <c r="C67" s="0" t="n">
        <v>16</v>
      </c>
      <c r="D67" s="0" t="n">
        <v>304</v>
      </c>
      <c r="E67" s="0" t="n">
        <f aca="false">C67-ROUND(+C67*(VLOOKUP(B67,cngded,6,FALSE())),0)</f>
        <v>14</v>
      </c>
      <c r="F67" s="0" t="n">
        <f aca="false">D67-ROUND(+D67*(VLOOKUP(B67,cngded,6,FALSE())),0)</f>
        <v>264</v>
      </c>
    </row>
    <row r="68" customFormat="false" ht="12.75" hidden="false" customHeight="false" outlineLevel="0" collapsed="false">
      <c r="A68" s="0" t="s">
        <v>203</v>
      </c>
      <c r="B68" s="0" t="str">
        <f aca="false">IF(ISNA(VLOOKUP(A68,Dedcode,4)),"na",VLOOKUP(A68,Dedcode,4))</f>
        <v>GW</v>
      </c>
      <c r="C68" s="0" t="n">
        <v>0</v>
      </c>
      <c r="D68" s="0" t="n">
        <v>274</v>
      </c>
      <c r="E68" s="0" t="n">
        <f aca="false">C68-ROUND(+C68*(VLOOKUP(B68,cngded,6,FALSE())),0)</f>
        <v>0</v>
      </c>
      <c r="F68" s="0" t="n">
        <f aca="false">D68-ROUND(+D68*(VLOOKUP(B68,cngded,6,FALSE())),0)</f>
        <v>238</v>
      </c>
    </row>
    <row r="69" customFormat="false" ht="12.75" hidden="false" customHeight="false" outlineLevel="0" collapsed="false">
      <c r="A69" s="0" t="s">
        <v>204</v>
      </c>
      <c r="B69" s="0" t="str">
        <f aca="false">IF(ISNA(VLOOKUP(A69,Dedcode,4)),"na",VLOOKUP(A69,Dedcode,4))</f>
        <v>GW</v>
      </c>
      <c r="C69" s="0" t="n">
        <v>0</v>
      </c>
      <c r="D69" s="0" t="n">
        <v>174</v>
      </c>
      <c r="E69" s="0" t="n">
        <f aca="false">C69-ROUND(+C69*(VLOOKUP(B69,cngded,6,FALSE())),0)</f>
        <v>0</v>
      </c>
      <c r="F69" s="0" t="n">
        <f aca="false">D69-ROUND(+D69*(VLOOKUP(B69,cngded,6,FALSE())),0)</f>
        <v>151</v>
      </c>
    </row>
    <row r="70" customFormat="false" ht="12.75" hidden="false" customHeight="false" outlineLevel="0" collapsed="false">
      <c r="A70" s="0" t="s">
        <v>205</v>
      </c>
      <c r="B70" s="0" t="str">
        <f aca="false">IF(ISNA(VLOOKUP(A70,Dedcode,4)),"na",VLOOKUP(A70,Dedcode,4))</f>
        <v>GW</v>
      </c>
      <c r="C70" s="0" t="n">
        <v>0</v>
      </c>
      <c r="D70" s="0" t="n">
        <v>26</v>
      </c>
      <c r="E70" s="0" t="n">
        <f aca="false">C70-ROUND(+C70*(VLOOKUP(B70,cngded,6,FALSE())),0)</f>
        <v>0</v>
      </c>
      <c r="F70" s="0" t="n">
        <f aca="false">D70-ROUND(+D70*(VLOOKUP(B70,cngded,6,FALSE())),0)</f>
        <v>23</v>
      </c>
    </row>
    <row r="71" customFormat="false" ht="12.75" hidden="false" customHeight="false" outlineLevel="0" collapsed="false">
      <c r="A71" s="0" t="s">
        <v>426</v>
      </c>
      <c r="B71" s="0" t="str">
        <f aca="false">IF(ISNA(VLOOKUP(A71,Dedcode,4)),"na",VLOOKUP(A71,Dedcode,4))</f>
        <v>GD</v>
      </c>
      <c r="C71" s="0" t="n">
        <v>6</v>
      </c>
      <c r="D71" s="0" t="n">
        <v>23</v>
      </c>
      <c r="E71" s="0" t="n">
        <f aca="false">C71-ROUND(+C71*(VLOOKUP(B71,cngded,6,FALSE())),0)</f>
        <v>5</v>
      </c>
      <c r="F71" s="0" t="n">
        <f aca="false">D71-ROUND(+D71*(VLOOKUP(B71,cngded,6,FALSE())),0)</f>
        <v>21</v>
      </c>
    </row>
    <row r="72" customFormat="false" ht="12.75" hidden="false" customHeight="false" outlineLevel="0" collapsed="false">
      <c r="A72" s="0" t="s">
        <v>206</v>
      </c>
      <c r="B72" s="0" t="str">
        <f aca="false">IF(ISNA(VLOOKUP(A72,Dedcode,4)),"na",VLOOKUP(A72,Dedcode,4))</f>
        <v>GW</v>
      </c>
      <c r="C72" s="0" t="n">
        <v>0</v>
      </c>
      <c r="D72" s="0" t="n">
        <v>235</v>
      </c>
      <c r="E72" s="0" t="n">
        <f aca="false">C72-ROUND(+C72*(VLOOKUP(B72,cngded,6,FALSE())),0)</f>
        <v>0</v>
      </c>
      <c r="F72" s="0" t="n">
        <f aca="false">D72-ROUND(+D72*(VLOOKUP(B72,cngded,6,FALSE())),0)</f>
        <v>204</v>
      </c>
    </row>
    <row r="73" customFormat="false" ht="12.75" hidden="false" customHeight="false" outlineLevel="0" collapsed="false">
      <c r="A73" s="0" t="s">
        <v>339</v>
      </c>
      <c r="B73" s="0" t="str">
        <f aca="false">IF(ISNA(VLOOKUP(A73,Dedcode,4)),"na",VLOOKUP(A73,Dedcode,4))</f>
        <v>GW</v>
      </c>
      <c r="C73" s="0" t="n">
        <v>62</v>
      </c>
      <c r="D73" s="0" t="n">
        <v>9</v>
      </c>
      <c r="E73" s="0" t="n">
        <f aca="false">C73-ROUND(+C73*(VLOOKUP(B73,cngded,6,FALSE())),0)</f>
        <v>54</v>
      </c>
      <c r="F73" s="0" t="n">
        <f aca="false">D73-ROUND(+D73*(VLOOKUP(B73,cngded,6,FALSE())),0)</f>
        <v>8</v>
      </c>
    </row>
    <row r="74" customFormat="false" ht="12.75" hidden="false" customHeight="false" outlineLevel="0" collapsed="false">
      <c r="A74" s="0" t="s">
        <v>207</v>
      </c>
      <c r="B74" s="0" t="str">
        <f aca="false">IF(ISNA(VLOOKUP(A74,Dedcode,4)),"na",VLOOKUP(A74,Dedcode,4))</f>
        <v>GW</v>
      </c>
      <c r="C74" s="0" t="n">
        <v>0</v>
      </c>
      <c r="D74" s="0" t="n">
        <v>232</v>
      </c>
      <c r="E74" s="0" t="n">
        <f aca="false">C74-ROUND(+C74*(VLOOKUP(B74,cngded,6,FALSE())),0)</f>
        <v>0</v>
      </c>
      <c r="F74" s="0" t="n">
        <f aca="false">D74-ROUND(+D74*(VLOOKUP(B74,cngded,6,FALSE())),0)</f>
        <v>201</v>
      </c>
    </row>
    <row r="75" customFormat="false" ht="12.75" hidden="false" customHeight="false" outlineLevel="0" collapsed="false">
      <c r="A75" s="0" t="s">
        <v>208</v>
      </c>
      <c r="B75" s="0" t="str">
        <f aca="false">IF(ISNA(VLOOKUP(A75,Dedcode,4)),"na",VLOOKUP(A75,Dedcode,4))</f>
        <v>GW</v>
      </c>
      <c r="C75" s="0" t="n">
        <v>0</v>
      </c>
      <c r="D75" s="0" t="n">
        <v>219</v>
      </c>
      <c r="E75" s="0" t="n">
        <f aca="false">C75-ROUND(+C75*(VLOOKUP(B75,cngded,6,FALSE())),0)</f>
        <v>0</v>
      </c>
      <c r="F75" s="0" t="n">
        <f aca="false">D75-ROUND(+D75*(VLOOKUP(B75,cngded,6,FALSE())),0)</f>
        <v>190</v>
      </c>
    </row>
    <row r="76" customFormat="false" ht="12.75" hidden="false" customHeight="false" outlineLevel="0" collapsed="false">
      <c r="A76" s="0" t="s">
        <v>209</v>
      </c>
      <c r="B76" s="0" t="str">
        <f aca="false">IF(ISNA(VLOOKUP(A76,Dedcode,4)),"na",VLOOKUP(A76,Dedcode,4))</f>
        <v>GW</v>
      </c>
      <c r="C76" s="0" t="n">
        <v>0</v>
      </c>
      <c r="D76" s="0" t="n">
        <v>445</v>
      </c>
      <c r="E76" s="0" t="n">
        <f aca="false">C76-ROUND(+C76*(VLOOKUP(B76,cngded,6,FALSE())),0)</f>
        <v>0</v>
      </c>
      <c r="F76" s="0" t="n">
        <f aca="false">D76-ROUND(+D76*(VLOOKUP(B76,cngded,6,FALSE())),0)</f>
        <v>386</v>
      </c>
    </row>
    <row r="77" customFormat="false" ht="12.75" hidden="false" customHeight="false" outlineLevel="0" collapsed="false">
      <c r="A77" s="0" t="s">
        <v>403</v>
      </c>
      <c r="B77" s="0" t="str">
        <f aca="false">IF(ISNA(VLOOKUP(A77,Dedcode,4)),"na",VLOOKUP(A77,Dedcode,4))</f>
        <v>GW</v>
      </c>
      <c r="C77" s="0" t="n">
        <v>42</v>
      </c>
      <c r="D77" s="0" t="n">
        <v>630</v>
      </c>
      <c r="E77" s="0" t="n">
        <f aca="false">C77-ROUND(+C77*(VLOOKUP(B77,cngded,6,FALSE())),0)</f>
        <v>36</v>
      </c>
      <c r="F77" s="0" t="n">
        <f aca="false">D77-ROUND(+D77*(VLOOKUP(B77,cngded,6,FALSE())),0)</f>
        <v>547</v>
      </c>
    </row>
    <row r="78" customFormat="false" ht="12.75" hidden="false" customHeight="false" outlineLevel="0" collapsed="false">
      <c r="A78" s="0" t="s">
        <v>132</v>
      </c>
      <c r="B78" s="0" t="str">
        <f aca="false">IF(ISNA(VLOOKUP(A78,Dedcode,4)),"na",VLOOKUP(A78,Dedcode,4))</f>
        <v>GD</v>
      </c>
      <c r="C78" s="0" t="n">
        <v>8</v>
      </c>
      <c r="D78" s="0" t="n">
        <v>63</v>
      </c>
      <c r="E78" s="0" t="n">
        <f aca="false">C78-ROUND(+C78*(VLOOKUP(B78,cngded,6,FALSE())),0)</f>
        <v>7</v>
      </c>
      <c r="F78" s="0" t="n">
        <f aca="false">D78-ROUND(+D78*(VLOOKUP(B78,cngded,6,FALSE())),0)</f>
        <v>57</v>
      </c>
    </row>
    <row r="79" customFormat="false" ht="12.75" hidden="false" customHeight="false" outlineLevel="0" collapsed="false">
      <c r="A79" s="0" t="s">
        <v>133</v>
      </c>
      <c r="B79" s="0" t="str">
        <f aca="false">IF(ISNA(VLOOKUP(A79,Dedcode,4)),"na",VLOOKUP(A79,Dedcode,4))</f>
        <v>GW</v>
      </c>
      <c r="C79" s="0" t="n">
        <v>6</v>
      </c>
      <c r="D79" s="0" t="n">
        <v>48</v>
      </c>
      <c r="E79" s="0" t="n">
        <f aca="false">C79-ROUND(+C79*(VLOOKUP(B79,cngded,6,FALSE())),0)</f>
        <v>5</v>
      </c>
      <c r="F79" s="0" t="n">
        <f aca="false">D79-ROUND(+D79*(VLOOKUP(B79,cngded,6,FALSE())),0)</f>
        <v>42</v>
      </c>
    </row>
    <row r="80" customFormat="false" ht="12.75" hidden="false" customHeight="false" outlineLevel="0" collapsed="false">
      <c r="A80" s="0" t="s">
        <v>172</v>
      </c>
      <c r="B80" s="0" t="str">
        <f aca="false">IF(ISNA(VLOOKUP(A80,Dedcode,4)),"na",VLOOKUP(A80,Dedcode,4))</f>
        <v>GD</v>
      </c>
      <c r="C80" s="0" t="n">
        <v>10</v>
      </c>
      <c r="D80" s="0" t="n">
        <v>145</v>
      </c>
      <c r="E80" s="0" t="n">
        <f aca="false">C80-ROUND(+C80*(VLOOKUP(B80,cngded,6,FALSE())),0)</f>
        <v>9</v>
      </c>
      <c r="F80" s="0" t="n">
        <f aca="false">D80-ROUND(+D80*(VLOOKUP(B80,cngded,6,FALSE())),0)</f>
        <v>131</v>
      </c>
    </row>
    <row r="81" customFormat="false" ht="12.75" hidden="false" customHeight="false" outlineLevel="0" collapsed="false">
      <c r="A81" s="0" t="s">
        <v>134</v>
      </c>
      <c r="B81" s="0" t="str">
        <f aca="false">IF(ISNA(VLOOKUP(A81,Dedcode,4)),"na",VLOOKUP(A81,Dedcode,4))</f>
        <v>GD</v>
      </c>
      <c r="C81" s="0" t="n">
        <v>4</v>
      </c>
      <c r="D81" s="0" t="n">
        <v>36</v>
      </c>
      <c r="E81" s="0" t="n">
        <f aca="false">C81-ROUND(+C81*(VLOOKUP(B81,cngded,6,FALSE())),0)</f>
        <v>4</v>
      </c>
      <c r="F81" s="0" t="n">
        <f aca="false">D81-ROUND(+D81*(VLOOKUP(B81,cngded,6,FALSE())),0)</f>
        <v>33</v>
      </c>
    </row>
    <row r="82" customFormat="false" ht="12.75" hidden="false" customHeight="false" outlineLevel="0" collapsed="false">
      <c r="A82" s="0" t="s">
        <v>135</v>
      </c>
      <c r="B82" s="0" t="str">
        <f aca="false">IF(ISNA(VLOOKUP(A82,Dedcode,4)),"na",VLOOKUP(A82,Dedcode,4))</f>
        <v>GD</v>
      </c>
      <c r="C82" s="0" t="n">
        <v>8</v>
      </c>
      <c r="D82" s="0" t="n">
        <v>68</v>
      </c>
      <c r="E82" s="0" t="n">
        <f aca="false">C82-ROUND(+C82*(VLOOKUP(B82,cngded,6,FALSE())),0)</f>
        <v>7</v>
      </c>
      <c r="F82" s="0" t="n">
        <f aca="false">D82-ROUND(+D82*(VLOOKUP(B82,cngded,6,FALSE())),0)</f>
        <v>62</v>
      </c>
    </row>
    <row r="83" customFormat="false" ht="12.75" hidden="false" customHeight="false" outlineLevel="0" collapsed="false">
      <c r="A83" s="0" t="s">
        <v>137</v>
      </c>
      <c r="B83" s="0" t="str">
        <f aca="false">IF(ISNA(VLOOKUP(A83,Dedcode,4)),"na",VLOOKUP(A83,Dedcode,4))</f>
        <v>GD</v>
      </c>
      <c r="C83" s="0" t="n">
        <v>2</v>
      </c>
      <c r="D83" s="0" t="n">
        <v>12</v>
      </c>
      <c r="E83" s="0" t="n">
        <f aca="false">C83-ROUND(+C83*(VLOOKUP(B83,cngded,6,FALSE())),0)</f>
        <v>2</v>
      </c>
      <c r="F83" s="0" t="n">
        <f aca="false">D83-ROUND(+D83*(VLOOKUP(B83,cngded,6,FALSE())),0)</f>
        <v>11</v>
      </c>
    </row>
    <row r="84" customFormat="false" ht="12.75" hidden="false" customHeight="false" outlineLevel="0" collapsed="false">
      <c r="A84" s="0" t="s">
        <v>445</v>
      </c>
      <c r="B84" s="0" t="str">
        <f aca="false">IF(ISNA(VLOOKUP(A84,Dedcode,4)),"na",VLOOKUP(A84,Dedcode,4))</f>
        <v>GD</v>
      </c>
      <c r="C84" s="0" t="n">
        <v>0</v>
      </c>
      <c r="D84" s="0" t="n">
        <v>0</v>
      </c>
      <c r="E84" s="0" t="n">
        <f aca="false">C84-ROUND(+C84*(VLOOKUP(B84,cngded,6,FALSE())),0)</f>
        <v>0</v>
      </c>
      <c r="F84" s="0" t="n">
        <f aca="false">D84-ROUND(+D84*(VLOOKUP(B84,cngded,6,FALSE())),0)</f>
        <v>0</v>
      </c>
    </row>
    <row r="85" customFormat="false" ht="12.75" hidden="false" customHeight="false" outlineLevel="0" collapsed="false">
      <c r="A85" s="0" t="s">
        <v>331</v>
      </c>
      <c r="B85" s="0" t="str">
        <f aca="false">IF(ISNA(VLOOKUP(A85,Dedcode,4)),"na",VLOOKUP(A85,Dedcode,4))</f>
        <v>GD</v>
      </c>
      <c r="C85" s="0" t="n">
        <v>58</v>
      </c>
      <c r="D85" s="0" t="n">
        <v>746</v>
      </c>
      <c r="E85" s="0" t="n">
        <f aca="false">C85-ROUND(+C85*(VLOOKUP(B85,cngded,6,FALSE())),0)</f>
        <v>53</v>
      </c>
      <c r="F85" s="0" t="n">
        <f aca="false">D85-ROUND(+D85*(VLOOKUP(B85,cngded,6,FALSE())),0)</f>
        <v>676</v>
      </c>
    </row>
    <row r="86" customFormat="false" ht="12.75" hidden="false" customHeight="false" outlineLevel="0" collapsed="false">
      <c r="A86" s="0" t="s">
        <v>332</v>
      </c>
      <c r="B86" s="0" t="str">
        <f aca="false">IF(ISNA(VLOOKUP(A86,Dedcode,4)),"na",VLOOKUP(A86,Dedcode,4))</f>
        <v>GD</v>
      </c>
      <c r="C86" s="0" t="n">
        <v>18</v>
      </c>
      <c r="D86" s="0" t="n">
        <v>137</v>
      </c>
      <c r="E86" s="0" t="n">
        <f aca="false">C86-ROUND(+C86*(VLOOKUP(B86,cngded,6,FALSE())),0)</f>
        <v>16</v>
      </c>
      <c r="F86" s="0" t="n">
        <f aca="false">D86-ROUND(+D86*(VLOOKUP(B86,cngded,6,FALSE())),0)</f>
        <v>124</v>
      </c>
    </row>
    <row r="87" customFormat="false" ht="12.75" hidden="false" customHeight="false" outlineLevel="0" collapsed="false">
      <c r="A87" s="0" t="s">
        <v>146</v>
      </c>
      <c r="B87" s="0" t="str">
        <f aca="false">IF(ISNA(VLOOKUP(A87,Dedcode,4)),"na",VLOOKUP(A87,Dedcode,4))</f>
        <v>GW</v>
      </c>
      <c r="C87" s="0" t="n">
        <v>6</v>
      </c>
      <c r="D87" s="0" t="n">
        <v>75</v>
      </c>
      <c r="E87" s="0" t="n">
        <f aca="false">C87-ROUND(+C87*(VLOOKUP(B87,cngded,6,FALSE())),0)</f>
        <v>5</v>
      </c>
      <c r="F87" s="0" t="n">
        <f aca="false">D87-ROUND(+D87*(VLOOKUP(B87,cngded,6,FALSE())),0)</f>
        <v>65</v>
      </c>
    </row>
    <row r="88" customFormat="false" ht="12.75" hidden="false" customHeight="false" outlineLevel="0" collapsed="false">
      <c r="A88" s="0" t="s">
        <v>399</v>
      </c>
      <c r="B88" s="0" t="str">
        <f aca="false">IF(ISNA(VLOOKUP(A88,Dedcode,4)),"na",VLOOKUP(A88,Dedcode,4))</f>
        <v>GW</v>
      </c>
      <c r="C88" s="0" t="n">
        <v>50</v>
      </c>
      <c r="D88" s="0" t="n">
        <v>512</v>
      </c>
      <c r="E88" s="0" t="n">
        <f aca="false">C88-ROUND(+C88*(VLOOKUP(B88,cngded,6,FALSE())),0)</f>
        <v>43</v>
      </c>
      <c r="F88" s="0" t="n">
        <f aca="false">D88-ROUND(+D88*(VLOOKUP(B88,cngded,6,FALSE())),0)</f>
        <v>444</v>
      </c>
    </row>
    <row r="89" customFormat="false" ht="12.75" hidden="false" customHeight="false" outlineLevel="0" collapsed="false">
      <c r="A89" s="0" t="s">
        <v>433</v>
      </c>
      <c r="B89" s="0" t="str">
        <f aca="false">IF(ISNA(VLOOKUP(A89,Dedcode,4)),"na",VLOOKUP(A89,Dedcode,4))</f>
        <v>GW</v>
      </c>
      <c r="C89" s="0" t="n">
        <v>20</v>
      </c>
      <c r="D89" s="0" t="n">
        <v>160</v>
      </c>
      <c r="E89" s="0" t="n">
        <f aca="false">C89-ROUND(+C89*(VLOOKUP(B89,cngded,6,FALSE())),0)</f>
        <v>17</v>
      </c>
      <c r="F89" s="0" t="n">
        <f aca="false">D89-ROUND(+D89*(VLOOKUP(B89,cngded,6,FALSE())),0)</f>
        <v>139</v>
      </c>
    </row>
    <row r="90" customFormat="false" ht="12.75" hidden="false" customHeight="false" outlineLevel="0" collapsed="false">
      <c r="A90" s="0" t="s">
        <v>123</v>
      </c>
      <c r="B90" s="0" t="str">
        <f aca="false">IF(ISNA(VLOOKUP(A90,Dedcode,4)),"na",VLOOKUP(A90,Dedcode,4))</f>
        <v>GW</v>
      </c>
      <c r="C90" s="0" t="n">
        <v>8</v>
      </c>
      <c r="D90" s="0" t="n">
        <v>109</v>
      </c>
      <c r="E90" s="0" t="n">
        <f aca="false">C90-ROUND(+C90*(VLOOKUP(B90,cngded,6,FALSE())),0)</f>
        <v>7</v>
      </c>
      <c r="F90" s="0" t="n">
        <f aca="false">D90-ROUND(+D90*(VLOOKUP(B90,cngded,6,FALSE())),0)</f>
        <v>95</v>
      </c>
    </row>
    <row r="91" customFormat="false" ht="12.75" hidden="false" customHeight="false" outlineLevel="0" collapsed="false">
      <c r="A91" s="0" t="s">
        <v>367</v>
      </c>
      <c r="B91" s="0" t="str">
        <f aca="false">IF(ISNA(VLOOKUP(A91,Dedcode,4)),"na",VLOOKUP(A91,Dedcode,4))</f>
        <v>GW</v>
      </c>
      <c r="C91" s="0" t="n">
        <v>26</v>
      </c>
      <c r="D91" s="0" t="n">
        <v>104</v>
      </c>
      <c r="E91" s="0" t="n">
        <f aca="false">C91-ROUND(+C91*(VLOOKUP(B91,cngded,6,FALSE())),0)</f>
        <v>23</v>
      </c>
      <c r="F91" s="0" t="n">
        <f aca="false">D91-ROUND(+D91*(VLOOKUP(B91,cngded,6,FALSE())),0)</f>
        <v>90</v>
      </c>
    </row>
    <row r="92" customFormat="false" ht="12.75" hidden="false" customHeight="false" outlineLevel="0" collapsed="false">
      <c r="A92" s="0" t="s">
        <v>277</v>
      </c>
      <c r="B92" s="0" t="str">
        <f aca="false">IF(ISNA(VLOOKUP(A92,Dedcode,4)),"na",VLOOKUP(A92,Dedcode,4))</f>
        <v>GW</v>
      </c>
      <c r="C92" s="0" t="n">
        <v>394</v>
      </c>
      <c r="D92" s="0" t="n">
        <v>2961</v>
      </c>
      <c r="E92" s="0" t="n">
        <f aca="false">C92-ROUND(+C92*(VLOOKUP(B92,cngded,6,FALSE())),0)</f>
        <v>342</v>
      </c>
      <c r="F92" s="0" t="n">
        <f aca="false">D92-ROUND(+D92*(VLOOKUP(B92,cngded,6,FALSE())),0)</f>
        <v>2569</v>
      </c>
    </row>
    <row r="93" customFormat="false" ht="12.75" hidden="false" customHeight="false" outlineLevel="0" collapsed="false">
      <c r="A93" s="0" t="s">
        <v>279</v>
      </c>
      <c r="B93" s="0" t="str">
        <f aca="false">IF(ISNA(VLOOKUP(A93,Dedcode,4)),"na",VLOOKUP(A93,Dedcode,4))</f>
        <v>GW</v>
      </c>
      <c r="C93" s="0" t="n">
        <v>294</v>
      </c>
      <c r="D93" s="0" t="n">
        <v>1445</v>
      </c>
      <c r="E93" s="0" t="n">
        <f aca="false">C93-ROUND(+C93*(VLOOKUP(B93,cngded,6,FALSE())),0)</f>
        <v>255</v>
      </c>
      <c r="F93" s="0" t="n">
        <f aca="false">D93-ROUND(+D93*(VLOOKUP(B93,cngded,6,FALSE())),0)</f>
        <v>1254</v>
      </c>
    </row>
    <row r="94" customFormat="false" ht="12.75" hidden="false" customHeight="false" outlineLevel="0" collapsed="false">
      <c r="A94" s="0" t="s">
        <v>280</v>
      </c>
      <c r="B94" s="0" t="str">
        <f aca="false">IF(ISNA(VLOOKUP(A94,Dedcode,4)),"na",VLOOKUP(A94,Dedcode,4))</f>
        <v>GW</v>
      </c>
      <c r="C94" s="0" t="n">
        <v>74</v>
      </c>
      <c r="D94" s="0" t="n">
        <v>670</v>
      </c>
      <c r="E94" s="0" t="n">
        <f aca="false">C94-ROUND(+C94*(VLOOKUP(B94,cngded,6,FALSE())),0)</f>
        <v>64</v>
      </c>
      <c r="F94" s="0" t="n">
        <f aca="false">D94-ROUND(+D94*(VLOOKUP(B94,cngded,6,FALSE())),0)</f>
        <v>581</v>
      </c>
    </row>
    <row r="95" customFormat="false" ht="12.75" hidden="false" customHeight="false" outlineLevel="0" collapsed="false">
      <c r="A95" s="0" t="s">
        <v>281</v>
      </c>
      <c r="B95" s="0" t="str">
        <f aca="false">IF(ISNA(VLOOKUP(A95,Dedcode,4)),"na",VLOOKUP(A95,Dedcode,4))</f>
        <v>GW</v>
      </c>
      <c r="C95" s="0" t="n">
        <v>182</v>
      </c>
      <c r="D95" s="0" t="n">
        <v>1088</v>
      </c>
      <c r="E95" s="0" t="n">
        <f aca="false">C95-ROUND(+C95*(VLOOKUP(B95,cngded,6,FALSE())),0)</f>
        <v>158</v>
      </c>
      <c r="F95" s="0" t="n">
        <f aca="false">D95-ROUND(+D95*(VLOOKUP(B95,cngded,6,FALSE())),0)</f>
        <v>944</v>
      </c>
    </row>
    <row r="96" customFormat="false" ht="12.75" hidden="false" customHeight="false" outlineLevel="0" collapsed="false">
      <c r="A96" s="0" t="s">
        <v>168</v>
      </c>
      <c r="B96" s="0" t="str">
        <f aca="false">IF(ISNA(VLOOKUP(A96,Dedcode,4)),"na",VLOOKUP(A96,Dedcode,4))</f>
        <v>GW</v>
      </c>
      <c r="C96" s="0" t="n">
        <v>10</v>
      </c>
      <c r="D96" s="0" t="n">
        <v>117</v>
      </c>
      <c r="E96" s="0" t="n">
        <f aca="false">C96-ROUND(+C96*(VLOOKUP(B96,cngded,6,FALSE())),0)</f>
        <v>9</v>
      </c>
      <c r="F96" s="0" t="n">
        <f aca="false">D96-ROUND(+D96*(VLOOKUP(B96,cngded,6,FALSE())),0)</f>
        <v>101</v>
      </c>
    </row>
    <row r="97" customFormat="false" ht="12.75" hidden="false" customHeight="false" outlineLevel="0" collapsed="false">
      <c r="A97" s="0" t="s">
        <v>289</v>
      </c>
      <c r="B97" s="0" t="str">
        <f aca="false">IF(ISNA(VLOOKUP(A97,Dedcode,4)),"na",VLOOKUP(A97,Dedcode,4))</f>
        <v>GW</v>
      </c>
      <c r="C97" s="0" t="n">
        <v>11</v>
      </c>
      <c r="D97" s="0" t="n">
        <v>0</v>
      </c>
      <c r="E97" s="0" t="n">
        <f aca="false">C97-ROUND(+C97*(VLOOKUP(B97,cngded,6,FALSE())),0)</f>
        <v>10</v>
      </c>
      <c r="F97" s="0" t="n">
        <f aca="false">D97-ROUND(+D97*(VLOOKUP(B97,cngded,6,FALSE())),0)</f>
        <v>0</v>
      </c>
    </row>
    <row r="98" customFormat="false" ht="12.75" hidden="false" customHeight="false" outlineLevel="0" collapsed="false">
      <c r="A98" s="0" t="s">
        <v>291</v>
      </c>
      <c r="B98" s="0" t="str">
        <f aca="false">IF(ISNA(VLOOKUP(A98,Dedcode,4)),"na",VLOOKUP(A98,Dedcode,4))</f>
        <v>GW</v>
      </c>
      <c r="C98" s="0" t="n">
        <v>22</v>
      </c>
      <c r="D98" s="0" t="n">
        <v>-2</v>
      </c>
      <c r="E98" s="0" t="n">
        <f aca="false">C98-ROUND(+C98*(VLOOKUP(B98,cngded,6,FALSE())),0)</f>
        <v>19</v>
      </c>
      <c r="F98" s="0" t="n">
        <f aca="false">D98-ROUND(+D98*(VLOOKUP(B98,cngded,6,FALSE())),0)</f>
        <v>-2</v>
      </c>
    </row>
    <row r="99" customFormat="false" ht="12.75" hidden="false" customHeight="false" outlineLevel="0" collapsed="false">
      <c r="A99" s="0" t="s">
        <v>244</v>
      </c>
      <c r="B99" s="0" t="str">
        <f aca="false">IF(ISNA(VLOOKUP(A99,Dedcode,4)),"na",VLOOKUP(A99,Dedcode,4))</f>
        <v>GW</v>
      </c>
      <c r="C99" s="0" t="n">
        <v>20</v>
      </c>
      <c r="D99" s="0" t="n">
        <v>149</v>
      </c>
      <c r="E99" s="0" t="n">
        <f aca="false">C99-ROUND(+C99*(VLOOKUP(B99,cngded,6,FALSE())),0)</f>
        <v>17</v>
      </c>
      <c r="F99" s="0" t="n">
        <f aca="false">D99-ROUND(+D99*(VLOOKUP(B99,cngded,6,FALSE())),0)</f>
        <v>129</v>
      </c>
    </row>
    <row r="100" customFormat="false" ht="12.75" hidden="false" customHeight="false" outlineLevel="0" collapsed="false">
      <c r="A100" s="0" t="s">
        <v>407</v>
      </c>
      <c r="B100" s="0" t="str">
        <f aca="false">IF(ISNA(VLOOKUP(A100,Dedcode,4)),"na",VLOOKUP(A100,Dedcode,4))</f>
        <v>GW</v>
      </c>
      <c r="C100" s="0" t="n">
        <v>0</v>
      </c>
      <c r="D100" s="0" t="n">
        <v>0</v>
      </c>
      <c r="E100" s="0" t="n">
        <f aca="false">C100-ROUND(+C100*(VLOOKUP(B100,cngded,6,FALSE())),0)</f>
        <v>0</v>
      </c>
      <c r="F100" s="0" t="n">
        <f aca="false">D100-ROUND(+D100*(VLOOKUP(B100,cngded,6,FALSE())),0)</f>
        <v>0</v>
      </c>
    </row>
    <row r="101" customFormat="false" ht="12.75" hidden="false" customHeight="false" outlineLevel="0" collapsed="false">
      <c r="A101" s="0" t="s">
        <v>409</v>
      </c>
      <c r="B101" s="0" t="str">
        <f aca="false">IF(ISNA(VLOOKUP(A101,Dedcode,4)),"na",VLOOKUP(A101,Dedcode,4))</f>
        <v>TW</v>
      </c>
      <c r="C101" s="0" t="n">
        <v>0</v>
      </c>
      <c r="D101" s="0" t="n">
        <v>0</v>
      </c>
      <c r="E101" s="0" t="n">
        <f aca="false">C101-ROUND(+C101*(VLOOKUP(B101,cngded,6,FALSE())),0)</f>
        <v>0</v>
      </c>
      <c r="F101" s="0" t="n">
        <f aca="false">D101-ROUND(+D101*(VLOOKUP(B101,cngded,6,FALSE())),0)</f>
        <v>0</v>
      </c>
    </row>
    <row r="102" customFormat="false" ht="12.75" hidden="false" customHeight="false" outlineLevel="0" collapsed="false">
      <c r="A102" s="0" t="s">
        <v>121</v>
      </c>
      <c r="B102" s="0" t="str">
        <f aca="false">IF(ISNA(VLOOKUP(A102,Dedcode,4)),"na",VLOOKUP(A102,Dedcode,4))</f>
        <v>GW</v>
      </c>
      <c r="C102" s="0" t="n">
        <v>20</v>
      </c>
      <c r="D102" s="0" t="n">
        <v>223</v>
      </c>
      <c r="E102" s="0" t="n">
        <f aca="false">C102-ROUND(+C102*(VLOOKUP(B102,cngded,6,FALSE())),0)</f>
        <v>17</v>
      </c>
      <c r="F102" s="0" t="n">
        <f aca="false">D102-ROUND(+D102*(VLOOKUP(B102,cngded,6,FALSE())),0)</f>
        <v>193</v>
      </c>
    </row>
    <row r="103" customFormat="false" ht="12.75" hidden="false" customHeight="false" outlineLevel="0" collapsed="false">
      <c r="A103" s="0" t="s">
        <v>119</v>
      </c>
      <c r="B103" s="0" t="str">
        <f aca="false">IF(ISNA(VLOOKUP(A103,Dedcode,4)),"na",VLOOKUP(A103,Dedcode,4))</f>
        <v>GW</v>
      </c>
      <c r="C103" s="0" t="n">
        <v>10</v>
      </c>
      <c r="D103" s="0" t="n">
        <v>198</v>
      </c>
      <c r="E103" s="0" t="n">
        <f aca="false">C103-ROUND(+C103*(VLOOKUP(B103,cngded,6,FALSE())),0)</f>
        <v>9</v>
      </c>
      <c r="F103" s="0" t="n">
        <f aca="false">D103-ROUND(+D103*(VLOOKUP(B103,cngded,6,FALSE())),0)</f>
        <v>172</v>
      </c>
    </row>
    <row r="104" customFormat="false" ht="12.75" hidden="false" customHeight="false" outlineLevel="0" collapsed="false">
      <c r="A104" s="0" t="s">
        <v>242</v>
      </c>
      <c r="B104" s="0" t="str">
        <f aca="false">IF(ISNA(VLOOKUP(A104,Dedcode,4)),"na",VLOOKUP(A104,Dedcode,4))</f>
        <v>GW</v>
      </c>
      <c r="C104" s="0" t="n">
        <v>12</v>
      </c>
      <c r="D104" s="0" t="n">
        <v>84</v>
      </c>
      <c r="E104" s="0" t="n">
        <f aca="false">C104-ROUND(+C104*(VLOOKUP(B104,cngded,6,FALSE())),0)</f>
        <v>10</v>
      </c>
      <c r="F104" s="0" t="n">
        <f aca="false">D104-ROUND(+D104*(VLOOKUP(B104,cngded,6,FALSE())),0)</f>
        <v>73</v>
      </c>
    </row>
    <row r="105" customFormat="false" ht="12.75" hidden="false" customHeight="false" outlineLevel="0" collapsed="false">
      <c r="A105" s="0" t="s">
        <v>95</v>
      </c>
      <c r="B105" s="0" t="str">
        <f aca="false">IF(ISNA(VLOOKUP(A105,Dedcode,4)),"na",VLOOKUP(A105,Dedcode,4))</f>
        <v>GD</v>
      </c>
      <c r="C105" s="0" t="n">
        <v>0</v>
      </c>
      <c r="D105" s="0" t="n">
        <v>0</v>
      </c>
      <c r="E105" s="0" t="n">
        <f aca="false">C105-ROUND(+C105*(VLOOKUP(B105,cngded,6,FALSE())),0)</f>
        <v>0</v>
      </c>
      <c r="F105" s="0" t="n">
        <f aca="false">D105-ROUND(+D105*(VLOOKUP(B105,cngded,6,FALSE())),0)</f>
        <v>0</v>
      </c>
    </row>
    <row r="106" customFormat="false" ht="12.75" hidden="false" customHeight="false" outlineLevel="0" collapsed="false">
      <c r="A106" s="0" t="s">
        <v>22</v>
      </c>
      <c r="B106" s="0" t="str">
        <f aca="false">IF(ISNA(VLOOKUP(A106,Dedcode,4)),"na",VLOOKUP(A106,Dedcode,4))</f>
        <v>GW</v>
      </c>
      <c r="C106" s="0" t="n">
        <v>156</v>
      </c>
      <c r="D106" s="0" t="n">
        <v>0</v>
      </c>
      <c r="E106" s="0" t="n">
        <f aca="false">C106-ROUND(+C106*(VLOOKUP(B106,cngded,6,FALSE())),0)</f>
        <v>135</v>
      </c>
      <c r="F106" s="0" t="n">
        <f aca="false">D106-ROUND(+D106*(VLOOKUP(B106,cngded,6,FALSE())),0)</f>
        <v>0</v>
      </c>
    </row>
    <row r="107" customFormat="false" ht="12.75" hidden="false" customHeight="false" outlineLevel="0" collapsed="false">
      <c r="A107" s="0" t="s">
        <v>333</v>
      </c>
      <c r="B107" s="0" t="str">
        <f aca="false">IF(ISNA(VLOOKUP(A107,Dedcode,4)),"na",VLOOKUP(A107,Dedcode,4))</f>
        <v>GW</v>
      </c>
      <c r="C107" s="0" t="n">
        <v>3</v>
      </c>
      <c r="D107" s="0" t="n">
        <v>0</v>
      </c>
      <c r="E107" s="0" t="n">
        <f aca="false">C107-ROUND(+C107*(VLOOKUP(B107,cngded,6,FALSE())),0)</f>
        <v>3</v>
      </c>
      <c r="F107" s="0" t="n">
        <f aca="false">D107-ROUND(+D107*(VLOOKUP(B107,cngded,6,FALSE())),0)</f>
        <v>0</v>
      </c>
    </row>
    <row r="108" customFormat="false" ht="12.75" hidden="false" customHeight="false" outlineLevel="0" collapsed="false">
      <c r="A108" s="0" t="s">
        <v>138</v>
      </c>
      <c r="B108" s="0" t="str">
        <f aca="false">IF(ISNA(VLOOKUP(A108,Dedcode,4)),"na",VLOOKUP(A108,Dedcode,4))</f>
        <v>GW</v>
      </c>
      <c r="C108" s="0" t="n">
        <v>26</v>
      </c>
      <c r="D108" s="0" t="n">
        <v>29</v>
      </c>
      <c r="E108" s="0" t="n">
        <f aca="false">C108-ROUND(+C108*(VLOOKUP(B108,cngded,6,FALSE())),0)</f>
        <v>23</v>
      </c>
      <c r="F108" s="0" t="n">
        <f aca="false">D108-ROUND(+D108*(VLOOKUP(B108,cngded,6,FALSE())),0)</f>
        <v>25</v>
      </c>
    </row>
    <row r="109" customFormat="false" ht="12.75" hidden="false" customHeight="false" outlineLevel="0" collapsed="false">
      <c r="A109" s="0" t="s">
        <v>140</v>
      </c>
      <c r="B109" s="0" t="str">
        <f aca="false">IF(ISNA(VLOOKUP(A109,Dedcode,4)),"na",VLOOKUP(A109,Dedcode,4))</f>
        <v>GW</v>
      </c>
      <c r="C109" s="0" t="n">
        <v>30</v>
      </c>
      <c r="D109" s="0" t="n">
        <v>216</v>
      </c>
      <c r="E109" s="0" t="n">
        <f aca="false">C109-ROUND(+C109*(VLOOKUP(B109,cngded,6,FALSE())),0)</f>
        <v>26</v>
      </c>
      <c r="F109" s="0" t="n">
        <f aca="false">D109-ROUND(+D109*(VLOOKUP(B109,cngded,6,FALSE())),0)</f>
        <v>187</v>
      </c>
    </row>
    <row r="110" customFormat="false" ht="12.75" hidden="false" customHeight="false" outlineLevel="0" collapsed="false">
      <c r="A110" s="0" t="s">
        <v>55</v>
      </c>
      <c r="B110" s="0" t="str">
        <f aca="false">IF(ISNA(VLOOKUP(A110,Dedcode,4)),"na",VLOOKUP(A110,Dedcode,4))</f>
        <v>GW</v>
      </c>
      <c r="C110" s="0" t="n">
        <v>2</v>
      </c>
      <c r="D110" s="0" t="n">
        <v>8</v>
      </c>
      <c r="E110" s="0" t="n">
        <f aca="false">C110-ROUND(+C110*(VLOOKUP(B110,cngded,6,FALSE())),0)</f>
        <v>2</v>
      </c>
      <c r="F110" s="0" t="n">
        <f aca="false">D110-ROUND(+D110*(VLOOKUP(B110,cngded,6,FALSE())),0)</f>
        <v>7</v>
      </c>
    </row>
    <row r="111" customFormat="false" ht="12.75" hidden="false" customHeight="false" outlineLevel="0" collapsed="false">
      <c r="A111" s="0" t="s">
        <v>56</v>
      </c>
      <c r="B111" s="0" t="str">
        <f aca="false">IF(ISNA(VLOOKUP(A111,Dedcode,4)),"na",VLOOKUP(A111,Dedcode,4))</f>
        <v>GW</v>
      </c>
      <c r="C111" s="0" t="n">
        <v>0</v>
      </c>
      <c r="D111" s="0" t="n">
        <v>0</v>
      </c>
      <c r="E111" s="0" t="n">
        <f aca="false">C111-ROUND(+C111*(VLOOKUP(B111,cngded,6,FALSE())),0)</f>
        <v>0</v>
      </c>
      <c r="F111" s="0" t="n">
        <f aca="false">D111-ROUND(+D111*(VLOOKUP(B111,cngded,6,FALSE())),0)</f>
        <v>0</v>
      </c>
    </row>
    <row r="112" customFormat="false" ht="12.75" hidden="false" customHeight="false" outlineLevel="0" collapsed="false">
      <c r="A112" s="0" t="s">
        <v>58</v>
      </c>
      <c r="B112" s="0" t="str">
        <f aca="false">IF(ISNA(VLOOKUP(A112,Dedcode,4)),"na",VLOOKUP(A112,Dedcode,4))</f>
        <v>GW</v>
      </c>
      <c r="C112" s="0" t="n">
        <v>0</v>
      </c>
      <c r="D112" s="0" t="n">
        <v>0</v>
      </c>
      <c r="E112" s="0" t="n">
        <f aca="false">C112-ROUND(+C112*(VLOOKUP(B112,cngded,6,FALSE())),0)</f>
        <v>0</v>
      </c>
      <c r="F112" s="0" t="n">
        <f aca="false">D112-ROUND(+D112*(VLOOKUP(B112,cngded,6,FALSE())),0)</f>
        <v>0</v>
      </c>
    </row>
    <row r="113" customFormat="false" ht="12.75" hidden="false" customHeight="false" outlineLevel="0" collapsed="false">
      <c r="A113" s="0" t="s">
        <v>59</v>
      </c>
      <c r="B113" s="0" t="str">
        <f aca="false">IF(ISNA(VLOOKUP(A113,Dedcode,4)),"na",VLOOKUP(A113,Dedcode,4))</f>
        <v>GW</v>
      </c>
      <c r="C113" s="0" t="n">
        <v>0</v>
      </c>
      <c r="D113" s="0" t="n">
        <v>0</v>
      </c>
      <c r="E113" s="0" t="n">
        <f aca="false">C113-ROUND(+C113*(VLOOKUP(B113,cngded,6,FALSE())),0)</f>
        <v>0</v>
      </c>
      <c r="F113" s="0" t="n">
        <f aca="false">D113-ROUND(+D113*(VLOOKUP(B113,cngded,6,FALSE())),0)</f>
        <v>0</v>
      </c>
    </row>
    <row r="114" customFormat="false" ht="12.75" hidden="false" customHeight="false" outlineLevel="0" collapsed="false">
      <c r="A114" s="0" t="s">
        <v>57</v>
      </c>
      <c r="B114" s="0" t="str">
        <f aca="false">IF(ISNA(VLOOKUP(A114,Dedcode,4)),"na",VLOOKUP(A114,Dedcode,4))</f>
        <v>GW</v>
      </c>
      <c r="C114" s="0" t="n">
        <v>10</v>
      </c>
      <c r="D114" s="0" t="n">
        <v>121</v>
      </c>
      <c r="E114" s="0" t="n">
        <f aca="false">C114-ROUND(+C114*(VLOOKUP(B114,cngded,6,FALSE())),0)</f>
        <v>9</v>
      </c>
      <c r="F114" s="0" t="n">
        <f aca="false">D114-ROUND(+D114*(VLOOKUP(B114,cngded,6,FALSE())),0)</f>
        <v>105</v>
      </c>
    </row>
    <row r="115" customFormat="false" ht="12.75" hidden="false" customHeight="false" outlineLevel="0" collapsed="false">
      <c r="A115" s="0" t="s">
        <v>60</v>
      </c>
      <c r="B115" s="0" t="str">
        <f aca="false">IF(ISNA(VLOOKUP(A115,Dedcode,4)),"na",VLOOKUP(A115,Dedcode,4))</f>
        <v>GW</v>
      </c>
      <c r="C115" s="0" t="n">
        <v>0</v>
      </c>
      <c r="D115" s="0" t="n">
        <v>0</v>
      </c>
      <c r="E115" s="0" t="n">
        <f aca="false">C115-ROUND(+C115*(VLOOKUP(B115,cngded,6,FALSE())),0)</f>
        <v>0</v>
      </c>
      <c r="F115" s="0" t="n">
        <f aca="false">D115-ROUND(+D115*(VLOOKUP(B115,cngded,6,FALSE())),0)</f>
        <v>0</v>
      </c>
    </row>
    <row r="116" customFormat="false" ht="12.75" hidden="false" customHeight="false" outlineLevel="0" collapsed="false">
      <c r="A116" s="0" t="s">
        <v>52</v>
      </c>
      <c r="B116" s="0" t="str">
        <f aca="false">IF(ISNA(VLOOKUP(A116,Dedcode,4)),"na",VLOOKUP(A116,Dedcode,4))</f>
        <v>TW</v>
      </c>
      <c r="C116" s="0" t="n">
        <v>0</v>
      </c>
      <c r="D116" s="0" t="n">
        <v>0</v>
      </c>
      <c r="E116" s="0" t="n">
        <f aca="false">C116-ROUND(+C116*(VLOOKUP(B116,cngded,6,FALSE())),0)</f>
        <v>0</v>
      </c>
      <c r="F116" s="0" t="n">
        <f aca="false">D116-ROUND(+D116*(VLOOKUP(B116,cngded,6,FALSE())),0)</f>
        <v>0</v>
      </c>
    </row>
    <row r="117" customFormat="false" ht="12.75" hidden="false" customHeight="false" outlineLevel="0" collapsed="false">
      <c r="A117" s="0" t="s">
        <v>62</v>
      </c>
      <c r="B117" s="0" t="str">
        <f aca="false">IF(ISNA(VLOOKUP(A117,Dedcode,4)),"na",VLOOKUP(A117,Dedcode,4))</f>
        <v>GW</v>
      </c>
      <c r="C117" s="0" t="n">
        <v>0</v>
      </c>
      <c r="D117" s="0" t="n">
        <v>0</v>
      </c>
      <c r="E117" s="0" t="n">
        <f aca="false">C117-ROUND(+C117*(VLOOKUP(B117,cngded,6,FALSE())),0)</f>
        <v>0</v>
      </c>
      <c r="F117" s="0" t="n">
        <f aca="false">D117-ROUND(+D117*(VLOOKUP(B117,cngded,6,FALSE())),0)</f>
        <v>0</v>
      </c>
    </row>
    <row r="118" customFormat="false" ht="12.75" hidden="false" customHeight="false" outlineLevel="0" collapsed="false">
      <c r="A118" s="0" t="s">
        <v>61</v>
      </c>
      <c r="B118" s="0" t="str">
        <f aca="false">IF(ISNA(VLOOKUP(A118,Dedcode,4)),"na",VLOOKUP(A118,Dedcode,4))</f>
        <v>GW</v>
      </c>
      <c r="C118" s="0" t="n">
        <v>0</v>
      </c>
      <c r="D118" s="0" t="n">
        <v>0</v>
      </c>
      <c r="E118" s="0" t="n">
        <f aca="false">C118-ROUND(+C118*(VLOOKUP(B118,cngded,6,FALSE())),0)</f>
        <v>0</v>
      </c>
      <c r="F118" s="0" t="n">
        <f aca="false">D118-ROUND(+D118*(VLOOKUP(B118,cngded,6,FALSE())),0)</f>
        <v>0</v>
      </c>
    </row>
    <row r="119" customFormat="false" ht="12.75" hidden="false" customHeight="false" outlineLevel="0" collapsed="false">
      <c r="A119" s="0" t="s">
        <v>64</v>
      </c>
      <c r="B119" s="0" t="str">
        <f aca="false">IF(ISNA(VLOOKUP(A119,Dedcode,4)),"na",VLOOKUP(A119,Dedcode,4))</f>
        <v>GW</v>
      </c>
      <c r="C119" s="0" t="n">
        <v>0</v>
      </c>
      <c r="D119" s="0" t="n">
        <v>0</v>
      </c>
      <c r="E119" s="0" t="n">
        <f aca="false">C119-ROUND(+C119*(VLOOKUP(B119,cngded,6,FALSE())),0)</f>
        <v>0</v>
      </c>
      <c r="F119" s="0" t="n">
        <f aca="false">D119-ROUND(+D119*(VLOOKUP(B119,cngded,6,FALSE())),0)</f>
        <v>0</v>
      </c>
    </row>
    <row r="120" customFormat="false" ht="12.75" hidden="false" customHeight="false" outlineLevel="0" collapsed="false">
      <c r="A120" s="0" t="s">
        <v>68</v>
      </c>
      <c r="B120" s="0" t="str">
        <f aca="false">IF(ISNA(VLOOKUP(A120,Dedcode,4)),"na",VLOOKUP(A120,Dedcode,4))</f>
        <v>GW</v>
      </c>
      <c r="C120" s="0" t="n">
        <v>0</v>
      </c>
      <c r="D120" s="0" t="n">
        <v>0</v>
      </c>
      <c r="E120" s="0" t="n">
        <f aca="false">C120-ROUND(+C120*(VLOOKUP(B120,cngded,6,FALSE())),0)</f>
        <v>0</v>
      </c>
      <c r="F120" s="0" t="n">
        <f aca="false">D120-ROUND(+D120*(VLOOKUP(B120,cngded,6,FALSE())),0)</f>
        <v>0</v>
      </c>
    </row>
    <row r="121" customFormat="false" ht="12.75" hidden="false" customHeight="false" outlineLevel="0" collapsed="false">
      <c r="A121" s="0" t="s">
        <v>65</v>
      </c>
      <c r="B121" s="0" t="str">
        <f aca="false">IF(ISNA(VLOOKUP(A121,Dedcode,4)),"na",VLOOKUP(A121,Dedcode,4))</f>
        <v>GW</v>
      </c>
      <c r="C121" s="0" t="n">
        <v>0</v>
      </c>
      <c r="D121" s="0" t="n">
        <v>0</v>
      </c>
      <c r="E121" s="0" t="n">
        <f aca="false">C121-ROUND(+C121*(VLOOKUP(B121,cngded,6,FALSE())),0)</f>
        <v>0</v>
      </c>
      <c r="F121" s="0" t="n">
        <f aca="false">D121-ROUND(+D121*(VLOOKUP(B121,cngded,6,FALSE())),0)</f>
        <v>0</v>
      </c>
    </row>
    <row r="122" customFormat="false" ht="12.75" hidden="false" customHeight="false" outlineLevel="0" collapsed="false">
      <c r="A122" s="0" t="s">
        <v>72</v>
      </c>
      <c r="B122" s="0" t="str">
        <f aca="false">IF(ISNA(VLOOKUP(A122,Dedcode,4)),"na",VLOOKUP(A122,Dedcode,4))</f>
        <v>GW</v>
      </c>
      <c r="C122" s="0" t="n">
        <v>0</v>
      </c>
      <c r="D122" s="0" t="n">
        <v>0</v>
      </c>
      <c r="E122" s="0" t="n">
        <f aca="false">C122-ROUND(+C122*(VLOOKUP(B122,cngded,6,FALSE())),0)</f>
        <v>0</v>
      </c>
      <c r="F122" s="0" t="n">
        <f aca="false">D122-ROUND(+D122*(VLOOKUP(B122,cngded,6,FALSE())),0)</f>
        <v>0</v>
      </c>
    </row>
    <row r="123" customFormat="false" ht="12.75" hidden="false" customHeight="false" outlineLevel="0" collapsed="false">
      <c r="A123" s="0" t="s">
        <v>50</v>
      </c>
      <c r="B123" s="0" t="str">
        <f aca="false">IF(ISNA(VLOOKUP(A123,Dedcode,4)),"na",VLOOKUP(A123,Dedcode,4))</f>
        <v>GW</v>
      </c>
      <c r="C123" s="0" t="n">
        <v>0</v>
      </c>
      <c r="D123" s="0" t="n">
        <v>0</v>
      </c>
      <c r="E123" s="0" t="n">
        <f aca="false">C123-ROUND(+C123*(VLOOKUP(B123,cngded,6,FALSE())),0)</f>
        <v>0</v>
      </c>
      <c r="F123" s="0" t="n">
        <f aca="false">D123-ROUND(+D123*(VLOOKUP(B123,cngded,6,FALSE())),0)</f>
        <v>0</v>
      </c>
    </row>
    <row r="124" customFormat="false" ht="12.75" hidden="false" customHeight="false" outlineLevel="0" collapsed="false">
      <c r="A124" s="0" t="s">
        <v>66</v>
      </c>
      <c r="B124" s="0" t="str">
        <f aca="false">IF(ISNA(VLOOKUP(A124,Dedcode,4)),"na",VLOOKUP(A124,Dedcode,4))</f>
        <v>GW</v>
      </c>
      <c r="C124" s="0" t="n">
        <v>0</v>
      </c>
      <c r="D124" s="0" t="n">
        <v>0</v>
      </c>
      <c r="E124" s="0" t="n">
        <f aca="false">C124-ROUND(+C124*(VLOOKUP(B124,cngded,6,FALSE())),0)</f>
        <v>0</v>
      </c>
      <c r="F124" s="0" t="n">
        <f aca="false">D124-ROUND(+D124*(VLOOKUP(B124,cngded,6,FALSE())),0)</f>
        <v>0</v>
      </c>
    </row>
    <row r="125" customFormat="false" ht="12.75" hidden="false" customHeight="false" outlineLevel="0" collapsed="false">
      <c r="A125" s="0" t="s">
        <v>67</v>
      </c>
      <c r="B125" s="0" t="str">
        <f aca="false">IF(ISNA(VLOOKUP(A125,Dedcode,4)),"na",VLOOKUP(A125,Dedcode,4))</f>
        <v>GW</v>
      </c>
      <c r="C125" s="0" t="n">
        <v>0</v>
      </c>
      <c r="D125" s="0" t="n">
        <v>0</v>
      </c>
      <c r="E125" s="0" t="n">
        <f aca="false">C125-ROUND(+C125*(VLOOKUP(B125,cngded,6,FALSE())),0)</f>
        <v>0</v>
      </c>
      <c r="F125" s="0" t="n">
        <f aca="false">D125-ROUND(+D125*(VLOOKUP(B125,cngded,6,FALSE())),0)</f>
        <v>0</v>
      </c>
    </row>
    <row r="126" customFormat="false" ht="12.75" hidden="false" customHeight="false" outlineLevel="0" collapsed="false">
      <c r="A126" s="0" t="s">
        <v>80</v>
      </c>
      <c r="B126" s="0" t="str">
        <f aca="false">IF(ISNA(VLOOKUP(A126,Dedcode,4)),"na",VLOOKUP(A126,Dedcode,4))</f>
        <v>GW</v>
      </c>
      <c r="C126" s="0" t="n">
        <v>34</v>
      </c>
      <c r="D126" s="0" t="n">
        <v>24</v>
      </c>
      <c r="E126" s="0" t="n">
        <f aca="false">C126-ROUND(+C126*(VLOOKUP(B126,cngded,6,FALSE())),0)</f>
        <v>29</v>
      </c>
      <c r="F126" s="0" t="n">
        <f aca="false">D126-ROUND(+D126*(VLOOKUP(B126,cngded,6,FALSE())),0)</f>
        <v>21</v>
      </c>
    </row>
    <row r="127" customFormat="false" ht="12.75" hidden="false" customHeight="false" outlineLevel="0" collapsed="false">
      <c r="A127" s="0" t="s">
        <v>141</v>
      </c>
      <c r="B127" s="0" t="str">
        <f aca="false">IF(ISNA(VLOOKUP(A127,Dedcode,4)),"na",VLOOKUP(A127,Dedcode,4))</f>
        <v>GW</v>
      </c>
      <c r="C127" s="0" t="n">
        <v>166</v>
      </c>
      <c r="D127" s="0" t="n">
        <v>166</v>
      </c>
      <c r="E127" s="0" t="n">
        <f aca="false">C127-ROUND(+C127*(VLOOKUP(B127,cngded,6,FALSE())),0)</f>
        <v>144</v>
      </c>
      <c r="F127" s="0" t="n">
        <f aca="false">D127-ROUND(+D127*(VLOOKUP(B127,cngded,6,FALSE())),0)</f>
        <v>144</v>
      </c>
    </row>
    <row r="128" customFormat="false" ht="12.75" hidden="false" customHeight="false" outlineLevel="0" collapsed="false">
      <c r="A128" s="0" t="s">
        <v>338</v>
      </c>
      <c r="B128" s="0" t="str">
        <f aca="false">IF(ISNA(VLOOKUP(A128,Dedcode,4)),"na",VLOOKUP(A128,Dedcode,4))</f>
        <v>GW</v>
      </c>
      <c r="C128" s="0" t="n">
        <v>32</v>
      </c>
      <c r="D128" s="0" t="n">
        <v>0</v>
      </c>
      <c r="E128" s="0" t="n">
        <f aca="false">C128-ROUND(+C128*(VLOOKUP(B128,cngded,6,FALSE())),0)</f>
        <v>28</v>
      </c>
      <c r="F128" s="0" t="n">
        <f aca="false">D128-ROUND(+D128*(VLOOKUP(B128,cngded,6,FALSE())),0)</f>
        <v>0</v>
      </c>
    </row>
    <row r="129" customFormat="false" ht="12.75" hidden="false" customHeight="false" outlineLevel="0" collapsed="false">
      <c r="A129" s="0" t="s">
        <v>350</v>
      </c>
      <c r="B129" s="0" t="str">
        <f aca="false">IF(ISNA(VLOOKUP(A129,Dedcode,4)),"na",VLOOKUP(A129,Dedcode,4))</f>
        <v>GW</v>
      </c>
      <c r="C129" s="0" t="n">
        <v>250</v>
      </c>
      <c r="D129" s="0" t="n">
        <v>250</v>
      </c>
      <c r="E129" s="0" t="n">
        <f aca="false">C129-ROUND(+C129*(VLOOKUP(B129,cngded,6,FALSE())),0)</f>
        <v>217</v>
      </c>
      <c r="F129" s="0" t="n">
        <f aca="false">D129-ROUND(+D129*(VLOOKUP(B129,cngded,6,FALSE())),0)</f>
        <v>217</v>
      </c>
    </row>
    <row r="130" customFormat="false" ht="12.75" hidden="false" customHeight="false" outlineLevel="0" collapsed="false">
      <c r="A130" s="0" t="s">
        <v>352</v>
      </c>
      <c r="B130" s="0" t="str">
        <f aca="false">IF(ISNA(VLOOKUP(A130,Dedcode,4)),"na",VLOOKUP(A130,Dedcode,4))</f>
        <v>GW</v>
      </c>
      <c r="C130" s="0" t="n">
        <v>17</v>
      </c>
      <c r="D130" s="0" t="n">
        <v>229</v>
      </c>
      <c r="E130" s="0" t="n">
        <f aca="false">C130-ROUND(+C130*(VLOOKUP(B130,cngded,6,FALSE())),0)</f>
        <v>15</v>
      </c>
      <c r="F130" s="0" t="n">
        <f aca="false">D130-ROUND(+D130*(VLOOKUP(B130,cngded,6,FALSE())),0)</f>
        <v>199</v>
      </c>
    </row>
    <row r="131" customFormat="false" ht="12.75" hidden="false" customHeight="false" outlineLevel="0" collapsed="false">
      <c r="A131" s="0" t="s">
        <v>354</v>
      </c>
      <c r="B131" s="0" t="str">
        <f aca="false">IF(ISNA(VLOOKUP(A131,Dedcode,4)),"na",VLOOKUP(A131,Dedcode,4))</f>
        <v>GW</v>
      </c>
      <c r="C131" s="0" t="n">
        <v>34</v>
      </c>
      <c r="D131" s="0" t="n">
        <v>48</v>
      </c>
      <c r="E131" s="0" t="n">
        <f aca="false">C131-ROUND(+C131*(VLOOKUP(B131,cngded,6,FALSE())),0)</f>
        <v>29</v>
      </c>
      <c r="F131" s="0" t="n">
        <f aca="false">D131-ROUND(+D131*(VLOOKUP(B131,cngded,6,FALSE())),0)</f>
        <v>42</v>
      </c>
    </row>
    <row r="132" customFormat="false" ht="12.75" hidden="false" customHeight="false" outlineLevel="0" collapsed="false">
      <c r="A132" s="0" t="s">
        <v>355</v>
      </c>
      <c r="B132" s="0" t="str">
        <f aca="false">IF(ISNA(VLOOKUP(A132,Dedcode,4)),"na",VLOOKUP(A132,Dedcode,4))</f>
        <v>GW</v>
      </c>
      <c r="C132" s="0" t="n">
        <v>0</v>
      </c>
      <c r="D132" s="0" t="n">
        <v>0</v>
      </c>
      <c r="E132" s="0" t="n">
        <f aca="false">C132-ROUND(+C132*(VLOOKUP(B132,cngded,6,FALSE())),0)</f>
        <v>0</v>
      </c>
      <c r="F132" s="0" t="n">
        <f aca="false">D132-ROUND(+D132*(VLOOKUP(B132,cngded,6,FALSE())),0)</f>
        <v>0</v>
      </c>
    </row>
    <row r="133" customFormat="false" ht="12.75" hidden="false" customHeight="false" outlineLevel="0" collapsed="false">
      <c r="A133" s="0" t="s">
        <v>353</v>
      </c>
      <c r="B133" s="0" t="str">
        <f aca="false">IF(ISNA(VLOOKUP(A133,Dedcode,4)),"na",VLOOKUP(A133,Dedcode,4))</f>
        <v>GW</v>
      </c>
      <c r="C133" s="0" t="n">
        <v>92</v>
      </c>
      <c r="D133" s="0" t="n">
        <v>427</v>
      </c>
      <c r="E133" s="0" t="n">
        <f aca="false">C133-ROUND(+C133*(VLOOKUP(B133,cngded,6,FALSE())),0)</f>
        <v>80</v>
      </c>
      <c r="F133" s="0" t="n">
        <f aca="false">D133-ROUND(+D133*(VLOOKUP(B133,cngded,6,FALSE())),0)</f>
        <v>370</v>
      </c>
    </row>
    <row r="134" customFormat="false" ht="12.75" hidden="false" customHeight="false" outlineLevel="0" collapsed="false">
      <c r="A134" s="0" t="s">
        <v>401</v>
      </c>
      <c r="B134" s="0" t="str">
        <f aca="false">IF(ISNA(VLOOKUP(A134,Dedcode,4)),"na",VLOOKUP(A134,Dedcode,4))</f>
        <v>GW</v>
      </c>
      <c r="C134" s="0" t="n">
        <v>70</v>
      </c>
      <c r="D134" s="0" t="n">
        <v>557</v>
      </c>
      <c r="E134" s="0" t="n">
        <f aca="false">C134-ROUND(+C134*(VLOOKUP(B134,cngded,6,FALSE())),0)</f>
        <v>61</v>
      </c>
      <c r="F134" s="0" t="n">
        <f aca="false">D134-ROUND(+D134*(VLOOKUP(B134,cngded,6,FALSE())),0)</f>
        <v>483</v>
      </c>
    </row>
    <row r="135" customFormat="false" ht="12.75" hidden="false" customHeight="false" outlineLevel="0" collapsed="false">
      <c r="A135" s="0" t="s">
        <v>78</v>
      </c>
      <c r="B135" s="0" t="str">
        <f aca="false">IF(ISNA(VLOOKUP(A135,Dedcode,4)),"na",VLOOKUP(A135,Dedcode,4))</f>
        <v>GW</v>
      </c>
      <c r="C135" s="0" t="n">
        <v>240</v>
      </c>
      <c r="D135" s="0" t="n">
        <v>1393</v>
      </c>
      <c r="E135" s="0" t="n">
        <f aca="false">C135-ROUND(+C135*(VLOOKUP(B135,cngded,6,FALSE())),0)</f>
        <v>208</v>
      </c>
      <c r="F135" s="0" t="n">
        <f aca="false">D135-ROUND(+D135*(VLOOKUP(B135,cngded,6,FALSE())),0)</f>
        <v>1208</v>
      </c>
    </row>
    <row r="136" customFormat="false" ht="12.75" hidden="false" customHeight="false" outlineLevel="0" collapsed="false">
      <c r="A136" s="0" t="s">
        <v>324</v>
      </c>
      <c r="B136" s="0" t="str">
        <f aca="false">IF(ISNA(VLOOKUP(A136,Dedcode,4)),"na",VLOOKUP(A136,Dedcode,4))</f>
        <v>GW</v>
      </c>
      <c r="C136" s="0" t="n">
        <v>22</v>
      </c>
      <c r="D136" s="0" t="n">
        <v>289</v>
      </c>
      <c r="E136" s="0" t="n">
        <f aca="false">C136-ROUND(+C136*(VLOOKUP(B136,cngded,6,FALSE())),0)</f>
        <v>19</v>
      </c>
      <c r="F136" s="0" t="n">
        <f aca="false">D136-ROUND(+D136*(VLOOKUP(B136,cngded,6,FALSE())),0)</f>
        <v>251</v>
      </c>
    </row>
    <row r="137" customFormat="false" ht="12.75" hidden="false" customHeight="false" outlineLevel="0" collapsed="false">
      <c r="A137" s="0" t="s">
        <v>326</v>
      </c>
      <c r="B137" s="0" t="str">
        <f aca="false">IF(ISNA(VLOOKUP(A137,Dedcode,4)),"na",VLOOKUP(A137,Dedcode,4))</f>
        <v>GW</v>
      </c>
      <c r="C137" s="0" t="n">
        <v>40</v>
      </c>
      <c r="D137" s="0" t="n">
        <v>566</v>
      </c>
      <c r="E137" s="0" t="n">
        <f aca="false">C137-ROUND(+C137*(VLOOKUP(B137,cngded,6,FALSE())),0)</f>
        <v>35</v>
      </c>
      <c r="F137" s="0" t="n">
        <f aca="false">D137-ROUND(+D137*(VLOOKUP(B137,cngded,6,FALSE())),0)</f>
        <v>491</v>
      </c>
    </row>
    <row r="138" customFormat="false" ht="12.75" hidden="false" customHeight="false" outlineLevel="0" collapsed="false">
      <c r="A138" s="0" t="s">
        <v>327</v>
      </c>
      <c r="B138" s="0" t="str">
        <f aca="false">IF(ISNA(VLOOKUP(A138,Dedcode,4)),"na",VLOOKUP(A138,Dedcode,4))</f>
        <v>GW</v>
      </c>
      <c r="C138" s="0" t="n">
        <v>58</v>
      </c>
      <c r="D138" s="0" t="n">
        <v>815</v>
      </c>
      <c r="E138" s="0" t="n">
        <f aca="false">C138-ROUND(+C138*(VLOOKUP(B138,cngded,6,FALSE())),0)</f>
        <v>50</v>
      </c>
      <c r="F138" s="0" t="n">
        <f aca="false">D138-ROUND(+D138*(VLOOKUP(B138,cngded,6,FALSE())),0)</f>
        <v>707</v>
      </c>
    </row>
    <row r="139" customFormat="false" ht="12.75" hidden="false" customHeight="false" outlineLevel="0" collapsed="false">
      <c r="A139" s="0" t="s">
        <v>318</v>
      </c>
      <c r="B139" s="0" t="str">
        <f aca="false">IF(ISNA(VLOOKUP(A139,Dedcode,4)),"na",VLOOKUP(A139,Dedcode,4))</f>
        <v>GW</v>
      </c>
      <c r="C139" s="0" t="n">
        <v>8</v>
      </c>
      <c r="D139" s="0" t="n">
        <v>156</v>
      </c>
      <c r="E139" s="0" t="n">
        <f aca="false">C139-ROUND(+C139*(VLOOKUP(B139,cngded,6,FALSE())),0)</f>
        <v>7</v>
      </c>
      <c r="F139" s="0" t="n">
        <f aca="false">D139-ROUND(+D139*(VLOOKUP(B139,cngded,6,FALSE())),0)</f>
        <v>135</v>
      </c>
    </row>
    <row r="140" customFormat="false" ht="12.75" hidden="false" customHeight="false" outlineLevel="0" collapsed="false">
      <c r="A140" s="0" t="s">
        <v>328</v>
      </c>
      <c r="B140" s="0" t="str">
        <f aca="false">IF(ISNA(VLOOKUP(A140,Dedcode,4)),"na",VLOOKUP(A140,Dedcode,4))</f>
        <v>GW</v>
      </c>
      <c r="C140" s="0" t="n">
        <v>24</v>
      </c>
      <c r="D140" s="0" t="n">
        <v>338</v>
      </c>
      <c r="E140" s="0" t="n">
        <f aca="false">C140-ROUND(+C140*(VLOOKUP(B140,cngded,6,FALSE())),0)</f>
        <v>21</v>
      </c>
      <c r="F140" s="0" t="n">
        <f aca="false">D140-ROUND(+D140*(VLOOKUP(B140,cngded,6,FALSE())),0)</f>
        <v>293</v>
      </c>
    </row>
    <row r="141" customFormat="false" ht="12.75" hidden="false" customHeight="false" outlineLevel="0" collapsed="false">
      <c r="A141" s="0" t="s">
        <v>317</v>
      </c>
      <c r="B141" s="0" t="str">
        <f aca="false">IF(ISNA(VLOOKUP(A141,Dedcode,4)),"na",VLOOKUP(A141,Dedcode,4))</f>
        <v>GW</v>
      </c>
      <c r="C141" s="0" t="n">
        <v>28</v>
      </c>
      <c r="D141" s="0" t="n">
        <v>406</v>
      </c>
      <c r="E141" s="0" t="n">
        <f aca="false">C141-ROUND(+C141*(VLOOKUP(B141,cngded,6,FALSE())),0)</f>
        <v>24</v>
      </c>
      <c r="F141" s="0" t="n">
        <f aca="false">D141-ROUND(+D141*(VLOOKUP(B141,cngded,6,FALSE())),0)</f>
        <v>352</v>
      </c>
    </row>
    <row r="142" customFormat="false" ht="12.75" hidden="false" customHeight="false" outlineLevel="0" collapsed="false">
      <c r="A142" s="0" t="s">
        <v>314</v>
      </c>
      <c r="B142" s="0" t="str">
        <f aca="false">IF(ISNA(VLOOKUP(A142,Dedcode,4)),"na",VLOOKUP(A142,Dedcode,4))</f>
        <v>GW</v>
      </c>
      <c r="C142" s="0" t="n">
        <v>22</v>
      </c>
      <c r="D142" s="0" t="n">
        <v>290</v>
      </c>
      <c r="E142" s="0" t="n">
        <f aca="false">C142-ROUND(+C142*(VLOOKUP(B142,cngded,6,FALSE())),0)</f>
        <v>19</v>
      </c>
      <c r="F142" s="0" t="n">
        <f aca="false">D142-ROUND(+D142*(VLOOKUP(B142,cngded,6,FALSE())),0)</f>
        <v>252</v>
      </c>
    </row>
    <row r="143" customFormat="false" ht="12.75" hidden="false" customHeight="false" outlineLevel="0" collapsed="false">
      <c r="A143" s="0" t="s">
        <v>329</v>
      </c>
      <c r="B143" s="0" t="str">
        <f aca="false">IF(ISNA(VLOOKUP(A143,Dedcode,4)),"na",VLOOKUP(A143,Dedcode,4))</f>
        <v>GW</v>
      </c>
      <c r="C143" s="0" t="n">
        <v>48</v>
      </c>
      <c r="D143" s="0" t="n">
        <v>600</v>
      </c>
      <c r="E143" s="0" t="n">
        <f aca="false">C143-ROUND(+C143*(VLOOKUP(B143,cngded,6,FALSE())),0)</f>
        <v>42</v>
      </c>
      <c r="F143" s="0" t="n">
        <f aca="false">D143-ROUND(+D143*(VLOOKUP(B143,cngded,6,FALSE())),0)</f>
        <v>520</v>
      </c>
    </row>
    <row r="144" customFormat="false" ht="12.75" hidden="false" customHeight="false" outlineLevel="0" collapsed="false">
      <c r="A144" s="0" t="s">
        <v>330</v>
      </c>
      <c r="B144" s="0" t="str">
        <f aca="false">IF(ISNA(VLOOKUP(A144,Dedcode,4)),"na",VLOOKUP(A144,Dedcode,4))</f>
        <v>GW</v>
      </c>
      <c r="C144" s="0" t="n">
        <v>68</v>
      </c>
      <c r="D144" s="0" t="n">
        <v>908</v>
      </c>
      <c r="E144" s="0" t="n">
        <f aca="false">C144-ROUND(+C144*(VLOOKUP(B144,cngded,6,FALSE())),0)</f>
        <v>59</v>
      </c>
      <c r="F144" s="0" t="n">
        <f aca="false">D144-ROUND(+D144*(VLOOKUP(B144,cngded,6,FALSE())),0)</f>
        <v>788</v>
      </c>
    </row>
    <row r="145" customFormat="false" ht="12.75" hidden="false" customHeight="false" outlineLevel="0" collapsed="false">
      <c r="A145" s="0" t="s">
        <v>319</v>
      </c>
      <c r="B145" s="0" t="str">
        <f aca="false">IF(ISNA(VLOOKUP(A145,Dedcode,4)),"na",VLOOKUP(A145,Dedcode,4))</f>
        <v>GW</v>
      </c>
      <c r="C145" s="0" t="n">
        <v>46</v>
      </c>
      <c r="D145" s="0" t="n">
        <v>670</v>
      </c>
      <c r="E145" s="0" t="n">
        <f aca="false">C145-ROUND(+C145*(VLOOKUP(B145,cngded,6,FALSE())),0)</f>
        <v>40</v>
      </c>
      <c r="F145" s="0" t="n">
        <f aca="false">D145-ROUND(+D145*(VLOOKUP(B145,cngded,6,FALSE())),0)</f>
        <v>581</v>
      </c>
    </row>
    <row r="146" customFormat="false" ht="12.75" hidden="false" customHeight="false" outlineLevel="0" collapsed="false">
      <c r="A146" s="0" t="s">
        <v>320</v>
      </c>
      <c r="B146" s="0" t="str">
        <f aca="false">IF(ISNA(VLOOKUP(A146,Dedcode,4)),"na",VLOOKUP(A146,Dedcode,4))</f>
        <v>GW</v>
      </c>
      <c r="C146" s="0" t="n">
        <v>24</v>
      </c>
      <c r="D146" s="0" t="n">
        <v>323</v>
      </c>
      <c r="E146" s="0" t="n">
        <f aca="false">C146-ROUND(+C146*(VLOOKUP(B146,cngded,6,FALSE())),0)</f>
        <v>21</v>
      </c>
      <c r="F146" s="0" t="n">
        <f aca="false">D146-ROUND(+D146*(VLOOKUP(B146,cngded,6,FALSE())),0)</f>
        <v>280</v>
      </c>
    </row>
    <row r="147" customFormat="false" ht="12.75" hidden="false" customHeight="false" outlineLevel="0" collapsed="false">
      <c r="A147" s="0" t="s">
        <v>323</v>
      </c>
      <c r="B147" s="0" t="str">
        <f aca="false">IF(ISNA(VLOOKUP(A147,Dedcode,4)),"na",VLOOKUP(A147,Dedcode,4))</f>
        <v>GW</v>
      </c>
      <c r="C147" s="0" t="n">
        <v>29</v>
      </c>
      <c r="D147" s="0" t="n">
        <v>406</v>
      </c>
      <c r="E147" s="0" t="n">
        <f aca="false">C147-ROUND(+C147*(VLOOKUP(B147,cngded,6,FALSE())),0)</f>
        <v>25</v>
      </c>
      <c r="F147" s="0" t="n">
        <f aca="false">D147-ROUND(+D147*(VLOOKUP(B147,cngded,6,FALSE())),0)</f>
        <v>352</v>
      </c>
    </row>
    <row r="148" customFormat="false" ht="12.75" hidden="false" customHeight="false" outlineLevel="0" collapsed="false">
      <c r="A148" s="0" t="s">
        <v>322</v>
      </c>
      <c r="B148" s="0" t="str">
        <f aca="false">IF(ISNA(VLOOKUP(A148,Dedcode,4)),"na",VLOOKUP(A148,Dedcode,4))</f>
        <v>GW</v>
      </c>
      <c r="C148" s="0" t="n">
        <v>38</v>
      </c>
      <c r="D148" s="0" t="n">
        <v>523</v>
      </c>
      <c r="E148" s="0" t="n">
        <f aca="false">C148-ROUND(+C148*(VLOOKUP(B148,cngded,6,FALSE())),0)</f>
        <v>33</v>
      </c>
      <c r="F148" s="0" t="n">
        <f aca="false">D148-ROUND(+D148*(VLOOKUP(B148,cngded,6,FALSE())),0)</f>
        <v>454</v>
      </c>
    </row>
    <row r="149" customFormat="false" ht="12.75" hidden="false" customHeight="false" outlineLevel="0" collapsed="false">
      <c r="A149" s="0" t="s">
        <v>321</v>
      </c>
      <c r="B149" s="0" t="str">
        <f aca="false">IF(ISNA(VLOOKUP(A149,Dedcode,4)),"na",VLOOKUP(A149,Dedcode,4))</f>
        <v>GW</v>
      </c>
      <c r="C149" s="0" t="n">
        <v>12</v>
      </c>
      <c r="D149" s="0" t="n">
        <v>194</v>
      </c>
      <c r="E149" s="0" t="n">
        <f aca="false">C149-ROUND(+C149*(VLOOKUP(B149,cngded,6,FALSE())),0)</f>
        <v>10</v>
      </c>
      <c r="F149" s="0" t="n">
        <f aca="false">D149-ROUND(+D149*(VLOOKUP(B149,cngded,6,FALSE())),0)</f>
        <v>168</v>
      </c>
    </row>
    <row r="150" customFormat="false" ht="12.75" hidden="false" customHeight="false" outlineLevel="0" collapsed="false">
      <c r="A150" s="0" t="s">
        <v>177</v>
      </c>
      <c r="B150" s="0" t="str">
        <f aca="false">IF(ISNA(VLOOKUP(A150,Dedcode,4)),"na",VLOOKUP(A150,Dedcode,4))</f>
        <v>GD</v>
      </c>
      <c r="C150" s="0" t="n">
        <v>0</v>
      </c>
      <c r="D150" s="0" t="n">
        <v>0</v>
      </c>
      <c r="E150" s="0" t="n">
        <f aca="false">C150-ROUND(+C150*(VLOOKUP(B150,cngded,6,FALSE())),0)</f>
        <v>0</v>
      </c>
      <c r="F150" s="0" t="n">
        <f aca="false">D150-ROUND(+D150*(VLOOKUP(B150,cngded,6,FALSE())),0)</f>
        <v>0</v>
      </c>
    </row>
    <row r="151" customFormat="false" ht="12.75" hidden="false" customHeight="false" outlineLevel="0" collapsed="false">
      <c r="A151" s="0" t="s">
        <v>176</v>
      </c>
      <c r="B151" s="0" t="str">
        <f aca="false">IF(ISNA(VLOOKUP(A151,Dedcode,4)),"na",VLOOKUP(A151,Dedcode,4))</f>
        <v>GD</v>
      </c>
      <c r="C151" s="0" t="n">
        <v>0</v>
      </c>
      <c r="D151" s="0" t="n">
        <v>0</v>
      </c>
      <c r="E151" s="0" t="n">
        <f aca="false">C151-ROUND(+C151*(VLOOKUP(B151,cngded,6,FALSE())),0)</f>
        <v>0</v>
      </c>
      <c r="F151" s="0" t="n">
        <f aca="false">D151-ROUND(+D151*(VLOOKUP(B151,cngded,6,FALSE())),0)</f>
        <v>0</v>
      </c>
    </row>
    <row r="152" customFormat="false" ht="12.75" hidden="false" customHeight="false" outlineLevel="0" collapsed="false">
      <c r="A152" s="0" t="s">
        <v>63</v>
      </c>
      <c r="B152" s="0" t="str">
        <f aca="false">IF(ISNA(VLOOKUP(A152,Dedcode,4)),"na",VLOOKUP(A152,Dedcode,4))</f>
        <v>GW</v>
      </c>
      <c r="C152" s="0" t="n">
        <v>21</v>
      </c>
      <c r="D152" s="0" t="n">
        <v>290</v>
      </c>
      <c r="E152" s="0" t="n">
        <f aca="false">C152-ROUND(+C152*(VLOOKUP(B152,cngded,6,FALSE())),0)</f>
        <v>18</v>
      </c>
      <c r="F152" s="0" t="n">
        <f aca="false">D152-ROUND(+D152*(VLOOKUP(B152,cngded,6,FALSE())),0)</f>
        <v>252</v>
      </c>
    </row>
    <row r="153" customFormat="false" ht="12.75" hidden="false" customHeight="false" outlineLevel="0" collapsed="false">
      <c r="A153" s="0" t="s">
        <v>69</v>
      </c>
      <c r="B153" s="0" t="str">
        <f aca="false">IF(ISNA(VLOOKUP(A153,Dedcode,4)),"na",VLOOKUP(A153,Dedcode,4))</f>
        <v>GW</v>
      </c>
      <c r="C153" s="0" t="n">
        <v>0</v>
      </c>
      <c r="D153" s="0" t="n">
        <v>0</v>
      </c>
      <c r="E153" s="0" t="n">
        <f aca="false">C153-ROUND(+C153*(VLOOKUP(B153,cngded,6,FALSE())),0)</f>
        <v>0</v>
      </c>
      <c r="F153" s="0" t="n">
        <f aca="false">D153-ROUND(+D153*(VLOOKUP(B153,cngded,6,FALSE())),0)</f>
        <v>0</v>
      </c>
    </row>
    <row r="154" customFormat="false" ht="12.75" hidden="false" customHeight="false" outlineLevel="0" collapsed="false">
      <c r="A154" s="0" t="s">
        <v>271</v>
      </c>
      <c r="B154" s="0" t="str">
        <f aca="false">IF(ISNA(VLOOKUP(A154,Dedcode,4)),"na",VLOOKUP(A154,Dedcode,4))</f>
        <v>GW</v>
      </c>
      <c r="C154" s="0" t="n">
        <v>4</v>
      </c>
      <c r="D154" s="0" t="n">
        <v>24</v>
      </c>
      <c r="E154" s="0" t="n">
        <f aca="false">C154-ROUND(+C154*(VLOOKUP(B154,cngded,6,FALSE())),0)</f>
        <v>3</v>
      </c>
      <c r="F154" s="0" t="n">
        <f aca="false">D154-ROUND(+D154*(VLOOKUP(B154,cngded,6,FALSE())),0)</f>
        <v>21</v>
      </c>
    </row>
    <row r="155" customFormat="false" ht="12.75" hidden="false" customHeight="false" outlineLevel="0" collapsed="false">
      <c r="A155" s="0" t="s">
        <v>269</v>
      </c>
      <c r="B155" s="0" t="str">
        <f aca="false">IF(ISNA(VLOOKUP(A155,Dedcode,4)),"na",VLOOKUP(A155,Dedcode,4))</f>
        <v>TW</v>
      </c>
      <c r="C155" s="0" t="n">
        <v>0</v>
      </c>
      <c r="D155" s="0" t="n">
        <v>0</v>
      </c>
      <c r="E155" s="0" t="n">
        <f aca="false">C155-ROUND(+C155*(VLOOKUP(B155,cngded,6,FALSE())),0)</f>
        <v>0</v>
      </c>
      <c r="F155" s="0" t="n">
        <f aca="false">D155-ROUND(+D155*(VLOOKUP(B155,cngded,6,FALSE())),0)</f>
        <v>0</v>
      </c>
    </row>
    <row r="156" customFormat="false" ht="12.75" hidden="false" customHeight="false" outlineLevel="0" collapsed="false">
      <c r="A156" s="0" t="s">
        <v>272</v>
      </c>
      <c r="B156" s="0" t="str">
        <f aca="false">IF(ISNA(VLOOKUP(A156,Dedcode,4)),"na",VLOOKUP(A156,Dedcode,4))</f>
        <v>GW</v>
      </c>
      <c r="C156" s="0" t="n">
        <v>0</v>
      </c>
      <c r="D156" s="0" t="n">
        <v>0</v>
      </c>
      <c r="E156" s="0" t="n">
        <f aca="false">C156-ROUND(+C156*(VLOOKUP(B156,cngded,6,FALSE())),0)</f>
        <v>0</v>
      </c>
      <c r="F156" s="0" t="n">
        <f aca="false">D156-ROUND(+D156*(VLOOKUP(B156,cngded,6,FALSE())),0)</f>
        <v>0</v>
      </c>
    </row>
    <row r="157" customFormat="false" ht="12.75" hidden="false" customHeight="false" outlineLevel="0" collapsed="false">
      <c r="A157" s="0" t="s">
        <v>373</v>
      </c>
      <c r="B157" s="0" t="str">
        <f aca="false">IF(ISNA(VLOOKUP(A157,Dedcode,4)),"na",VLOOKUP(A157,Dedcode,4))</f>
        <v>GW</v>
      </c>
      <c r="C157" s="0" t="n">
        <v>28</v>
      </c>
      <c r="D157" s="0" t="n">
        <v>398</v>
      </c>
      <c r="E157" s="0" t="n">
        <f aca="false">C157-ROUND(+C157*(VLOOKUP(B157,cngded,6,FALSE())),0)</f>
        <v>24</v>
      </c>
      <c r="F157" s="0" t="n">
        <f aca="false">D157-ROUND(+D157*(VLOOKUP(B157,cngded,6,FALSE())),0)</f>
        <v>345</v>
      </c>
    </row>
    <row r="158" customFormat="false" ht="12.75" hidden="false" customHeight="false" outlineLevel="0" collapsed="false">
      <c r="A158" s="0" t="s">
        <v>378</v>
      </c>
      <c r="B158" s="0" t="str">
        <f aca="false">IF(ISNA(VLOOKUP(A158,Dedcode,4)),"na",VLOOKUP(A158,Dedcode,4))</f>
        <v>GW</v>
      </c>
      <c r="C158" s="0" t="n">
        <v>16</v>
      </c>
      <c r="D158" s="0" t="n">
        <v>192</v>
      </c>
      <c r="E158" s="0" t="n">
        <f aca="false">C158-ROUND(+C158*(VLOOKUP(B158,cngded,6,FALSE())),0)</f>
        <v>14</v>
      </c>
      <c r="F158" s="0" t="n">
        <f aca="false">D158-ROUND(+D158*(VLOOKUP(B158,cngded,6,FALSE())),0)</f>
        <v>167</v>
      </c>
    </row>
    <row r="159" customFormat="false" ht="12.75" hidden="false" customHeight="false" outlineLevel="0" collapsed="false">
      <c r="A159" s="0" t="s">
        <v>366</v>
      </c>
      <c r="B159" s="0" t="str">
        <f aca="false">IF(ISNA(VLOOKUP(A159,Dedcode,4)),"na",VLOOKUP(A159,Dedcode,4))</f>
        <v>GW</v>
      </c>
      <c r="C159" s="0" t="n">
        <v>76</v>
      </c>
      <c r="D159" s="0" t="n">
        <v>386</v>
      </c>
      <c r="E159" s="0" t="n">
        <f aca="false">C159-ROUND(+C159*(VLOOKUP(B159,cngded,6,FALSE())),0)</f>
        <v>66</v>
      </c>
      <c r="F159" s="0" t="n">
        <f aca="false">D159-ROUND(+D159*(VLOOKUP(B159,cngded,6,FALSE())),0)</f>
        <v>335</v>
      </c>
    </row>
    <row r="160" customFormat="false" ht="12.75" hidden="false" customHeight="false" outlineLevel="0" collapsed="false">
      <c r="A160" s="0" t="s">
        <v>250</v>
      </c>
      <c r="B160" s="0" t="str">
        <f aca="false">IF(ISNA(VLOOKUP(A160,Dedcode,4)),"na",VLOOKUP(A160,Dedcode,4))</f>
        <v>GW</v>
      </c>
      <c r="C160" s="0" t="n">
        <v>20</v>
      </c>
      <c r="D160" s="0" t="n">
        <v>209</v>
      </c>
      <c r="E160" s="0" t="n">
        <f aca="false">C160-ROUND(+C160*(VLOOKUP(B160,cngded,6,FALSE())),0)</f>
        <v>17</v>
      </c>
      <c r="F160" s="0" t="n">
        <f aca="false">D160-ROUND(+D160*(VLOOKUP(B160,cngded,6,FALSE())),0)</f>
        <v>181</v>
      </c>
    </row>
    <row r="161" customFormat="false" ht="12.75" hidden="false" customHeight="false" outlineLevel="0" collapsed="false">
      <c r="A161" s="0" t="s">
        <v>249</v>
      </c>
      <c r="B161" s="0" t="str">
        <f aca="false">IF(ISNA(VLOOKUP(A161,Dedcode,4)),"na",VLOOKUP(A161,Dedcode,4))</f>
        <v>GW</v>
      </c>
      <c r="C161" s="0" t="n">
        <v>0</v>
      </c>
      <c r="D161" s="0" t="n">
        <v>0</v>
      </c>
      <c r="E161" s="0" t="n">
        <f aca="false">C161-ROUND(+C161*(VLOOKUP(B161,cngded,6,FALSE())),0)</f>
        <v>0</v>
      </c>
      <c r="F161" s="0" t="n">
        <f aca="false">D161-ROUND(+D161*(VLOOKUP(B161,cngded,6,FALSE())),0)</f>
        <v>0</v>
      </c>
    </row>
    <row r="162" customFormat="false" ht="12.75" hidden="false" customHeight="false" outlineLevel="0" collapsed="false">
      <c r="A162" s="0" t="s">
        <v>253</v>
      </c>
      <c r="B162" s="0" t="str">
        <f aca="false">IF(ISNA(VLOOKUP(A162,Dedcode,4)),"na",VLOOKUP(A162,Dedcode,4))</f>
        <v>GW</v>
      </c>
      <c r="C162" s="0" t="n">
        <v>8</v>
      </c>
      <c r="D162" s="0" t="n">
        <v>93</v>
      </c>
      <c r="E162" s="0" t="n">
        <f aca="false">C162-ROUND(+C162*(VLOOKUP(B162,cngded,6,FALSE())),0)</f>
        <v>7</v>
      </c>
      <c r="F162" s="0" t="n">
        <f aca="false">D162-ROUND(+D162*(VLOOKUP(B162,cngded,6,FALSE())),0)</f>
        <v>81</v>
      </c>
    </row>
    <row r="163" customFormat="false" ht="12.75" hidden="false" customHeight="false" outlineLevel="0" collapsed="false">
      <c r="A163" s="0" t="s">
        <v>252</v>
      </c>
      <c r="B163" s="0" t="str">
        <f aca="false">IF(ISNA(VLOOKUP(A163,Dedcode,4)),"na",VLOOKUP(A163,Dedcode,4))</f>
        <v>GW</v>
      </c>
      <c r="C163" s="0" t="n">
        <v>50</v>
      </c>
      <c r="D163" s="0" t="n">
        <v>599</v>
      </c>
      <c r="E163" s="0" t="n">
        <f aca="false">C163-ROUND(+C163*(VLOOKUP(B163,cngded,6,FALSE())),0)</f>
        <v>43</v>
      </c>
      <c r="F163" s="0" t="n">
        <f aca="false">D163-ROUND(+D163*(VLOOKUP(B163,cngded,6,FALSE())),0)</f>
        <v>520</v>
      </c>
    </row>
    <row r="164" customFormat="false" ht="12.75" hidden="false" customHeight="false" outlineLevel="0" collapsed="false">
      <c r="A164" s="0" t="s">
        <v>251</v>
      </c>
      <c r="B164" s="0" t="str">
        <f aca="false">IF(ISNA(VLOOKUP(A164,Dedcode,4)),"na",VLOOKUP(A164,Dedcode,4))</f>
        <v>GW</v>
      </c>
      <c r="C164" s="0" t="n">
        <v>92</v>
      </c>
      <c r="D164" s="0" t="n">
        <v>1242</v>
      </c>
      <c r="E164" s="0" t="n">
        <f aca="false">C164-ROUND(+C164*(VLOOKUP(B164,cngded,6,FALSE())),0)</f>
        <v>80</v>
      </c>
      <c r="F164" s="0" t="n">
        <f aca="false">D164-ROUND(+D164*(VLOOKUP(B164,cngded,6,FALSE())),0)</f>
        <v>1077</v>
      </c>
    </row>
    <row r="165" customFormat="false" ht="12.75" hidden="false" customHeight="false" outlineLevel="0" collapsed="false">
      <c r="A165" s="0" t="s">
        <v>247</v>
      </c>
      <c r="B165" s="0" t="str">
        <f aca="false">IF(ISNA(VLOOKUP(A165,Dedcode,4)),"na",VLOOKUP(A165,Dedcode,4))</f>
        <v>GW</v>
      </c>
      <c r="C165" s="0" t="n">
        <v>30</v>
      </c>
      <c r="D165" s="0" t="n">
        <v>689</v>
      </c>
      <c r="E165" s="0" t="n">
        <f aca="false">C165-ROUND(+C165*(VLOOKUP(B165,cngded,6,FALSE())),0)</f>
        <v>26</v>
      </c>
      <c r="F165" s="0" t="n">
        <f aca="false">D165-ROUND(+D165*(VLOOKUP(B165,cngded,6,FALSE())),0)</f>
        <v>598</v>
      </c>
    </row>
    <row r="166" customFormat="false" ht="12.75" hidden="false" customHeight="false" outlineLevel="0" collapsed="false">
      <c r="A166" s="0" t="s">
        <v>96</v>
      </c>
      <c r="B166" s="0" t="str">
        <f aca="false">IF(ISNA(VLOOKUP(A166,Dedcode,4)),"na",VLOOKUP(A166,Dedcode,4))</f>
        <v>GW</v>
      </c>
      <c r="C166" s="0" t="n">
        <v>208</v>
      </c>
      <c r="D166" s="0" t="n">
        <v>2521</v>
      </c>
      <c r="E166" s="0" t="n">
        <f aca="false">C166-ROUND(+C166*(VLOOKUP(B166,cngded,6,FALSE())),0)</f>
        <v>180</v>
      </c>
      <c r="F166" s="0" t="n">
        <f aca="false">D166-ROUND(+D166*(VLOOKUP(B166,cngded,6,FALSE())),0)</f>
        <v>2187</v>
      </c>
    </row>
    <row r="167" customFormat="false" ht="12.75" hidden="false" customHeight="false" outlineLevel="0" collapsed="false">
      <c r="A167" s="0" t="s">
        <v>376</v>
      </c>
      <c r="B167" s="0" t="str">
        <f aca="false">IF(ISNA(VLOOKUP(A167,Dedcode,4)),"na",VLOOKUP(A167,Dedcode,4))</f>
        <v>GW</v>
      </c>
      <c r="C167" s="0" t="n">
        <v>0</v>
      </c>
      <c r="D167" s="0" t="n">
        <v>0</v>
      </c>
      <c r="E167" s="0" t="n">
        <f aca="false">C167-ROUND(+C167*(VLOOKUP(B167,cngded,6,FALSE())),0)</f>
        <v>0</v>
      </c>
      <c r="F167" s="0" t="n">
        <f aca="false">D167-ROUND(+D167*(VLOOKUP(B167,cngded,6,FALSE())),0)</f>
        <v>0</v>
      </c>
    </row>
    <row r="168" customFormat="false" ht="12.75" hidden="false" customHeight="false" outlineLevel="0" collapsed="false">
      <c r="A168" s="0" t="s">
        <v>198</v>
      </c>
      <c r="B168" s="0" t="str">
        <f aca="false">IF(ISNA(VLOOKUP(A168,Dedcode,4)),"na",VLOOKUP(A168,Dedcode,4))</f>
        <v>GW</v>
      </c>
      <c r="C168" s="0" t="n">
        <v>8</v>
      </c>
      <c r="D168" s="0" t="n">
        <v>61</v>
      </c>
      <c r="E168" s="0" t="n">
        <f aca="false">C168-ROUND(+C168*(VLOOKUP(B168,cngded,6,FALSE())),0)</f>
        <v>7</v>
      </c>
      <c r="F168" s="0" t="n">
        <f aca="false">D168-ROUND(+D168*(VLOOKUP(B168,cngded,6,FALSE())),0)</f>
        <v>53</v>
      </c>
    </row>
    <row r="169" customFormat="false" ht="12.75" hidden="false" customHeight="false" outlineLevel="0" collapsed="false">
      <c r="A169" s="0" t="s">
        <v>76</v>
      </c>
      <c r="B169" s="0" t="str">
        <f aca="false">IF(ISNA(VLOOKUP(A169,Dedcode,4)),"na",VLOOKUP(A169,Dedcode,4))</f>
        <v>GW</v>
      </c>
      <c r="C169" s="0" t="n">
        <v>4</v>
      </c>
      <c r="D169" s="0" t="n">
        <v>47</v>
      </c>
      <c r="E169" s="0" t="n">
        <f aca="false">C169-ROUND(+C169*(VLOOKUP(B169,cngded,6,FALSE())),0)</f>
        <v>3</v>
      </c>
      <c r="F169" s="0" t="n">
        <f aca="false">D169-ROUND(+D169*(VLOOKUP(B169,cngded,6,FALSE())),0)</f>
        <v>41</v>
      </c>
    </row>
    <row r="170" customFormat="false" ht="12.75" hidden="false" customHeight="false" outlineLevel="0" collapsed="false">
      <c r="A170" s="0" t="s">
        <v>441</v>
      </c>
      <c r="B170" s="0" t="str">
        <f aca="false">IF(ISNA(VLOOKUP(A170,Dedcode,4)),"na",VLOOKUP(A170,Dedcode,4))</f>
        <v>GW</v>
      </c>
      <c r="C170" s="0" t="n">
        <v>14</v>
      </c>
      <c r="D170" s="0" t="n">
        <v>197</v>
      </c>
      <c r="E170" s="0" t="n">
        <f aca="false">C170-ROUND(+C170*(VLOOKUP(B170,cngded,6,FALSE())),0)</f>
        <v>12</v>
      </c>
      <c r="F170" s="0" t="n">
        <f aca="false">D170-ROUND(+D170*(VLOOKUP(B170,cngded,6,FALSE())),0)</f>
        <v>171</v>
      </c>
    </row>
    <row r="171" customFormat="false" ht="12.75" hidden="false" customHeight="false" outlineLevel="0" collapsed="false">
      <c r="A171" s="0" t="s">
        <v>232</v>
      </c>
      <c r="B171" s="0" t="str">
        <f aca="false">IF(ISNA(VLOOKUP(A171,Dedcode,4)),"na",VLOOKUP(A171,Dedcode,4))</f>
        <v>GW</v>
      </c>
      <c r="C171" s="0" t="n">
        <v>22</v>
      </c>
      <c r="D171" s="0" t="n">
        <v>317</v>
      </c>
      <c r="E171" s="0" t="n">
        <f aca="false">C171-ROUND(+C171*(VLOOKUP(B171,cngded,6,FALSE())),0)</f>
        <v>19</v>
      </c>
      <c r="F171" s="0" t="n">
        <f aca="false">D171-ROUND(+D171*(VLOOKUP(B171,cngded,6,FALSE())),0)</f>
        <v>275</v>
      </c>
    </row>
    <row r="172" customFormat="false" ht="12.75" hidden="false" customHeight="false" outlineLevel="0" collapsed="false">
      <c r="A172" s="0" t="s">
        <v>439</v>
      </c>
      <c r="B172" s="0" t="str">
        <f aca="false">IF(ISNA(VLOOKUP(A172,Dedcode,4)),"na",VLOOKUP(A172,Dedcode,4))</f>
        <v>GW</v>
      </c>
      <c r="C172" s="0" t="n">
        <v>32</v>
      </c>
      <c r="D172" s="0" t="n">
        <v>411</v>
      </c>
      <c r="E172" s="0" t="n">
        <f aca="false">C172-ROUND(+C172*(VLOOKUP(B172,cngded,6,FALSE())),0)</f>
        <v>28</v>
      </c>
      <c r="F172" s="0" t="n">
        <f aca="false">D172-ROUND(+D172*(VLOOKUP(B172,cngded,6,FALSE())),0)</f>
        <v>357</v>
      </c>
    </row>
    <row r="173" customFormat="false" ht="12.75" hidden="false" customHeight="false" outlineLevel="0" collapsed="false">
      <c r="A173" s="0" t="s">
        <v>295</v>
      </c>
      <c r="B173" s="0" t="str">
        <f aca="false">IF(ISNA(VLOOKUP(A173,Dedcode,4)),"na",VLOOKUP(A173,Dedcode,4))</f>
        <v>GW</v>
      </c>
      <c r="C173" s="0" t="n">
        <v>52</v>
      </c>
      <c r="D173" s="0" t="n">
        <v>151</v>
      </c>
      <c r="E173" s="0" t="n">
        <f aca="false">C173-ROUND(+C173*(VLOOKUP(B173,cngded,6,FALSE())),0)</f>
        <v>45</v>
      </c>
      <c r="F173" s="0" t="n">
        <f aca="false">D173-ROUND(+D173*(VLOOKUP(B173,cngded,6,FALSE())),0)</f>
        <v>131</v>
      </c>
    </row>
    <row r="174" customFormat="false" ht="12.75" hidden="false" customHeight="false" outlineLevel="0" collapsed="false">
      <c r="A174" s="0" t="s">
        <v>282</v>
      </c>
      <c r="B174" s="0" t="str">
        <f aca="false">IF(ISNA(VLOOKUP(A174,Dedcode,4)),"na",VLOOKUP(A174,Dedcode,4))</f>
        <v>GW</v>
      </c>
      <c r="C174" s="0" t="n">
        <v>1086</v>
      </c>
      <c r="D174" s="0" t="n">
        <v>10019</v>
      </c>
      <c r="E174" s="0" t="n">
        <f aca="false">C174-ROUND(+C174*(VLOOKUP(B174,cngded,6,FALSE())),0)</f>
        <v>942</v>
      </c>
      <c r="F174" s="0" t="n">
        <f aca="false">D174-ROUND(+D174*(VLOOKUP(B174,cngded,6,FALSE())),0)</f>
        <v>8691</v>
      </c>
    </row>
    <row r="175" customFormat="false" ht="12.75" hidden="false" customHeight="false" outlineLevel="0" collapsed="false">
      <c r="A175" s="0" t="s">
        <v>412</v>
      </c>
      <c r="B175" s="0" t="str">
        <f aca="false">IF(ISNA(VLOOKUP(A175,Dedcode,4)),"na",VLOOKUP(A175,Dedcode,4))</f>
        <v>GW</v>
      </c>
      <c r="C175" s="0" t="n">
        <v>10</v>
      </c>
      <c r="D175" s="0" t="n">
        <v>118</v>
      </c>
      <c r="E175" s="0" t="n">
        <f aca="false">C175-ROUND(+C175*(VLOOKUP(B175,cngded,6,FALSE())),0)</f>
        <v>9</v>
      </c>
      <c r="F175" s="0" t="n">
        <f aca="false">D175-ROUND(+D175*(VLOOKUP(B175,cngded,6,FALSE())),0)</f>
        <v>102</v>
      </c>
    </row>
    <row r="176" customFormat="false" ht="12.75" hidden="false" customHeight="false" outlineLevel="0" collapsed="false">
      <c r="A176" s="0" t="s">
        <v>292</v>
      </c>
      <c r="B176" s="0" t="str">
        <f aca="false">IF(ISNA(VLOOKUP(A176,Dedcode,4)),"na",VLOOKUP(A176,Dedcode,4))</f>
        <v>TW</v>
      </c>
      <c r="C176" s="0" t="n">
        <v>6</v>
      </c>
      <c r="D176" s="0" t="n">
        <v>0</v>
      </c>
      <c r="E176" s="0" t="n">
        <f aca="false">C176-ROUND(+C176*(VLOOKUP(B176,cngded,6,FALSE())),0)</f>
        <v>6</v>
      </c>
      <c r="F176" s="0" t="n">
        <f aca="false">D176-ROUND(+D176*(VLOOKUP(B176,cngded,6,FALSE())),0)</f>
        <v>0</v>
      </c>
    </row>
    <row r="177" customFormat="false" ht="12.75" hidden="false" customHeight="false" outlineLevel="0" collapsed="false">
      <c r="A177" s="0" t="s">
        <v>294</v>
      </c>
      <c r="B177" s="0" t="str">
        <f aca="false">IF(ISNA(VLOOKUP(A177,Dedcode,4)),"na",VLOOKUP(A177,Dedcode,4))</f>
        <v>GW</v>
      </c>
      <c r="C177" s="0" t="n">
        <v>0</v>
      </c>
      <c r="D177" s="0" t="n">
        <v>0</v>
      </c>
      <c r="E177" s="0" t="n">
        <f aca="false">C177-ROUND(+C177*(VLOOKUP(B177,cngded,6,FALSE())),0)</f>
        <v>0</v>
      </c>
      <c r="F177" s="0" t="n">
        <f aca="false">D177-ROUND(+D177*(VLOOKUP(B177,cngded,6,FALSE())),0)</f>
        <v>0</v>
      </c>
    </row>
    <row r="178" customFormat="false" ht="12.75" hidden="false" customHeight="false" outlineLevel="0" collapsed="false">
      <c r="A178" s="0" t="s">
        <v>316</v>
      </c>
      <c r="B178" s="0" t="str">
        <f aca="false">IF(ISNA(VLOOKUP(A178,Dedcode,4)),"na",VLOOKUP(A178,Dedcode,4))</f>
        <v>GW</v>
      </c>
      <c r="C178" s="0" t="n">
        <v>82</v>
      </c>
      <c r="D178" s="0" t="n">
        <v>1452</v>
      </c>
      <c r="E178" s="0" t="n">
        <f aca="false">C178-ROUND(+C178*(VLOOKUP(B178,cngded,6,FALSE())),0)</f>
        <v>71</v>
      </c>
      <c r="F178" s="0" t="n">
        <f aca="false">D178-ROUND(+D178*(VLOOKUP(B178,cngded,6,FALSE())),0)</f>
        <v>1260</v>
      </c>
    </row>
    <row r="179" customFormat="false" ht="12.75" hidden="false" customHeight="false" outlineLevel="0" collapsed="false">
      <c r="A179" s="0" t="s">
        <v>248</v>
      </c>
      <c r="B179" s="0" t="str">
        <f aca="false">IF(ISNA(VLOOKUP(A179,Dedcode,4)),"na",VLOOKUP(A179,Dedcode,4))</f>
        <v>TW</v>
      </c>
      <c r="C179" s="0" t="n">
        <v>48</v>
      </c>
      <c r="D179" s="0" t="n">
        <v>221</v>
      </c>
      <c r="E179" s="0" t="n">
        <f aca="false">C179-ROUND(+C179*(VLOOKUP(B179,cngded,6,FALSE())),0)</f>
        <v>46</v>
      </c>
      <c r="F179" s="0" t="n">
        <f aca="false">D179-ROUND(+D179*(VLOOKUP(B179,cngded,6,FALSE())),0)</f>
        <v>212</v>
      </c>
    </row>
    <row r="180" customFormat="false" ht="12.75" hidden="false" customHeight="false" outlineLevel="0" collapsed="false">
      <c r="A180" s="0" t="s">
        <v>372</v>
      </c>
      <c r="B180" s="0" t="str">
        <f aca="false">IF(ISNA(VLOOKUP(A180,Dedcode,4)),"na",VLOOKUP(A180,Dedcode,4))</f>
        <v>GW</v>
      </c>
      <c r="C180" s="0" t="n">
        <v>14</v>
      </c>
      <c r="D180" s="0" t="n">
        <v>239</v>
      </c>
      <c r="E180" s="0" t="n">
        <f aca="false">C180-ROUND(+C180*(VLOOKUP(B180,cngded,6,FALSE())),0)</f>
        <v>12</v>
      </c>
      <c r="F180" s="0" t="n">
        <f aca="false">D180-ROUND(+D180*(VLOOKUP(B180,cngded,6,FALSE())),0)</f>
        <v>207</v>
      </c>
    </row>
    <row r="181" customFormat="false" ht="12.75" hidden="false" customHeight="false" outlineLevel="0" collapsed="false">
      <c r="A181" s="0" t="s">
        <v>382</v>
      </c>
      <c r="B181" s="0" t="str">
        <f aca="false">IF(ISNA(VLOOKUP(A181,Dedcode,4)),"na",VLOOKUP(A181,Dedcode,4))</f>
        <v>GW</v>
      </c>
      <c r="C181" s="0" t="n">
        <v>0</v>
      </c>
      <c r="D181" s="0" t="n">
        <v>0</v>
      </c>
      <c r="E181" s="0" t="n">
        <f aca="false">C181-ROUND(+C181*(VLOOKUP(B181,cngded,6,FALSE())),0)</f>
        <v>0</v>
      </c>
      <c r="F181" s="0" t="n">
        <f aca="false">D181-ROUND(+D181*(VLOOKUP(B181,cngded,6,FALSE())),0)</f>
        <v>0</v>
      </c>
    </row>
    <row r="182" customFormat="false" ht="12.75" hidden="false" customHeight="false" outlineLevel="0" collapsed="false">
      <c r="A182" s="0" t="s">
        <v>158</v>
      </c>
      <c r="B182" s="0" t="str">
        <f aca="false">IF(ISNA(VLOOKUP(A182,Dedcode,4)),"na",VLOOKUP(A182,Dedcode,4))</f>
        <v>GW</v>
      </c>
      <c r="C182" s="0" t="n">
        <v>10</v>
      </c>
      <c r="D182" s="0" t="n">
        <v>0</v>
      </c>
      <c r="E182" s="0" t="n">
        <f aca="false">C182-ROUND(+C182*(VLOOKUP(B182,cngded,6,FALSE())),0)</f>
        <v>9</v>
      </c>
      <c r="F182" s="0" t="n">
        <f aca="false">D182-ROUND(+D182*(VLOOKUP(B182,cngded,6,FALSE())),0)</f>
        <v>0</v>
      </c>
    </row>
    <row r="183" customFormat="false" ht="12.75" hidden="false" customHeight="false" outlineLevel="0" collapsed="false">
      <c r="A183" s="0" t="s">
        <v>200</v>
      </c>
      <c r="B183" s="0" t="str">
        <f aca="false">IF(ISNA(VLOOKUP(A183,Dedcode,4)),"na",VLOOKUP(A183,Dedcode,4))</f>
        <v>GW</v>
      </c>
      <c r="C183" s="0" t="n">
        <v>0</v>
      </c>
      <c r="D183" s="0" t="n">
        <v>526</v>
      </c>
      <c r="E183" s="0" t="n">
        <f aca="false">C183-ROUND(+C183*(VLOOKUP(B183,cngded,6,FALSE())),0)</f>
        <v>0</v>
      </c>
      <c r="F183" s="0" t="n">
        <f aca="false">D183-ROUND(+D183*(VLOOKUP(B183,cngded,6,FALSE())),0)</f>
        <v>456</v>
      </c>
    </row>
    <row r="184" customFormat="false" ht="12.75" hidden="false" customHeight="false" outlineLevel="0" collapsed="false">
      <c r="A184" s="0" t="s">
        <v>194</v>
      </c>
      <c r="B184" s="0" t="str">
        <f aca="false">IF(ISNA(VLOOKUP(A184,Dedcode,4)),"na",VLOOKUP(A184,Dedcode,4))</f>
        <v>GW</v>
      </c>
      <c r="C184" s="0" t="n">
        <v>86</v>
      </c>
      <c r="D184" s="0" t="n">
        <v>0</v>
      </c>
      <c r="E184" s="0" t="n">
        <f aca="false">C184-ROUND(+C184*(VLOOKUP(B184,cngded,6,FALSE())),0)</f>
        <v>75</v>
      </c>
      <c r="F184" s="0" t="n">
        <f aca="false">D184-ROUND(+D184*(VLOOKUP(B184,cngded,6,FALSE())),0)</f>
        <v>0</v>
      </c>
    </row>
    <row r="185" customFormat="false" ht="12.75" hidden="false" customHeight="false" outlineLevel="0" collapsed="false">
      <c r="A185" s="0" t="s">
        <v>6</v>
      </c>
      <c r="B185" s="0" t="str">
        <f aca="false">IF(ISNA(VLOOKUP(A185,Dedcode,4)),"na",VLOOKUP(A185,Dedcode,4))</f>
        <v>GW</v>
      </c>
      <c r="C185" s="0" t="n">
        <v>0</v>
      </c>
      <c r="D185" s="0" t="n">
        <v>0</v>
      </c>
      <c r="E185" s="0" t="n">
        <f aca="false">C185-ROUND(+C185*(VLOOKUP(B185,cngded,6,FALSE())),0)</f>
        <v>0</v>
      </c>
      <c r="F185" s="0" t="n">
        <f aca="false">D185-ROUND(+D185*(VLOOKUP(B185,cngded,6,FALSE())),0)</f>
        <v>0</v>
      </c>
    </row>
    <row r="186" customFormat="false" ht="12.75" hidden="false" customHeight="false" outlineLevel="0" collapsed="false">
      <c r="A186" s="0" t="s">
        <v>259</v>
      </c>
      <c r="B186" s="0" t="str">
        <f aca="false">IF(ISNA(VLOOKUP(A186,Dedcode,4)),"na",VLOOKUP(A186,Dedcode,4))</f>
        <v>GW</v>
      </c>
      <c r="C186" s="0" t="n">
        <v>42</v>
      </c>
      <c r="D186" s="0" t="n">
        <v>565</v>
      </c>
      <c r="E186" s="0" t="n">
        <f aca="false">C186-ROUND(+C186*(VLOOKUP(B186,cngded,6,FALSE())),0)</f>
        <v>36</v>
      </c>
      <c r="F186" s="0" t="n">
        <f aca="false">D186-ROUND(+D186*(VLOOKUP(B186,cngded,6,FALSE())),0)</f>
        <v>490</v>
      </c>
    </row>
    <row r="187" customFormat="false" ht="12.75" hidden="false" customHeight="false" outlineLevel="0" collapsed="false">
      <c r="A187" s="0" t="s">
        <v>298</v>
      </c>
      <c r="B187" s="0" t="str">
        <f aca="false">IF(ISNA(VLOOKUP(A187,Dedcode,4)),"na",VLOOKUP(A187,Dedcode,4))</f>
        <v>GW</v>
      </c>
      <c r="C187" s="0" t="n">
        <v>22</v>
      </c>
      <c r="D187" s="0" t="n">
        <v>33</v>
      </c>
      <c r="E187" s="0" t="n">
        <f aca="false">C187-ROUND(+C187*(VLOOKUP(B187,cngded,6,FALSE())),0)</f>
        <v>19</v>
      </c>
      <c r="F187" s="0" t="n">
        <f aca="false">D187-ROUND(+D187*(VLOOKUP(B187,cngded,6,FALSE())),0)</f>
        <v>29</v>
      </c>
    </row>
    <row r="188" customFormat="false" ht="12.75" hidden="false" customHeight="false" outlineLevel="0" collapsed="false">
      <c r="A188" s="0" t="s">
        <v>297</v>
      </c>
      <c r="B188" s="0" t="str">
        <f aca="false">IF(ISNA(VLOOKUP(A188,Dedcode,4)),"na",VLOOKUP(A188,Dedcode,4))</f>
        <v>GW</v>
      </c>
      <c r="C188" s="0" t="n">
        <v>20</v>
      </c>
      <c r="D188" s="0" t="n">
        <v>30</v>
      </c>
      <c r="E188" s="0" t="n">
        <f aca="false">C188-ROUND(+C188*(VLOOKUP(B188,cngded,6,FALSE())),0)</f>
        <v>17</v>
      </c>
      <c r="F188" s="0" t="n">
        <f aca="false">D188-ROUND(+D188*(VLOOKUP(B188,cngded,6,FALSE())),0)</f>
        <v>26</v>
      </c>
    </row>
    <row r="189" customFormat="false" ht="12.75" hidden="false" customHeight="false" outlineLevel="0" collapsed="false">
      <c r="A189" s="0" t="s">
        <v>437</v>
      </c>
      <c r="B189" s="0" t="str">
        <f aca="false">IF(ISNA(VLOOKUP(A189,Dedcode,4)),"na",VLOOKUP(A189,Dedcode,4))</f>
        <v>GD</v>
      </c>
      <c r="C189" s="0" t="n">
        <v>22</v>
      </c>
      <c r="D189" s="0" t="n">
        <v>298</v>
      </c>
      <c r="E189" s="0" t="n">
        <f aca="false">C189-ROUND(+C189*(VLOOKUP(B189,cngded,6,FALSE())),0)</f>
        <v>20</v>
      </c>
      <c r="F189" s="0" t="n">
        <f aca="false">D189-ROUND(+D189*(VLOOKUP(B189,cngded,6,FALSE())),0)</f>
        <v>270</v>
      </c>
    </row>
    <row r="190" customFormat="false" ht="12.75" hidden="false" customHeight="false" outlineLevel="0" collapsed="false">
      <c r="A190" s="0" t="s">
        <v>29</v>
      </c>
      <c r="B190" s="0" t="str">
        <f aca="false">IF(ISNA(VLOOKUP(A190,Dedcode,4)),"na",VLOOKUP(A190,Dedcode,4))</f>
        <v>GW</v>
      </c>
      <c r="C190" s="0" t="n">
        <v>40</v>
      </c>
      <c r="D190" s="0" t="n">
        <v>554</v>
      </c>
      <c r="E190" s="0" t="n">
        <f aca="false">C190-ROUND(+C190*(VLOOKUP(B190,cngded,6,FALSE())),0)</f>
        <v>35</v>
      </c>
      <c r="F190" s="0" t="n">
        <f aca="false">D190-ROUND(+D190*(VLOOKUP(B190,cngded,6,FALSE())),0)</f>
        <v>481</v>
      </c>
    </row>
    <row r="191" customFormat="false" ht="12.75" hidden="false" customHeight="false" outlineLevel="0" collapsed="false">
      <c r="A191" s="0" t="s">
        <v>214</v>
      </c>
      <c r="B191" s="0" t="str">
        <f aca="false">IF(ISNA(VLOOKUP(A191,Dedcode,4)),"na",VLOOKUP(A191,Dedcode,4))</f>
        <v>GD</v>
      </c>
      <c r="C191" s="0" t="n">
        <v>32</v>
      </c>
      <c r="D191" s="0" t="n">
        <v>439</v>
      </c>
      <c r="E191" s="0" t="n">
        <f aca="false">C191-ROUND(+C191*(VLOOKUP(B191,cngded,6,FALSE())),0)</f>
        <v>29</v>
      </c>
      <c r="F191" s="0" t="n">
        <f aca="false">D191-ROUND(+D191*(VLOOKUP(B191,cngded,6,FALSE())),0)</f>
        <v>398</v>
      </c>
    </row>
    <row r="192" customFormat="false" ht="12.75" hidden="false" customHeight="false" outlineLevel="0" collapsed="false">
      <c r="A192" s="0" t="s">
        <v>224</v>
      </c>
      <c r="B192" s="0" t="str">
        <f aca="false">IF(ISNA(VLOOKUP(A192,Dedcode,4)),"na",VLOOKUP(A192,Dedcode,4))</f>
        <v>GW</v>
      </c>
      <c r="C192" s="0" t="n">
        <v>0</v>
      </c>
      <c r="D192" s="0" t="n">
        <v>0</v>
      </c>
      <c r="E192" s="0" t="n">
        <f aca="false">C192-ROUND(+C192*(VLOOKUP(B192,cngded,6,FALSE())),0)</f>
        <v>0</v>
      </c>
      <c r="F192" s="0" t="n">
        <f aca="false">D192-ROUND(+D192*(VLOOKUP(B192,cngded,6,FALSE())),0)</f>
        <v>0</v>
      </c>
    </row>
    <row r="193" customFormat="false" ht="12.75" hidden="false" customHeight="false" outlineLevel="0" collapsed="false">
      <c r="A193" s="0" t="s">
        <v>226</v>
      </c>
      <c r="B193" s="0" t="str">
        <f aca="false">IF(ISNA(VLOOKUP(A193,Dedcode,4)),"na",VLOOKUP(A193,Dedcode,4))</f>
        <v>GW</v>
      </c>
      <c r="C193" s="0" t="n">
        <v>58</v>
      </c>
      <c r="D193" s="0" t="n">
        <v>8</v>
      </c>
      <c r="E193" s="0" t="n">
        <f aca="false">C193-ROUND(+C193*(VLOOKUP(B193,cngded,6,FALSE())),0)</f>
        <v>50</v>
      </c>
      <c r="F193" s="0" t="n">
        <f aca="false">D193-ROUND(+D193*(VLOOKUP(B193,cngded,6,FALSE())),0)</f>
        <v>7</v>
      </c>
    </row>
    <row r="194" customFormat="false" ht="12.75" hidden="false" customHeight="false" outlineLevel="0" collapsed="false">
      <c r="A194" s="0" t="s">
        <v>230</v>
      </c>
      <c r="B194" s="0" t="str">
        <f aca="false">IF(ISNA(VLOOKUP(A194,Dedcode,4)),"na",VLOOKUP(A194,Dedcode,4))</f>
        <v>GW</v>
      </c>
      <c r="C194" s="0" t="n">
        <v>40</v>
      </c>
      <c r="D194" s="0" t="n">
        <v>21</v>
      </c>
      <c r="E194" s="0" t="n">
        <f aca="false">C194-ROUND(+C194*(VLOOKUP(B194,cngded,6,FALSE())),0)</f>
        <v>35</v>
      </c>
      <c r="F194" s="0" t="n">
        <f aca="false">D194-ROUND(+D194*(VLOOKUP(B194,cngded,6,FALSE())),0)</f>
        <v>18</v>
      </c>
    </row>
    <row r="195" customFormat="false" ht="12.75" hidden="false" customHeight="false" outlineLevel="0" collapsed="false">
      <c r="A195" s="0" t="s">
        <v>92</v>
      </c>
      <c r="B195" s="0" t="str">
        <f aca="false">IF(ISNA(VLOOKUP(A195,Dedcode,4)),"na",VLOOKUP(A195,Dedcode,4))</f>
        <v>GW</v>
      </c>
      <c r="C195" s="0" t="n">
        <v>92</v>
      </c>
      <c r="D195" s="0" t="n">
        <v>842</v>
      </c>
      <c r="E195" s="0" t="n">
        <f aca="false">C195-ROUND(+C195*(VLOOKUP(B195,cngded,6,FALSE())),0)</f>
        <v>80</v>
      </c>
      <c r="F195" s="0" t="n">
        <f aca="false">D195-ROUND(+D195*(VLOOKUP(B195,cngded,6,FALSE())),0)</f>
        <v>730</v>
      </c>
    </row>
    <row r="196" customFormat="false" ht="12.75" hidden="false" customHeight="false" outlineLevel="0" collapsed="false">
      <c r="A196" s="0" t="s">
        <v>410</v>
      </c>
      <c r="B196" s="0" t="str">
        <f aca="false">IF(ISNA(VLOOKUP(A196,Dedcode,4)),"na",VLOOKUP(A196,Dedcode,4))</f>
        <v>GW</v>
      </c>
      <c r="C196" s="0" t="n">
        <v>0</v>
      </c>
      <c r="D196" s="0" t="n">
        <v>0</v>
      </c>
      <c r="E196" s="0" t="n">
        <f aca="false">C196-ROUND(+C196*(VLOOKUP(B196,cngded,6,FALSE())),0)</f>
        <v>0</v>
      </c>
      <c r="F196" s="0" t="n">
        <f aca="false">D196-ROUND(+D196*(VLOOKUP(B196,cngded,6,FALSE())),0)</f>
        <v>0</v>
      </c>
    </row>
    <row r="197" customFormat="false" ht="12.75" hidden="false" customHeight="false" outlineLevel="0" collapsed="false">
      <c r="A197" s="0" t="s">
        <v>405</v>
      </c>
      <c r="B197" s="0" t="str">
        <f aca="false">IF(ISNA(VLOOKUP(A197,Dedcode,4)),"na",VLOOKUP(A197,Dedcode,4))</f>
        <v>GW</v>
      </c>
      <c r="C197" s="0" t="n">
        <v>28</v>
      </c>
      <c r="D197" s="0" t="n">
        <v>28</v>
      </c>
      <c r="E197" s="0" t="n">
        <f aca="false">C197-ROUND(+C197*(VLOOKUP(B197,cngded,6,FALSE())),0)</f>
        <v>24</v>
      </c>
      <c r="F197" s="0" t="n">
        <f aca="false">D197-ROUND(+D197*(VLOOKUP(B197,cngded,6,FALSE())),0)</f>
        <v>24</v>
      </c>
    </row>
    <row r="198" customFormat="false" ht="12.75" hidden="false" customHeight="false" outlineLevel="0" collapsed="false">
      <c r="A198" s="0" t="s">
        <v>408</v>
      </c>
      <c r="B198" s="0" t="str">
        <f aca="false">IF(ISNA(VLOOKUP(A198,Dedcode,4)),"na",VLOOKUP(A198,Dedcode,4))</f>
        <v>GW</v>
      </c>
      <c r="C198" s="0" t="n">
        <v>44</v>
      </c>
      <c r="D198" s="0" t="n">
        <v>90</v>
      </c>
      <c r="E198" s="0" t="n">
        <f aca="false">C198-ROUND(+C198*(VLOOKUP(B198,cngded,6,FALSE())),0)</f>
        <v>38</v>
      </c>
      <c r="F198" s="0" t="n">
        <f aca="false">D198-ROUND(+D198*(VLOOKUP(B198,cngded,6,FALSE())),0)</f>
        <v>78</v>
      </c>
    </row>
    <row r="199" customFormat="false" ht="12.75" hidden="false" customHeight="false" outlineLevel="0" collapsed="false">
      <c r="A199" s="0" t="s">
        <v>110</v>
      </c>
      <c r="B199" s="0" t="str">
        <f aca="false">IF(ISNA(VLOOKUP(A199,Dedcode,4)),"na",VLOOKUP(A199,Dedcode,4))</f>
        <v>GW</v>
      </c>
      <c r="C199" s="0" t="n">
        <v>20</v>
      </c>
      <c r="D199" s="0" t="n">
        <v>77</v>
      </c>
      <c r="E199" s="0" t="n">
        <f aca="false">C199-ROUND(+C199*(VLOOKUP(B199,cngded,6,FALSE())),0)</f>
        <v>17</v>
      </c>
      <c r="F199" s="0" t="n">
        <f aca="false">D199-ROUND(+D199*(VLOOKUP(B199,cngded,6,FALSE())),0)</f>
        <v>67</v>
      </c>
    </row>
    <row r="200" customFormat="false" ht="12.75" hidden="false" customHeight="false" outlineLevel="0" collapsed="false">
      <c r="A200" s="0" t="s">
        <v>31</v>
      </c>
      <c r="B200" s="0" t="str">
        <f aca="false">IF(ISNA(VLOOKUP(A200,Dedcode,4)),"na",VLOOKUP(A200,Dedcode,4))</f>
        <v>GW</v>
      </c>
      <c r="C200" s="0" t="n">
        <v>64</v>
      </c>
      <c r="D200" s="0" t="n">
        <v>895</v>
      </c>
      <c r="E200" s="0" t="n">
        <f aca="false">C200-ROUND(+C200*(VLOOKUP(B200,cngded,6,FALSE())),0)</f>
        <v>56</v>
      </c>
      <c r="F200" s="0" t="n">
        <f aca="false">D200-ROUND(+D200*(VLOOKUP(B200,cngded,6,FALSE())),0)</f>
        <v>776</v>
      </c>
    </row>
    <row r="201" customFormat="false" ht="12.75" hidden="false" customHeight="false" outlineLevel="0" collapsed="false">
      <c r="A201" s="0" t="s">
        <v>397</v>
      </c>
      <c r="B201" s="0" t="str">
        <f aca="false">IF(ISNA(VLOOKUP(A201,Dedcode,4)),"na",VLOOKUP(A201,Dedcode,4))</f>
        <v>GW</v>
      </c>
      <c r="C201" s="0" t="n">
        <v>20</v>
      </c>
      <c r="D201" s="0" t="n">
        <v>255</v>
      </c>
      <c r="E201" s="0" t="n">
        <f aca="false">C201-ROUND(+C201*(VLOOKUP(B201,cngded,6,FALSE())),0)</f>
        <v>17</v>
      </c>
      <c r="F201" s="0" t="n">
        <f aca="false">D201-ROUND(+D201*(VLOOKUP(B201,cngded,6,FALSE())),0)</f>
        <v>221</v>
      </c>
    </row>
    <row r="202" customFormat="false" ht="12.75" hidden="false" customHeight="false" outlineLevel="0" collapsed="false">
      <c r="A202" s="0" t="s">
        <v>370</v>
      </c>
      <c r="B202" s="0" t="str">
        <f aca="false">IF(ISNA(VLOOKUP(A202,Dedcode,4)),"na",VLOOKUP(A202,Dedcode,4))</f>
        <v>GW</v>
      </c>
      <c r="C202" s="0" t="n">
        <v>40</v>
      </c>
      <c r="D202" s="0" t="n">
        <v>597</v>
      </c>
      <c r="E202" s="0" t="n">
        <f aca="false">C202-ROUND(+C202*(VLOOKUP(B202,cngded,6,FALSE())),0)</f>
        <v>35</v>
      </c>
      <c r="F202" s="0" t="n">
        <f aca="false">D202-ROUND(+D202*(VLOOKUP(B202,cngded,6,FALSE())),0)</f>
        <v>518</v>
      </c>
    </row>
    <row r="203" customFormat="false" ht="12.75" hidden="false" customHeight="false" outlineLevel="0" collapsed="false">
      <c r="A203" s="0" t="s">
        <v>219</v>
      </c>
      <c r="B203" s="0" t="str">
        <f aca="false">IF(ISNA(VLOOKUP(A203,Dedcode,4)),"na",VLOOKUP(A203,Dedcode,4))</f>
        <v>GW</v>
      </c>
      <c r="C203" s="0" t="n">
        <v>242</v>
      </c>
      <c r="D203" s="0" t="n">
        <v>1039</v>
      </c>
      <c r="E203" s="0" t="n">
        <f aca="false">C203-ROUND(+C203*(VLOOKUP(B203,cngded,6,FALSE())),0)</f>
        <v>210</v>
      </c>
      <c r="F203" s="0" t="n">
        <f aca="false">D203-ROUND(+D203*(VLOOKUP(B203,cngded,6,FALSE())),0)</f>
        <v>901</v>
      </c>
    </row>
    <row r="204" customFormat="false" ht="12.75" hidden="false" customHeight="false" outlineLevel="0" collapsed="false">
      <c r="A204" s="0" t="s">
        <v>220</v>
      </c>
      <c r="B204" s="0" t="str">
        <f aca="false">IF(ISNA(VLOOKUP(A204,Dedcode,4)),"na",VLOOKUP(A204,Dedcode,4))</f>
        <v>GW</v>
      </c>
      <c r="C204" s="0" t="n">
        <v>28</v>
      </c>
      <c r="D204" s="0" t="n">
        <v>258</v>
      </c>
      <c r="E204" s="0" t="n">
        <f aca="false">C204-ROUND(+C204*(VLOOKUP(B204,cngded,6,FALSE())),0)</f>
        <v>24</v>
      </c>
      <c r="F204" s="0" t="n">
        <f aca="false">D204-ROUND(+D204*(VLOOKUP(B204,cngded,6,FALSE())),0)</f>
        <v>224</v>
      </c>
    </row>
    <row r="205" customFormat="false" ht="12.75" hidden="false" customHeight="false" outlineLevel="0" collapsed="false">
      <c r="A205" s="0" t="s">
        <v>216</v>
      </c>
      <c r="B205" s="0" t="str">
        <f aca="false">IF(ISNA(VLOOKUP(A205,Dedcode,4)),"na",VLOOKUP(A205,Dedcode,4))</f>
        <v>GD</v>
      </c>
      <c r="C205" s="0" t="n">
        <v>134</v>
      </c>
      <c r="D205" s="0" t="n">
        <v>596</v>
      </c>
      <c r="E205" s="0" t="n">
        <f aca="false">C205-ROUND(+C205*(VLOOKUP(B205,cngded,6,FALSE())),0)</f>
        <v>121</v>
      </c>
      <c r="F205" s="0" t="n">
        <f aca="false">D205-ROUND(+D205*(VLOOKUP(B205,cngded,6,FALSE())),0)</f>
        <v>540</v>
      </c>
    </row>
    <row r="206" customFormat="false" ht="12.75" hidden="false" customHeight="false" outlineLevel="0" collapsed="false">
      <c r="A206" s="0" t="s">
        <v>374</v>
      </c>
      <c r="B206" s="0" t="str">
        <f aca="false">IF(ISNA(VLOOKUP(A206,Dedcode,4)),"na",VLOOKUP(A206,Dedcode,4))</f>
        <v>TW</v>
      </c>
      <c r="C206" s="0" t="n">
        <v>30</v>
      </c>
      <c r="D206" s="0" t="n">
        <v>425</v>
      </c>
      <c r="E206" s="0" t="n">
        <f aca="false">C206-ROUND(+C206*(VLOOKUP(B206,cngded,6,FALSE())),0)</f>
        <v>29</v>
      </c>
      <c r="F206" s="0" t="n">
        <f aca="false">D206-ROUND(+D206*(VLOOKUP(B206,cngded,6,FALSE())),0)</f>
        <v>408</v>
      </c>
    </row>
    <row r="207" customFormat="false" ht="12.75" hidden="false" customHeight="false" outlineLevel="0" collapsed="false">
      <c r="A207" s="0" t="s">
        <v>381</v>
      </c>
      <c r="B207" s="0" t="str">
        <f aca="false">IF(ISNA(VLOOKUP(A207,Dedcode,4)),"na",VLOOKUP(A207,Dedcode,4))</f>
        <v>GW</v>
      </c>
      <c r="C207" s="0" t="n">
        <v>24</v>
      </c>
      <c r="D207" s="0" t="n">
        <v>280</v>
      </c>
      <c r="E207" s="0" t="n">
        <f aca="false">C207-ROUND(+C207*(VLOOKUP(B207,cngded,6,FALSE())),0)</f>
        <v>21</v>
      </c>
      <c r="F207" s="0" t="n">
        <f aca="false">D207-ROUND(+D207*(VLOOKUP(B207,cngded,6,FALSE())),0)</f>
        <v>243</v>
      </c>
    </row>
    <row r="208" customFormat="false" ht="12.75" hidden="false" customHeight="false" outlineLevel="0" collapsed="false">
      <c r="A208" s="0" t="s">
        <v>221</v>
      </c>
      <c r="B208" s="0" t="str">
        <f aca="false">IF(ISNA(VLOOKUP(A208,Dedcode,4)),"na",VLOOKUP(A208,Dedcode,4))</f>
        <v>GW</v>
      </c>
      <c r="C208" s="0" t="n">
        <v>22</v>
      </c>
      <c r="D208" s="0" t="n">
        <v>105</v>
      </c>
      <c r="E208" s="0" t="n">
        <f aca="false">C208-ROUND(+C208*(VLOOKUP(B208,cngded,6,FALSE())),0)</f>
        <v>19</v>
      </c>
      <c r="F208" s="0" t="n">
        <f aca="false">D208-ROUND(+D208*(VLOOKUP(B208,cngded,6,FALSE())),0)</f>
        <v>91</v>
      </c>
    </row>
    <row r="209" customFormat="false" ht="12.75" hidden="false" customHeight="false" outlineLevel="0" collapsed="false">
      <c r="A209" s="0" t="s">
        <v>222</v>
      </c>
      <c r="B209" s="0" t="str">
        <f aca="false">IF(ISNA(VLOOKUP(A209,Dedcode,4)),"na",VLOOKUP(A209,Dedcode,4))</f>
        <v>GW</v>
      </c>
      <c r="C209" s="0" t="n">
        <v>22</v>
      </c>
      <c r="D209" s="0" t="n">
        <v>13</v>
      </c>
      <c r="E209" s="0" t="n">
        <f aca="false">C209-ROUND(+C209*(VLOOKUP(B209,cngded,6,FALSE())),0)</f>
        <v>19</v>
      </c>
      <c r="F209" s="0" t="n">
        <f aca="false">D209-ROUND(+D209*(VLOOKUP(B209,cngded,6,FALSE())),0)</f>
        <v>11</v>
      </c>
    </row>
    <row r="210" customFormat="false" ht="12.75" hidden="false" customHeight="false" outlineLevel="0" collapsed="false">
      <c r="A210" s="0" t="s">
        <v>225</v>
      </c>
      <c r="B210" s="0" t="str">
        <f aca="false">IF(ISNA(VLOOKUP(A210,Dedcode,4)),"na",VLOOKUP(A210,Dedcode,4))</f>
        <v>GW</v>
      </c>
      <c r="C210" s="0" t="n">
        <v>24</v>
      </c>
      <c r="D210" s="0" t="n">
        <v>301</v>
      </c>
      <c r="E210" s="0" t="n">
        <f aca="false">C210-ROUND(+C210*(VLOOKUP(B210,cngded,6,FALSE())),0)</f>
        <v>21</v>
      </c>
      <c r="F210" s="0" t="n">
        <f aca="false">D210-ROUND(+D210*(VLOOKUP(B210,cngded,6,FALSE())),0)</f>
        <v>261</v>
      </c>
    </row>
    <row r="211" customFormat="false" ht="12.75" hidden="false" customHeight="false" outlineLevel="0" collapsed="false">
      <c r="A211" s="0" t="s">
        <v>223</v>
      </c>
      <c r="B211" s="0" t="str">
        <f aca="false">IF(ISNA(VLOOKUP(A211,Dedcode,4)),"na",VLOOKUP(A211,Dedcode,4))</f>
        <v>GW</v>
      </c>
      <c r="C211" s="0" t="n">
        <v>0</v>
      </c>
      <c r="D211" s="0" t="n">
        <v>0</v>
      </c>
      <c r="E211" s="0" t="n">
        <f aca="false">C211-ROUND(+C211*(VLOOKUP(B211,cngded,6,FALSE())),0)</f>
        <v>0</v>
      </c>
      <c r="F211" s="0" t="n">
        <f aca="false">D211-ROUND(+D211*(VLOOKUP(B211,cngded,6,FALSE())),0)</f>
        <v>0</v>
      </c>
    </row>
    <row r="212" customFormat="false" ht="12.75" hidden="false" customHeight="false" outlineLevel="0" collapsed="false">
      <c r="A212" s="0" t="s">
        <v>228</v>
      </c>
      <c r="B212" s="0" t="str">
        <f aca="false">IF(ISNA(VLOOKUP(A212,Dedcode,4)),"na",VLOOKUP(A212,Dedcode,4))</f>
        <v>GD</v>
      </c>
      <c r="C212" s="0" t="n">
        <v>168</v>
      </c>
      <c r="D212" s="0" t="n">
        <v>172</v>
      </c>
      <c r="E212" s="0" t="n">
        <f aca="false">C212-ROUND(+C212*(VLOOKUP(B212,cngded,6,FALSE())),0)</f>
        <v>152</v>
      </c>
      <c r="F212" s="0" t="n">
        <f aca="false">D212-ROUND(+D212*(VLOOKUP(B212,cngded,6,FALSE())),0)</f>
        <v>156</v>
      </c>
    </row>
    <row r="213" customFormat="false" ht="12.75" hidden="false" customHeight="false" outlineLevel="0" collapsed="false">
      <c r="A213" s="0" t="s">
        <v>395</v>
      </c>
      <c r="B213" s="0" t="str">
        <f aca="false">IF(ISNA(VLOOKUP(A213,Dedcode,4)),"na",VLOOKUP(A213,Dedcode,4))</f>
        <v>GD</v>
      </c>
      <c r="C213" s="0" t="n">
        <v>8</v>
      </c>
      <c r="D213" s="0" t="n">
        <v>93</v>
      </c>
      <c r="E213" s="0" t="n">
        <f aca="false">C213-ROUND(+C213*(VLOOKUP(B213,cngded,6,FALSE())),0)</f>
        <v>7</v>
      </c>
      <c r="F213" s="0" t="n">
        <f aca="false">D213-ROUND(+D213*(VLOOKUP(B213,cngded,6,FALSE())),0)</f>
        <v>84</v>
      </c>
    </row>
    <row r="214" customFormat="false" ht="12.75" hidden="false" customHeight="false" outlineLevel="0" collapsed="false">
      <c r="A214" s="0" t="s">
        <v>18</v>
      </c>
      <c r="B214" s="0" t="str">
        <f aca="false">IF(ISNA(VLOOKUP(A214,Dedcode,4)),"na",VLOOKUP(A214,Dedcode,4))</f>
        <v>GW</v>
      </c>
      <c r="C214" s="0" t="n">
        <v>34</v>
      </c>
      <c r="D214" s="0" t="n">
        <v>407</v>
      </c>
      <c r="E214" s="0" t="n">
        <f aca="false">C214-ROUND(+C214*(VLOOKUP(B214,cngded,6,FALSE())),0)</f>
        <v>29</v>
      </c>
      <c r="F214" s="0" t="n">
        <f aca="false">D214-ROUND(+D214*(VLOOKUP(B214,cngded,6,FALSE())),0)</f>
        <v>353</v>
      </c>
    </row>
    <row r="215" customFormat="false" ht="12.75" hidden="false" customHeight="false" outlineLevel="0" collapsed="false">
      <c r="A215" s="0" t="s">
        <v>229</v>
      </c>
      <c r="B215" s="0" t="str">
        <f aca="false">IF(ISNA(VLOOKUP(A215,Dedcode,4)),"na",VLOOKUP(A215,Dedcode,4))</f>
        <v>GW</v>
      </c>
      <c r="C215" s="0" t="n">
        <v>46</v>
      </c>
      <c r="D215" s="0" t="n">
        <v>260</v>
      </c>
      <c r="E215" s="0" t="n">
        <f aca="false">C215-ROUND(+C215*(VLOOKUP(B215,cngded,6,FALSE())),0)</f>
        <v>40</v>
      </c>
      <c r="F215" s="0" t="n">
        <f aca="false">D215-ROUND(+D215*(VLOOKUP(B215,cngded,6,FALSE())),0)</f>
        <v>226</v>
      </c>
    </row>
    <row r="216" customFormat="false" ht="12.75" hidden="false" customHeight="false" outlineLevel="0" collapsed="false">
      <c r="A216" s="0" t="s">
        <v>296</v>
      </c>
      <c r="B216" s="0" t="str">
        <f aca="false">IF(ISNA(VLOOKUP(A216,Dedcode,4)),"na",VLOOKUP(A216,Dedcode,4))</f>
        <v>GW</v>
      </c>
      <c r="C216" s="0" t="n">
        <v>14</v>
      </c>
      <c r="D216" s="0" t="n">
        <v>124</v>
      </c>
      <c r="E216" s="0" t="n">
        <f aca="false">C216-ROUND(+C216*(VLOOKUP(B216,cngded,6,FALSE())),0)</f>
        <v>12</v>
      </c>
      <c r="F216" s="0" t="n">
        <f aca="false">D216-ROUND(+D216*(VLOOKUP(B216,cngded,6,FALSE())),0)</f>
        <v>108</v>
      </c>
    </row>
    <row r="217" customFormat="false" ht="12.75" hidden="false" customHeight="false" outlineLevel="0" collapsed="false">
      <c r="A217" s="0" t="s">
        <v>368</v>
      </c>
      <c r="B217" s="0" t="str">
        <f aca="false">IF(ISNA(VLOOKUP(A217,Dedcode,4)),"na",VLOOKUP(A217,Dedcode,4))</f>
        <v>GW</v>
      </c>
      <c r="C217" s="0" t="n">
        <v>19</v>
      </c>
      <c r="D217" s="0" t="n">
        <v>286</v>
      </c>
      <c r="E217" s="0" t="n">
        <f aca="false">C217-ROUND(+C217*(VLOOKUP(B217,cngded,6,FALSE())),0)</f>
        <v>16</v>
      </c>
      <c r="F217" s="0" t="n">
        <f aca="false">D217-ROUND(+D217*(VLOOKUP(B217,cngded,6,FALSE())),0)</f>
        <v>248</v>
      </c>
    </row>
    <row r="218" customFormat="false" ht="12.75" hidden="false" customHeight="false" outlineLevel="0" collapsed="false">
      <c r="A218" s="0" t="s">
        <v>380</v>
      </c>
      <c r="B218" s="0" t="str">
        <f aca="false">IF(ISNA(VLOOKUP(A218,Dedcode,4)),"na",VLOOKUP(A218,Dedcode,4))</f>
        <v>GD</v>
      </c>
      <c r="C218" s="0" t="n">
        <v>0</v>
      </c>
      <c r="D218" s="0" t="n">
        <v>0</v>
      </c>
      <c r="E218" s="0" t="n">
        <f aca="false">C218-ROUND(+C218*(VLOOKUP(B218,cngded,6,FALSE())),0)</f>
        <v>0</v>
      </c>
      <c r="F218" s="0" t="n">
        <f aca="false">D218-ROUND(+D218*(VLOOKUP(B218,cngded,6,FALSE())),0)</f>
        <v>0</v>
      </c>
    </row>
    <row r="219" customFormat="false" ht="12.75" hidden="false" customHeight="false" outlineLevel="0" collapsed="false">
      <c r="A219" s="0" t="s">
        <v>125</v>
      </c>
      <c r="B219" s="0" t="str">
        <f aca="false">IF(ISNA(VLOOKUP(A219,Dedcode,4)),"na",VLOOKUP(A219,Dedcode,4))</f>
        <v>TD</v>
      </c>
      <c r="C219" s="0" t="n">
        <v>56</v>
      </c>
      <c r="D219" s="0" t="n">
        <v>765</v>
      </c>
      <c r="E219" s="0" t="n">
        <f aca="false">C219-ROUND(+C219*(VLOOKUP(B219,cngded,6,FALSE())),0)</f>
        <v>56</v>
      </c>
      <c r="F219" s="0" t="n">
        <f aca="false">D219-ROUND(+D219*(VLOOKUP(B219,cngded,6,FALSE())),0)</f>
        <v>765</v>
      </c>
    </row>
    <row r="220" customFormat="false" ht="12.75" hidden="false" customHeight="false" outlineLevel="0" collapsed="false">
      <c r="A220" s="0" t="s">
        <v>32</v>
      </c>
      <c r="B220" s="0" t="str">
        <f aca="false">IF(ISNA(VLOOKUP(A220,Dedcode,4)),"na",VLOOKUP(A220,Dedcode,4))</f>
        <v>GW</v>
      </c>
      <c r="C220" s="0" t="n">
        <v>12</v>
      </c>
      <c r="D220" s="0" t="n">
        <v>147</v>
      </c>
      <c r="E220" s="0" t="n">
        <f aca="false">C220-ROUND(+C220*(VLOOKUP(B220,cngded,6,FALSE())),0)</f>
        <v>10</v>
      </c>
      <c r="F220" s="0" t="n">
        <f aca="false">D220-ROUND(+D220*(VLOOKUP(B220,cngded,6,FALSE())),0)</f>
        <v>128</v>
      </c>
    </row>
    <row r="221" customFormat="false" ht="12.75" hidden="false" customHeight="false" outlineLevel="0" collapsed="false">
      <c r="A221" s="0" t="s">
        <v>11</v>
      </c>
      <c r="B221" s="0" t="str">
        <f aca="false">IF(ISNA(VLOOKUP(A221,Dedcode,4)),"na",VLOOKUP(A221,Dedcode,4))</f>
        <v>GW</v>
      </c>
      <c r="C221" s="0" t="n">
        <v>82</v>
      </c>
      <c r="D221" s="0" t="n">
        <v>1288</v>
      </c>
      <c r="E221" s="0" t="n">
        <f aca="false">C221-ROUND(+C221*(VLOOKUP(B221,cngded,6,FALSE())),0)</f>
        <v>71</v>
      </c>
      <c r="F221" s="0" t="n">
        <f aca="false">D221-ROUND(+D221*(VLOOKUP(B221,cngded,6,FALSE())),0)</f>
        <v>1117</v>
      </c>
    </row>
    <row r="222" customFormat="false" ht="12.75" hidden="false" customHeight="false" outlineLevel="0" collapsed="false">
      <c r="A222" s="0" t="s">
        <v>16</v>
      </c>
      <c r="B222" s="0" t="str">
        <f aca="false">IF(ISNA(VLOOKUP(A222,Dedcode,4)),"na",VLOOKUP(A222,Dedcode,4))</f>
        <v>GW</v>
      </c>
      <c r="C222" s="0" t="n">
        <v>130</v>
      </c>
      <c r="D222" s="0" t="n">
        <v>1865</v>
      </c>
      <c r="E222" s="0" t="n">
        <f aca="false">C222-ROUND(+C222*(VLOOKUP(B222,cngded,6,FALSE())),0)</f>
        <v>113</v>
      </c>
      <c r="F222" s="0" t="n">
        <f aca="false">D222-ROUND(+D222*(VLOOKUP(B222,cngded,6,FALSE())),0)</f>
        <v>1618</v>
      </c>
    </row>
    <row r="223" customFormat="false" ht="12.75" hidden="false" customHeight="false" outlineLevel="0" collapsed="false">
      <c r="A223" s="0" t="s">
        <v>13</v>
      </c>
      <c r="B223" s="0" t="str">
        <f aca="false">IF(ISNA(VLOOKUP(A223,Dedcode,4)),"na",VLOOKUP(A223,Dedcode,4))</f>
        <v>GW</v>
      </c>
      <c r="C223" s="0" t="n">
        <v>74</v>
      </c>
      <c r="D223" s="0" t="n">
        <v>983</v>
      </c>
      <c r="E223" s="0" t="n">
        <f aca="false">C223-ROUND(+C223*(VLOOKUP(B223,cngded,6,FALSE())),0)</f>
        <v>64</v>
      </c>
      <c r="F223" s="0" t="n">
        <f aca="false">D223-ROUND(+D223*(VLOOKUP(B223,cngded,6,FALSE())),0)</f>
        <v>853</v>
      </c>
    </row>
    <row r="224" customFormat="false" ht="12.75" hidden="false" customHeight="false" outlineLevel="0" collapsed="false">
      <c r="A224" s="0" t="s">
        <v>14</v>
      </c>
      <c r="B224" s="0" t="str">
        <f aca="false">IF(ISNA(VLOOKUP(A224,Dedcode,4)),"na",VLOOKUP(A224,Dedcode,4))</f>
        <v>GW</v>
      </c>
      <c r="C224" s="0" t="n">
        <v>32</v>
      </c>
      <c r="D224" s="0" t="n">
        <v>317</v>
      </c>
      <c r="E224" s="0" t="n">
        <f aca="false">C224-ROUND(+C224*(VLOOKUP(B224,cngded,6,FALSE())),0)</f>
        <v>28</v>
      </c>
      <c r="F224" s="0" t="n">
        <f aca="false">D224-ROUND(+D224*(VLOOKUP(B224,cngded,6,FALSE())),0)</f>
        <v>275</v>
      </c>
    </row>
    <row r="225" customFormat="false" ht="12.75" hidden="false" customHeight="false" outlineLevel="0" collapsed="false">
      <c r="A225" s="0" t="s">
        <v>15</v>
      </c>
      <c r="B225" s="0" t="str">
        <f aca="false">IF(ISNA(VLOOKUP(A225,Dedcode,4)),"na",VLOOKUP(A225,Dedcode,4))</f>
        <v>GW</v>
      </c>
      <c r="C225" s="0" t="n">
        <v>61</v>
      </c>
      <c r="D225" s="0" t="n">
        <v>513</v>
      </c>
      <c r="E225" s="0" t="n">
        <f aca="false">C225-ROUND(+C225*(VLOOKUP(B225,cngded,6,FALSE())),0)</f>
        <v>53</v>
      </c>
      <c r="F225" s="0" t="n">
        <f aca="false">D225-ROUND(+D225*(VLOOKUP(B225,cngded,6,FALSE())),0)</f>
        <v>445</v>
      </c>
    </row>
    <row r="226" customFormat="false" ht="12.75" hidden="false" customHeight="false" outlineLevel="0" collapsed="false">
      <c r="A226" s="0" t="s">
        <v>17</v>
      </c>
      <c r="B226" s="0" t="str">
        <f aca="false">IF(ISNA(VLOOKUP(A226,Dedcode,4)),"na",VLOOKUP(A226,Dedcode,4))</f>
        <v>GW</v>
      </c>
      <c r="C226" s="0" t="n">
        <v>26</v>
      </c>
      <c r="D226" s="0" t="n">
        <v>332</v>
      </c>
      <c r="E226" s="0" t="n">
        <f aca="false">C226-ROUND(+C226*(VLOOKUP(B226,cngded,6,FALSE())),0)</f>
        <v>23</v>
      </c>
      <c r="F226" s="0" t="n">
        <f aca="false">D226-ROUND(+D226*(VLOOKUP(B226,cngded,6,FALSE())),0)</f>
        <v>288</v>
      </c>
    </row>
    <row r="227" customFormat="false" ht="12.75" hidden="false" customHeight="false" outlineLevel="0" collapsed="false">
      <c r="A227" s="0" t="s">
        <v>21</v>
      </c>
      <c r="B227" s="0" t="str">
        <f aca="false">IF(ISNA(VLOOKUP(A227,Dedcode,4)),"na",VLOOKUP(A227,Dedcode,4))</f>
        <v>GW</v>
      </c>
      <c r="C227" s="0" t="n">
        <v>28</v>
      </c>
      <c r="D227" s="0" t="n">
        <v>367</v>
      </c>
      <c r="E227" s="0" t="n">
        <f aca="false">C227-ROUND(+C227*(VLOOKUP(B227,cngded,6,FALSE())),0)</f>
        <v>24</v>
      </c>
      <c r="F227" s="0" t="n">
        <f aca="false">D227-ROUND(+D227*(VLOOKUP(B227,cngded,6,FALSE())),0)</f>
        <v>318</v>
      </c>
    </row>
    <row r="228" customFormat="false" ht="12.75" hidden="false" customHeight="false" outlineLevel="0" collapsed="false">
      <c r="A228" s="0" t="s">
        <v>19</v>
      </c>
      <c r="B228" s="0" t="str">
        <f aca="false">IF(ISNA(VLOOKUP(A228,Dedcode,4)),"na",VLOOKUP(A228,Dedcode,4))</f>
        <v>GW</v>
      </c>
      <c r="C228" s="0" t="n">
        <v>72</v>
      </c>
      <c r="D228" s="0" t="n">
        <v>1051</v>
      </c>
      <c r="E228" s="0" t="n">
        <f aca="false">C228-ROUND(+C228*(VLOOKUP(B228,cngded,6,FALSE())),0)</f>
        <v>62</v>
      </c>
      <c r="F228" s="0" t="n">
        <f aca="false">D228-ROUND(+D228*(VLOOKUP(B228,cngded,6,FALSE())),0)</f>
        <v>912</v>
      </c>
    </row>
    <row r="229" customFormat="false" ht="12.75" hidden="false" customHeight="false" outlineLevel="0" collapsed="false">
      <c r="A229" s="0" t="s">
        <v>12</v>
      </c>
      <c r="B229" s="0" t="str">
        <f aca="false">IF(ISNA(VLOOKUP(A229,Dedcode,4)),"na",VLOOKUP(A229,Dedcode,4))</f>
        <v>GW</v>
      </c>
      <c r="C229" s="0" t="n">
        <v>20</v>
      </c>
      <c r="D229" s="0" t="n">
        <v>243</v>
      </c>
      <c r="E229" s="0" t="n">
        <f aca="false">C229-ROUND(+C229*(VLOOKUP(B229,cngded,6,FALSE())),0)</f>
        <v>17</v>
      </c>
      <c r="F229" s="0" t="n">
        <f aca="false">D229-ROUND(+D229*(VLOOKUP(B229,cngded,6,FALSE())),0)</f>
        <v>211</v>
      </c>
    </row>
    <row r="230" customFormat="false" ht="12.75" hidden="false" customHeight="false" outlineLevel="0" collapsed="false">
      <c r="A230" s="0" t="s">
        <v>231</v>
      </c>
      <c r="B230" s="0" t="str">
        <f aca="false">IF(ISNA(VLOOKUP(A230,Dedcode,4)),"na",VLOOKUP(A230,Dedcode,4))</f>
        <v>GW</v>
      </c>
      <c r="C230" s="0" t="n">
        <v>0</v>
      </c>
      <c r="D230" s="0" t="n">
        <v>0</v>
      </c>
      <c r="E230" s="0" t="n">
        <f aca="false">C230-ROUND(+C230*(VLOOKUP(B230,cngded,6,FALSE())),0)</f>
        <v>0</v>
      </c>
      <c r="F230" s="0" t="n">
        <f aca="false">D230-ROUND(+D230*(VLOOKUP(B230,cngded,6,FALSE())),0)</f>
        <v>0</v>
      </c>
    </row>
    <row r="231" customFormat="false" ht="12.75" hidden="false" customHeight="false" outlineLevel="0" collapsed="false">
      <c r="A231" s="0" t="s">
        <v>166</v>
      </c>
      <c r="B231" s="0" t="str">
        <f aca="false">IF(ISNA(VLOOKUP(A231,Dedcode,4)),"na",VLOOKUP(A231,Dedcode,4))</f>
        <v>GW</v>
      </c>
      <c r="C231" s="0" t="n">
        <v>40</v>
      </c>
      <c r="D231" s="0" t="n">
        <v>599</v>
      </c>
      <c r="E231" s="0" t="n">
        <f aca="false">C231-ROUND(+C231*(VLOOKUP(B231,cngded,6,FALSE())),0)</f>
        <v>35</v>
      </c>
      <c r="F231" s="0" t="n">
        <f aca="false">D231-ROUND(+D231*(VLOOKUP(B231,cngded,6,FALSE())),0)</f>
        <v>520</v>
      </c>
    </row>
    <row r="232" customFormat="false" ht="12.75" hidden="false" customHeight="false" outlineLevel="0" collapsed="false">
      <c r="A232" s="0" t="s">
        <v>85</v>
      </c>
      <c r="B232" s="0" t="str">
        <f aca="false">IF(ISNA(VLOOKUP(A232,Dedcode,4)),"na",VLOOKUP(A232,Dedcode,4))</f>
        <v>TW</v>
      </c>
      <c r="C232" s="0" t="n">
        <v>0</v>
      </c>
      <c r="D232" s="0" t="n">
        <v>0</v>
      </c>
      <c r="E232" s="0" t="n">
        <f aca="false">C232-ROUND(+C232*(VLOOKUP(B232,cngded,6,FALSE())),0)</f>
        <v>0</v>
      </c>
      <c r="F232" s="0" t="n">
        <f aca="false">D232-ROUND(+D232*(VLOOKUP(B232,cngded,6,FALSE())),0)</f>
        <v>0</v>
      </c>
    </row>
    <row r="233" customFormat="false" ht="12.75" hidden="false" customHeight="false" outlineLevel="0" collapsed="false">
      <c r="A233" s="0" t="s">
        <v>359</v>
      </c>
      <c r="B233" s="0" t="str">
        <f aca="false">IF(ISNA(VLOOKUP(A233,Dedcode,4)),"na",VLOOKUP(A233,Dedcode,4))</f>
        <v>GW</v>
      </c>
      <c r="C233" s="0" t="n">
        <v>38</v>
      </c>
      <c r="D233" s="0" t="n">
        <v>0</v>
      </c>
      <c r="E233" s="0" t="n">
        <f aca="false">C233-ROUND(+C233*(VLOOKUP(B233,cngded,6,FALSE())),0)</f>
        <v>33</v>
      </c>
      <c r="F233" s="0" t="n">
        <f aca="false">D233-ROUND(+D233*(VLOOKUP(B233,cngded,6,FALSE())),0)</f>
        <v>0</v>
      </c>
    </row>
    <row r="234" customFormat="false" ht="12.75" hidden="false" customHeight="false" outlineLevel="0" collapsed="false">
      <c r="A234" s="0" t="s">
        <v>356</v>
      </c>
      <c r="B234" s="0" t="str">
        <f aca="false">IF(ISNA(VLOOKUP(A234,Dedcode,4)),"na",VLOOKUP(A234,Dedcode,4))</f>
        <v>GW</v>
      </c>
      <c r="C234" s="0" t="n">
        <v>10</v>
      </c>
      <c r="D234" s="0" t="n">
        <v>45</v>
      </c>
      <c r="E234" s="0" t="n">
        <f aca="false">C234-ROUND(+C234*(VLOOKUP(B234,cngded,6,FALSE())),0)</f>
        <v>9</v>
      </c>
      <c r="F234" s="0" t="n">
        <f aca="false">D234-ROUND(+D234*(VLOOKUP(B234,cngded,6,FALSE())),0)</f>
        <v>39</v>
      </c>
    </row>
    <row r="235" customFormat="false" ht="12.75" hidden="false" customHeight="false" outlineLevel="0" collapsed="false">
      <c r="A235" s="0" t="s">
        <v>360</v>
      </c>
      <c r="B235" s="0" t="str">
        <f aca="false">IF(ISNA(VLOOKUP(A235,Dedcode,4)),"na",VLOOKUP(A235,Dedcode,4))</f>
        <v>GW</v>
      </c>
      <c r="C235" s="0" t="n">
        <v>100</v>
      </c>
      <c r="D235" s="0" t="n">
        <v>162</v>
      </c>
      <c r="E235" s="0" t="n">
        <f aca="false">C235-ROUND(+C235*(VLOOKUP(B235,cngded,6,FALSE())),0)</f>
        <v>87</v>
      </c>
      <c r="F235" s="0" t="n">
        <f aca="false">D235-ROUND(+D235*(VLOOKUP(B235,cngded,6,FALSE())),0)</f>
        <v>141</v>
      </c>
    </row>
    <row r="236" customFormat="false" ht="12.75" hidden="false" customHeight="false" outlineLevel="0" collapsed="false">
      <c r="A236" s="0" t="s">
        <v>361</v>
      </c>
      <c r="B236" s="0" t="str">
        <f aca="false">IF(ISNA(VLOOKUP(A236,Dedcode,4)),"na",VLOOKUP(A236,Dedcode,4))</f>
        <v>GW</v>
      </c>
      <c r="C236" s="0" t="n">
        <v>20</v>
      </c>
      <c r="D236" s="0" t="n">
        <v>66</v>
      </c>
      <c r="E236" s="0" t="n">
        <f aca="false">C236-ROUND(+C236*(VLOOKUP(B236,cngded,6,FALSE())),0)</f>
        <v>17</v>
      </c>
      <c r="F236" s="0" t="n">
        <f aca="false">D236-ROUND(+D236*(VLOOKUP(B236,cngded,6,FALSE())),0)</f>
        <v>57</v>
      </c>
    </row>
    <row r="237" customFormat="false" ht="12.75" hidden="false" customHeight="false" outlineLevel="0" collapsed="false">
      <c r="A237" s="0" t="s">
        <v>53</v>
      </c>
      <c r="B237" s="0" t="str">
        <f aca="false">IF(ISNA(VLOOKUP(A237,Dedcode,4)),"na",VLOOKUP(A237,Dedcode,4))</f>
        <v>TW</v>
      </c>
      <c r="C237" s="0" t="n">
        <v>0</v>
      </c>
      <c r="D237" s="0" t="n">
        <v>0</v>
      </c>
      <c r="E237" s="0" t="n">
        <f aca="false">C237-ROUND(+C237*(VLOOKUP(B237,cngded,6,FALSE())),0)</f>
        <v>0</v>
      </c>
      <c r="F237" s="0" t="n">
        <f aca="false">D237-ROUND(+D237*(VLOOKUP(B237,cngded,6,FALSE())),0)</f>
        <v>0</v>
      </c>
    </row>
    <row r="238" customFormat="false" ht="12.75" hidden="false" customHeight="false" outlineLevel="0" collapsed="false">
      <c r="A238" s="0" t="s">
        <v>300</v>
      </c>
      <c r="B238" s="0" t="str">
        <f aca="false">IF(ISNA(VLOOKUP(A238,Dedcode,4)),"na",VLOOKUP(A238,Dedcode,4))</f>
        <v>GW</v>
      </c>
      <c r="C238" s="0" t="n">
        <v>12</v>
      </c>
      <c r="D238" s="0" t="n">
        <v>0</v>
      </c>
      <c r="E238" s="0" t="n">
        <f aca="false">C238-ROUND(+C238*(VLOOKUP(B238,cngded,6,FALSE())),0)</f>
        <v>10</v>
      </c>
      <c r="F238" s="0" t="n">
        <f aca="false">D238-ROUND(+D238*(VLOOKUP(B238,cngded,6,FALSE())),0)</f>
        <v>0</v>
      </c>
    </row>
    <row r="239" customFormat="false" ht="12.75" hidden="false" customHeight="false" outlineLevel="0" collapsed="false">
      <c r="A239" s="0" t="s">
        <v>193</v>
      </c>
      <c r="B239" s="0" t="str">
        <f aca="false">IF(ISNA(VLOOKUP(A239,Dedcode,4)),"na",VLOOKUP(A239,Dedcode,4))</f>
        <v>GW</v>
      </c>
      <c r="C239" s="0" t="n">
        <v>0</v>
      </c>
      <c r="D239" s="0" t="n">
        <v>5</v>
      </c>
      <c r="E239" s="0" t="n">
        <f aca="false">C239-ROUND(+C239*(VLOOKUP(B239,cngded,6,FALSE())),0)</f>
        <v>0</v>
      </c>
      <c r="F239" s="0" t="n">
        <f aca="false">D239-ROUND(+D239*(VLOOKUP(B239,cngded,6,FALSE())),0)</f>
        <v>4</v>
      </c>
    </row>
    <row r="240" customFormat="false" ht="12.75" hidden="false" customHeight="false" outlineLevel="0" collapsed="false">
      <c r="A240" s="0" t="s">
        <v>191</v>
      </c>
      <c r="B240" s="0" t="str">
        <f aca="false">IF(ISNA(VLOOKUP(A240,Dedcode,4)),"na",VLOOKUP(A240,Dedcode,4))</f>
        <v>GW</v>
      </c>
      <c r="C240" s="0" t="n">
        <v>0</v>
      </c>
      <c r="D240" s="0" t="n">
        <v>0</v>
      </c>
      <c r="E240" s="0" t="n">
        <f aca="false">C240-ROUND(+C240*(VLOOKUP(B240,cngded,6,FALSE())),0)</f>
        <v>0</v>
      </c>
      <c r="F240" s="0" t="n">
        <f aca="false">D240-ROUND(+D240*(VLOOKUP(B240,cngded,6,FALSE())),0)</f>
        <v>0</v>
      </c>
    </row>
    <row r="241" customFormat="false" ht="12.75" hidden="false" customHeight="false" outlineLevel="0" collapsed="false">
      <c r="A241" s="0" t="s">
        <v>210</v>
      </c>
      <c r="B241" s="0" t="str">
        <f aca="false">IF(ISNA(VLOOKUP(A241,Dedcode,4)),"na",VLOOKUP(A241,Dedcode,4))</f>
        <v>GW</v>
      </c>
      <c r="C241" s="0" t="n">
        <v>0</v>
      </c>
      <c r="D241" s="0" t="n">
        <v>351</v>
      </c>
      <c r="E241" s="0" t="n">
        <f aca="false">C241-ROUND(+C241*(VLOOKUP(B241,cngded,6,FALSE())),0)</f>
        <v>0</v>
      </c>
      <c r="F241" s="0" t="n">
        <f aca="false">D241-ROUND(+D241*(VLOOKUP(B241,cngded,6,FALSE())),0)</f>
        <v>304</v>
      </c>
    </row>
    <row r="242" customFormat="false" ht="12.75" hidden="false" customHeight="false" outlineLevel="0" collapsed="false">
      <c r="A242" s="0" t="s">
        <v>245</v>
      </c>
      <c r="B242" s="0" t="str">
        <f aca="false">IF(ISNA(VLOOKUP(A242,Dedcode,4)),"na",VLOOKUP(A242,Dedcode,4))</f>
        <v>GW</v>
      </c>
      <c r="C242" s="0" t="n">
        <v>12</v>
      </c>
      <c r="D242" s="0" t="n">
        <v>202</v>
      </c>
      <c r="E242" s="0" t="n">
        <f aca="false">C242-ROUND(+C242*(VLOOKUP(B242,cngded,6,FALSE())),0)</f>
        <v>10</v>
      </c>
      <c r="F242" s="0" t="n">
        <f aca="false">D242-ROUND(+D242*(VLOOKUP(B242,cngded,6,FALSE())),0)</f>
        <v>175</v>
      </c>
    </row>
    <row r="243" customFormat="false" ht="12.75" hidden="false" customHeight="false" outlineLevel="0" collapsed="false">
      <c r="A243" s="0" t="s">
        <v>254</v>
      </c>
      <c r="B243" s="0" t="str">
        <f aca="false">IF(ISNA(VLOOKUP(A243,Dedcode,4)),"na",VLOOKUP(A243,Dedcode,4))</f>
        <v>GW</v>
      </c>
      <c r="C243" s="0" t="n">
        <v>86</v>
      </c>
      <c r="D243" s="0" t="n">
        <v>443</v>
      </c>
      <c r="E243" s="0" t="n">
        <f aca="false">C243-ROUND(+C243*(VLOOKUP(B243,cngded,6,FALSE())),0)</f>
        <v>75</v>
      </c>
      <c r="F243" s="0" t="n">
        <f aca="false">D243-ROUND(+D243*(VLOOKUP(B243,cngded,6,FALSE())),0)</f>
        <v>384</v>
      </c>
    </row>
    <row r="244" customFormat="false" ht="12.75" hidden="false" customHeight="false" outlineLevel="0" collapsed="false">
      <c r="A244" s="0" t="s">
        <v>375</v>
      </c>
      <c r="B244" s="0" t="str">
        <f aca="false">IF(ISNA(VLOOKUP(A244,Dedcode,4)),"na",VLOOKUP(A244,Dedcode,4))</f>
        <v>GW</v>
      </c>
      <c r="C244" s="0" t="n">
        <v>8</v>
      </c>
      <c r="D244" s="0" t="n">
        <v>116</v>
      </c>
      <c r="E244" s="0" t="n">
        <f aca="false">C244-ROUND(+C244*(VLOOKUP(B244,cngded,6,FALSE())),0)</f>
        <v>7</v>
      </c>
      <c r="F244" s="0" t="n">
        <f aca="false">D244-ROUND(+D244*(VLOOKUP(B244,cngded,6,FALSE())),0)</f>
        <v>101</v>
      </c>
    </row>
    <row r="245" customFormat="false" ht="12.75" hidden="false" customHeight="false" outlineLevel="0" collapsed="false">
      <c r="C245" s="0" t="n">
        <f aca="false">SUM(C2:C244)</f>
        <v>9594</v>
      </c>
      <c r="D245" s="0" t="n">
        <f aca="false">SUM(D2:D244)</f>
        <v>75660</v>
      </c>
      <c r="E245" s="0" t="n">
        <f aca="false">SUM(E2:E244)</f>
        <v>8400</v>
      </c>
      <c r="F245" s="0" t="n">
        <f aca="false">SUM(F2:F244)</f>
        <v>66100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6"/>
  <sheetViews>
    <sheetView showFormulas="false" showGridLines="true" showRowColHeaders="true" showZeros="true" rightToLeft="false" tabSelected="false" showOutlineSymbols="true" defaultGridColor="true" view="normal" topLeftCell="A240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9.56"/>
    <col collapsed="false" customWidth="true" hidden="false" outlineLevel="0" max="3" min="3" style="0" width="38.41"/>
    <col collapsed="false" customWidth="true" hidden="false" outlineLevel="0" max="4" min="4" style="0" width="4.28"/>
  </cols>
  <sheetData>
    <row r="1" customFormat="false" ht="12.75" hidden="false" customHeight="false" outlineLevel="0" collapsed="false">
      <c r="A1" s="0" t="s">
        <v>181</v>
      </c>
      <c r="B1" s="0" t="s">
        <v>182</v>
      </c>
      <c r="C1" s="0" t="s">
        <v>180</v>
      </c>
      <c r="D1" s="21" t="s">
        <v>446</v>
      </c>
    </row>
    <row r="2" customFormat="false" ht="12.75" hidden="false" customHeight="false" outlineLevel="0" collapsed="false">
      <c r="A2" s="0" t="s">
        <v>186</v>
      </c>
      <c r="B2" s="0" t="s">
        <v>447</v>
      </c>
      <c r="C2" s="0" t="s">
        <v>448</v>
      </c>
      <c r="D2" s="21" t="s">
        <v>446</v>
      </c>
    </row>
    <row r="3" customFormat="false" ht="12.75" hidden="false" customHeight="false" outlineLevel="0" collapsed="false">
      <c r="A3" s="0" t="s">
        <v>184</v>
      </c>
      <c r="B3" s="0" t="s">
        <v>185</v>
      </c>
      <c r="C3" s="0" t="s">
        <v>180</v>
      </c>
      <c r="D3" s="21" t="s">
        <v>449</v>
      </c>
    </row>
    <row r="4" customFormat="false" ht="12.75" hidden="false" customHeight="false" outlineLevel="0" collapsed="false">
      <c r="A4" s="0" t="s">
        <v>45</v>
      </c>
      <c r="B4" s="0" t="n">
        <v>1055201</v>
      </c>
      <c r="C4" s="0" t="s">
        <v>46</v>
      </c>
      <c r="D4" s="21" t="s">
        <v>450</v>
      </c>
    </row>
    <row r="5" customFormat="false" ht="12.75" hidden="false" customHeight="false" outlineLevel="0" collapsed="false">
      <c r="A5" s="0" t="s">
        <v>47</v>
      </c>
      <c r="B5" s="0" t="n">
        <v>1058501</v>
      </c>
      <c r="C5" s="0" t="s">
        <v>46</v>
      </c>
      <c r="D5" s="21" t="s">
        <v>450</v>
      </c>
    </row>
    <row r="6" customFormat="false" ht="12.75" hidden="false" customHeight="false" outlineLevel="0" collapsed="false">
      <c r="A6" s="0" t="s">
        <v>48</v>
      </c>
      <c r="B6" s="0" t="n">
        <v>1059901</v>
      </c>
      <c r="C6" s="0" t="s">
        <v>46</v>
      </c>
      <c r="D6" s="21" t="s">
        <v>450</v>
      </c>
    </row>
    <row r="7" customFormat="false" ht="12.75" hidden="false" customHeight="false" outlineLevel="0" collapsed="false">
      <c r="A7" s="0" t="s">
        <v>173</v>
      </c>
      <c r="B7" s="0" t="n">
        <v>1062901</v>
      </c>
      <c r="C7" s="0" t="s">
        <v>174</v>
      </c>
      <c r="D7" s="21" t="s">
        <v>451</v>
      </c>
    </row>
    <row r="8" customFormat="false" ht="12.75" hidden="false" customHeight="false" outlineLevel="0" collapsed="false">
      <c r="A8" s="0" t="s">
        <v>175</v>
      </c>
      <c r="B8" s="0" t="n">
        <v>1063001</v>
      </c>
      <c r="C8" s="0" t="s">
        <v>174</v>
      </c>
      <c r="D8" s="21" t="s">
        <v>451</v>
      </c>
    </row>
    <row r="9" customFormat="false" ht="12.75" hidden="false" customHeight="false" outlineLevel="0" collapsed="false">
      <c r="A9" s="0" t="s">
        <v>49</v>
      </c>
      <c r="B9" s="0" t="n">
        <v>1063501</v>
      </c>
      <c r="C9" s="0" t="s">
        <v>46</v>
      </c>
      <c r="D9" s="21" t="s">
        <v>450</v>
      </c>
    </row>
    <row r="10" customFormat="false" ht="12.75" hidden="false" customHeight="false" outlineLevel="0" collapsed="false">
      <c r="A10" s="0" t="s">
        <v>113</v>
      </c>
      <c r="B10" s="0" t="n">
        <v>2096101</v>
      </c>
      <c r="C10" s="0" t="s">
        <v>114</v>
      </c>
      <c r="D10" s="21" t="s">
        <v>451</v>
      </c>
    </row>
    <row r="11" customFormat="false" ht="12.75" hidden="false" customHeight="false" outlineLevel="0" collapsed="false">
      <c r="A11" s="0" t="s">
        <v>89</v>
      </c>
      <c r="B11" s="0" t="n">
        <v>2150501</v>
      </c>
      <c r="C11" s="0" t="s">
        <v>90</v>
      </c>
      <c r="D11" s="21" t="s">
        <v>450</v>
      </c>
    </row>
    <row r="12" customFormat="false" ht="12.75" hidden="false" customHeight="false" outlineLevel="0" collapsed="false">
      <c r="A12" s="0" t="s">
        <v>178</v>
      </c>
      <c r="B12" s="0" t="n">
        <v>2151401</v>
      </c>
      <c r="C12" s="0" t="s">
        <v>174</v>
      </c>
      <c r="D12" s="21" t="s">
        <v>451</v>
      </c>
    </row>
    <row r="13" customFormat="false" ht="12.75" hidden="false" customHeight="false" outlineLevel="0" collapsed="false">
      <c r="A13" s="0" t="s">
        <v>218</v>
      </c>
      <c r="B13" s="0" t="n">
        <v>2152501</v>
      </c>
      <c r="C13" s="0" t="s">
        <v>452</v>
      </c>
      <c r="D13" s="21" t="s">
        <v>450</v>
      </c>
    </row>
    <row r="14" customFormat="false" ht="12.75" hidden="false" customHeight="false" outlineLevel="0" collapsed="false">
      <c r="A14" s="0" t="s">
        <v>115</v>
      </c>
      <c r="B14" s="0" t="n">
        <v>2159601</v>
      </c>
      <c r="C14" s="0" t="s">
        <v>114</v>
      </c>
      <c r="D14" s="21" t="s">
        <v>451</v>
      </c>
    </row>
    <row r="15" customFormat="false" ht="12.75" hidden="false" customHeight="false" outlineLevel="0" collapsed="false">
      <c r="A15" s="0" t="s">
        <v>358</v>
      </c>
      <c r="B15" s="0" t="n">
        <v>3130401</v>
      </c>
      <c r="C15" s="0" t="s">
        <v>453</v>
      </c>
      <c r="D15" s="21" t="s">
        <v>450</v>
      </c>
    </row>
    <row r="16" customFormat="false" ht="12.75" hidden="false" customHeight="false" outlineLevel="0" collapsed="false">
      <c r="A16" s="0" t="s">
        <v>79</v>
      </c>
      <c r="B16" s="0" t="n">
        <v>3130501</v>
      </c>
      <c r="C16" s="0" t="s">
        <v>454</v>
      </c>
      <c r="D16" s="21" t="s">
        <v>450</v>
      </c>
    </row>
    <row r="17" customFormat="false" ht="12.75" hidden="false" customHeight="false" outlineLevel="0" collapsed="false">
      <c r="A17" s="0" t="s">
        <v>364</v>
      </c>
      <c r="B17" s="0" t="n">
        <v>3225601</v>
      </c>
      <c r="C17" s="0" t="s">
        <v>365</v>
      </c>
      <c r="D17" s="21" t="s">
        <v>450</v>
      </c>
    </row>
    <row r="18" customFormat="false" ht="12.75" hidden="false" customHeight="false" outlineLevel="0" collapsed="false">
      <c r="A18" s="0" t="s">
        <v>362</v>
      </c>
      <c r="B18" s="0" t="n">
        <v>3330401</v>
      </c>
      <c r="C18" s="0" t="s">
        <v>453</v>
      </c>
      <c r="D18" s="21" t="s">
        <v>450</v>
      </c>
    </row>
    <row r="19" customFormat="false" ht="12.75" hidden="false" customHeight="false" outlineLevel="0" collapsed="false">
      <c r="A19" s="0" t="s">
        <v>81</v>
      </c>
      <c r="B19" s="0" t="n">
        <v>3421301</v>
      </c>
      <c r="C19" s="0" t="s">
        <v>454</v>
      </c>
      <c r="D19" s="21" t="s">
        <v>446</v>
      </c>
    </row>
    <row r="20" customFormat="false" ht="12.75" hidden="false" customHeight="false" outlineLevel="0" collapsed="false">
      <c r="A20" s="0" t="s">
        <v>98</v>
      </c>
      <c r="B20" s="0" t="n">
        <v>3423501</v>
      </c>
      <c r="C20" s="0" t="s">
        <v>455</v>
      </c>
      <c r="D20" s="21" t="s">
        <v>450</v>
      </c>
    </row>
    <row r="21" customFormat="false" ht="12.75" hidden="false" customHeight="false" outlineLevel="0" collapsed="false">
      <c r="A21" s="0" t="s">
        <v>100</v>
      </c>
      <c r="B21" s="0" t="n">
        <v>3423601</v>
      </c>
      <c r="C21" s="0" t="s">
        <v>455</v>
      </c>
      <c r="D21" s="21" t="s">
        <v>450</v>
      </c>
    </row>
    <row r="22" customFormat="false" ht="12.75" hidden="false" customHeight="false" outlineLevel="0" collapsed="false">
      <c r="A22" s="0" t="s">
        <v>101</v>
      </c>
      <c r="B22" s="0" t="n">
        <v>3423701</v>
      </c>
      <c r="C22" s="0" t="s">
        <v>455</v>
      </c>
      <c r="D22" s="21" t="s">
        <v>450</v>
      </c>
    </row>
    <row r="23" customFormat="false" ht="12.75" hidden="false" customHeight="false" outlineLevel="0" collapsed="false">
      <c r="A23" s="0" t="s">
        <v>102</v>
      </c>
      <c r="B23" s="0" t="n">
        <v>3423801</v>
      </c>
      <c r="C23" s="0" t="s">
        <v>455</v>
      </c>
      <c r="D23" s="21" t="s">
        <v>450</v>
      </c>
    </row>
    <row r="24" customFormat="false" ht="12.75" hidden="false" customHeight="false" outlineLevel="0" collapsed="false">
      <c r="A24" s="0" t="s">
        <v>83</v>
      </c>
      <c r="B24" s="0" t="n">
        <v>3425201</v>
      </c>
      <c r="C24" s="0" t="s">
        <v>454</v>
      </c>
      <c r="D24" s="21" t="s">
        <v>450</v>
      </c>
    </row>
    <row r="25" customFormat="false" ht="12.75" hidden="false" customHeight="false" outlineLevel="0" collapsed="false">
      <c r="A25" s="0" t="s">
        <v>377</v>
      </c>
      <c r="B25" s="0" t="n">
        <v>3425601</v>
      </c>
      <c r="C25" s="0" t="s">
        <v>456</v>
      </c>
      <c r="D25" s="21" t="s">
        <v>450</v>
      </c>
    </row>
    <row r="26" customFormat="false" ht="12.75" hidden="false" customHeight="false" outlineLevel="0" collapsed="false">
      <c r="A26" s="0" t="s">
        <v>107</v>
      </c>
      <c r="B26" s="0" t="n">
        <v>3428401</v>
      </c>
      <c r="C26" s="0" t="s">
        <v>455</v>
      </c>
      <c r="D26" s="21" t="s">
        <v>450</v>
      </c>
    </row>
    <row r="27" customFormat="false" ht="12.75" hidden="false" customHeight="false" outlineLevel="0" collapsed="false">
      <c r="A27" s="0" t="s">
        <v>109</v>
      </c>
      <c r="B27" s="0" t="n">
        <v>3429001</v>
      </c>
      <c r="C27" s="0" t="s">
        <v>455</v>
      </c>
      <c r="D27" s="21" t="s">
        <v>450</v>
      </c>
    </row>
    <row r="28" customFormat="false" ht="12.75" hidden="false" customHeight="false" outlineLevel="0" collapsed="false">
      <c r="A28" s="0" t="s">
        <v>103</v>
      </c>
      <c r="B28" s="0" t="n">
        <v>3429601</v>
      </c>
      <c r="C28" s="0" t="s">
        <v>455</v>
      </c>
      <c r="D28" s="21" t="s">
        <v>450</v>
      </c>
    </row>
    <row r="29" customFormat="false" ht="12.75" hidden="false" customHeight="false" outlineLevel="0" collapsed="false">
      <c r="A29" s="0" t="s">
        <v>86</v>
      </c>
      <c r="B29" s="0" t="n">
        <v>3472501</v>
      </c>
      <c r="C29" s="0" t="s">
        <v>454</v>
      </c>
      <c r="D29" s="21" t="s">
        <v>450</v>
      </c>
    </row>
    <row r="30" customFormat="false" ht="12.75" hidden="false" customHeight="false" outlineLevel="0" collapsed="false">
      <c r="A30" s="0" t="s">
        <v>105</v>
      </c>
      <c r="B30" s="0" t="n">
        <v>3478201</v>
      </c>
      <c r="C30" s="0" t="s">
        <v>455</v>
      </c>
      <c r="D30" s="21" t="s">
        <v>446</v>
      </c>
    </row>
    <row r="31" customFormat="false" ht="12.75" hidden="false" customHeight="false" outlineLevel="0" collapsed="false">
      <c r="A31" s="0" t="s">
        <v>106</v>
      </c>
      <c r="B31" s="0" t="n">
        <v>3502801</v>
      </c>
      <c r="C31" s="0" t="s">
        <v>455</v>
      </c>
      <c r="D31" s="21" t="s">
        <v>450</v>
      </c>
    </row>
    <row r="32" customFormat="false" ht="12.75" hidden="false" customHeight="false" outlineLevel="0" collapsed="false">
      <c r="A32" s="0" t="s">
        <v>9</v>
      </c>
      <c r="B32" s="0" t="n">
        <v>3505301</v>
      </c>
      <c r="C32" s="0" t="s">
        <v>10</v>
      </c>
      <c r="D32" s="21" t="s">
        <v>450</v>
      </c>
    </row>
    <row r="33" customFormat="false" ht="12.75" hidden="false" customHeight="false" outlineLevel="0" collapsed="false">
      <c r="A33" s="0" t="s">
        <v>234</v>
      </c>
      <c r="B33" s="0" t="n">
        <v>3507801</v>
      </c>
      <c r="C33" s="0" t="s">
        <v>233</v>
      </c>
      <c r="D33" s="21" t="s">
        <v>450</v>
      </c>
    </row>
    <row r="34" customFormat="false" ht="12.75" hidden="false" customHeight="false" outlineLevel="0" collapsed="false">
      <c r="A34" s="0" t="s">
        <v>235</v>
      </c>
      <c r="B34" s="0" t="n">
        <v>3507901</v>
      </c>
      <c r="C34" s="0" t="s">
        <v>233</v>
      </c>
      <c r="D34" s="21" t="s">
        <v>450</v>
      </c>
    </row>
    <row r="35" customFormat="false" ht="12.75" hidden="false" customHeight="false" outlineLevel="0" collapsed="false">
      <c r="A35" s="0" t="s">
        <v>236</v>
      </c>
      <c r="B35" s="0" t="n">
        <v>3508401</v>
      </c>
      <c r="C35" s="0" t="s">
        <v>233</v>
      </c>
      <c r="D35" s="21" t="s">
        <v>450</v>
      </c>
    </row>
    <row r="36" customFormat="false" ht="12.75" hidden="false" customHeight="false" outlineLevel="0" collapsed="false">
      <c r="A36" s="0" t="s">
        <v>88</v>
      </c>
      <c r="B36" s="0" t="n">
        <v>3539901</v>
      </c>
      <c r="C36" s="0" t="s">
        <v>454</v>
      </c>
      <c r="D36" s="21" t="s">
        <v>450</v>
      </c>
    </row>
    <row r="37" customFormat="false" ht="12.75" hidden="false" customHeight="false" outlineLevel="0" collapsed="false">
      <c r="A37" s="0" t="s">
        <v>20</v>
      </c>
      <c r="B37" s="0" t="n">
        <v>3540501</v>
      </c>
      <c r="C37" s="0" t="s">
        <v>10</v>
      </c>
      <c r="D37" s="21" t="s">
        <v>450</v>
      </c>
    </row>
    <row r="38" customFormat="false" ht="12.75" hidden="false" customHeight="false" outlineLevel="0" collapsed="false">
      <c r="A38" s="0" t="s">
        <v>299</v>
      </c>
      <c r="B38" s="0" t="n">
        <v>3549301</v>
      </c>
      <c r="C38" s="0" t="s">
        <v>293</v>
      </c>
      <c r="D38" s="21" t="s">
        <v>450</v>
      </c>
    </row>
    <row r="39" customFormat="false" ht="12.75" hidden="false" customHeight="false" outlineLevel="0" collapsed="false">
      <c r="A39" s="0" t="s">
        <v>73</v>
      </c>
      <c r="B39" s="0" t="n">
        <v>3549701</v>
      </c>
      <c r="C39" s="0" t="s">
        <v>46</v>
      </c>
      <c r="D39" s="21" t="s">
        <v>450</v>
      </c>
    </row>
    <row r="40" customFormat="false" ht="12.75" hidden="false" customHeight="false" outlineLevel="0" collapsed="false">
      <c r="A40" s="0" t="s">
        <v>74</v>
      </c>
      <c r="B40" s="0" t="n">
        <v>3552201</v>
      </c>
      <c r="C40" s="0" t="s">
        <v>46</v>
      </c>
      <c r="D40" s="21" t="s">
        <v>450</v>
      </c>
    </row>
    <row r="41" customFormat="false" ht="12.75" hidden="false" customHeight="false" outlineLevel="0" collapsed="false">
      <c r="A41" s="0" t="s">
        <v>195</v>
      </c>
      <c r="B41" s="0" t="n">
        <v>3552801</v>
      </c>
      <c r="C41" s="0" t="s">
        <v>457</v>
      </c>
      <c r="D41" s="21" t="s">
        <v>450</v>
      </c>
    </row>
    <row r="42" customFormat="false" ht="12.75" hidden="false" customHeight="false" outlineLevel="0" collapsed="false">
      <c r="A42" s="0" t="s">
        <v>196</v>
      </c>
      <c r="B42" s="0" t="n">
        <v>3553701</v>
      </c>
      <c r="C42" s="0" t="s">
        <v>36</v>
      </c>
      <c r="D42" s="21" t="s">
        <v>450</v>
      </c>
    </row>
    <row r="43" customFormat="false" ht="12.75" hidden="false" customHeight="false" outlineLevel="0" collapsed="false">
      <c r="A43" s="0" t="s">
        <v>75</v>
      </c>
      <c r="B43" s="0" t="n">
        <v>3557101</v>
      </c>
      <c r="C43" s="0" t="s">
        <v>46</v>
      </c>
      <c r="D43" s="21" t="s">
        <v>450</v>
      </c>
    </row>
    <row r="44" customFormat="false" ht="12.75" hidden="false" customHeight="false" outlineLevel="0" collapsed="false">
      <c r="A44" s="0" t="s">
        <v>424</v>
      </c>
      <c r="B44" s="0" t="n">
        <v>3557501</v>
      </c>
      <c r="C44" s="0" t="s">
        <v>425</v>
      </c>
      <c r="D44" s="21" t="s">
        <v>451</v>
      </c>
    </row>
    <row r="45" customFormat="false" ht="12.75" hidden="false" customHeight="false" outlineLevel="0" collapsed="false">
      <c r="A45" s="0" t="s">
        <v>197</v>
      </c>
      <c r="B45" s="0" t="n">
        <v>3558301</v>
      </c>
      <c r="C45" s="0" t="s">
        <v>36</v>
      </c>
      <c r="D45" s="21" t="s">
        <v>450</v>
      </c>
    </row>
    <row r="46" customFormat="false" ht="12.75" hidden="false" customHeight="false" outlineLevel="0" collapsed="false">
      <c r="A46" s="0" t="s">
        <v>287</v>
      </c>
      <c r="B46" s="0" t="n">
        <v>3564601</v>
      </c>
      <c r="C46" s="0" t="s">
        <v>458</v>
      </c>
      <c r="D46" s="21" t="s">
        <v>450</v>
      </c>
    </row>
    <row r="47" customFormat="false" ht="12.75" hidden="false" customHeight="false" outlineLevel="0" collapsed="false">
      <c r="A47" s="0" t="s">
        <v>421</v>
      </c>
      <c r="B47" s="0" t="n">
        <v>3564701</v>
      </c>
      <c r="C47" s="0" t="s">
        <v>419</v>
      </c>
      <c r="D47" s="21" t="s">
        <v>450</v>
      </c>
    </row>
    <row r="48" customFormat="false" ht="12.75" hidden="false" customHeight="false" outlineLevel="0" collapsed="false">
      <c r="A48" s="0" t="s">
        <v>423</v>
      </c>
      <c r="B48" s="0" t="n">
        <v>3564801</v>
      </c>
      <c r="C48" s="0" t="s">
        <v>419</v>
      </c>
      <c r="D48" s="21" t="s">
        <v>450</v>
      </c>
    </row>
    <row r="49" customFormat="false" ht="12.75" hidden="false" customHeight="false" outlineLevel="0" collapsed="false">
      <c r="A49" s="0" t="s">
        <v>255</v>
      </c>
      <c r="B49" s="0" t="n">
        <v>3565501</v>
      </c>
      <c r="C49" s="0" t="s">
        <v>459</v>
      </c>
      <c r="D49" s="21" t="s">
        <v>450</v>
      </c>
    </row>
    <row r="50" customFormat="false" ht="12.75" hidden="false" customHeight="false" outlineLevel="0" collapsed="false">
      <c r="A50" s="0" t="s">
        <v>256</v>
      </c>
      <c r="B50" s="0" t="n">
        <v>3573701</v>
      </c>
      <c r="C50" s="0" t="s">
        <v>459</v>
      </c>
      <c r="D50" s="21" t="s">
        <v>450</v>
      </c>
    </row>
    <row r="51" customFormat="false" ht="12.75" hidden="false" customHeight="false" outlineLevel="0" collapsed="false">
      <c r="A51" s="0" t="s">
        <v>274</v>
      </c>
      <c r="B51" s="0" t="n">
        <v>3576601</v>
      </c>
      <c r="C51" s="0" t="s">
        <v>270</v>
      </c>
      <c r="D51" s="21" t="s">
        <v>450</v>
      </c>
    </row>
    <row r="52" customFormat="false" ht="12.75" hidden="false" customHeight="false" outlineLevel="0" collapsed="false">
      <c r="A52" s="0" t="s">
        <v>302</v>
      </c>
      <c r="B52" s="0" t="n">
        <v>3582101</v>
      </c>
      <c r="C52" s="0" t="s">
        <v>293</v>
      </c>
      <c r="D52" s="21" t="s">
        <v>446</v>
      </c>
    </row>
    <row r="53" customFormat="false" ht="12.75" hidden="false" customHeight="false" outlineLevel="0" collapsed="false">
      <c r="A53" s="0" t="s">
        <v>335</v>
      </c>
      <c r="B53" s="0" t="n">
        <v>3584101</v>
      </c>
      <c r="C53" s="0" t="s">
        <v>460</v>
      </c>
      <c r="D53" s="21" t="s">
        <v>450</v>
      </c>
    </row>
    <row r="54" customFormat="false" ht="12.75" hidden="false" customHeight="false" outlineLevel="0" collapsed="false">
      <c r="A54" s="0" t="s">
        <v>337</v>
      </c>
      <c r="B54" s="0" t="n">
        <v>3584201</v>
      </c>
      <c r="C54" s="0" t="s">
        <v>460</v>
      </c>
      <c r="D54" s="21" t="s">
        <v>450</v>
      </c>
    </row>
    <row r="55" customFormat="false" ht="12.75" hidden="false" customHeight="false" outlineLevel="0" collapsed="false">
      <c r="A55" s="0" t="s">
        <v>275</v>
      </c>
      <c r="B55" s="0" t="n">
        <v>3584401</v>
      </c>
      <c r="C55" s="0" t="s">
        <v>270</v>
      </c>
      <c r="D55" s="21" t="s">
        <v>450</v>
      </c>
    </row>
    <row r="56" customFormat="false" ht="12.75" hidden="false" customHeight="false" outlineLevel="0" collapsed="false">
      <c r="A56" s="0" t="s">
        <v>258</v>
      </c>
      <c r="B56" s="0" t="n">
        <v>3585801</v>
      </c>
      <c r="C56" s="0" t="s">
        <v>459</v>
      </c>
      <c r="D56" s="21" t="s">
        <v>450</v>
      </c>
    </row>
    <row r="57" customFormat="false" ht="12.75" hidden="false" customHeight="false" outlineLevel="0" collapsed="false">
      <c r="A57" s="0" t="s">
        <v>379</v>
      </c>
      <c r="B57" s="0" t="n">
        <v>3587701</v>
      </c>
      <c r="C57" s="0" t="s">
        <v>456</v>
      </c>
      <c r="D57" s="21" t="s">
        <v>450</v>
      </c>
    </row>
    <row r="58" customFormat="false" ht="12.75" hidden="false" customHeight="false" outlineLevel="0" collapsed="false">
      <c r="A58" s="0" t="s">
        <v>325</v>
      </c>
      <c r="B58" s="0" t="n">
        <v>4099201</v>
      </c>
      <c r="C58" s="0" t="s">
        <v>315</v>
      </c>
      <c r="D58" s="21" t="s">
        <v>450</v>
      </c>
    </row>
    <row r="59" customFormat="false" ht="12.75" hidden="false" customHeight="false" outlineLevel="0" collapsed="false">
      <c r="A59" s="0" t="s">
        <v>127</v>
      </c>
      <c r="B59" s="0" t="n">
        <v>4132101</v>
      </c>
      <c r="C59" s="0" t="s">
        <v>461</v>
      </c>
      <c r="D59" s="21" t="s">
        <v>451</v>
      </c>
    </row>
    <row r="60" customFormat="false" ht="12.75" hidden="false" customHeight="false" outlineLevel="0" collapsed="false">
      <c r="A60" s="0" t="s">
        <v>128</v>
      </c>
      <c r="B60" s="0" t="n">
        <v>4132201</v>
      </c>
      <c r="C60" s="0" t="s">
        <v>461</v>
      </c>
      <c r="D60" s="21" t="s">
        <v>451</v>
      </c>
    </row>
    <row r="61" customFormat="false" ht="12.75" hidden="false" customHeight="false" outlineLevel="0" collapsed="false">
      <c r="A61" s="0" t="s">
        <v>129</v>
      </c>
      <c r="B61" s="0" t="n">
        <v>4134301</v>
      </c>
      <c r="C61" s="0" t="s">
        <v>461</v>
      </c>
      <c r="D61" s="21" t="s">
        <v>451</v>
      </c>
    </row>
    <row r="62" customFormat="false" ht="12.75" hidden="false" customHeight="false" outlineLevel="0" collapsed="false">
      <c r="A62" s="0" t="s">
        <v>130</v>
      </c>
      <c r="B62" s="0" t="n">
        <v>4137901</v>
      </c>
      <c r="C62" s="0" t="s">
        <v>461</v>
      </c>
      <c r="D62" s="21" t="s">
        <v>451</v>
      </c>
    </row>
    <row r="63" customFormat="false" ht="12.75" hidden="false" customHeight="false" outlineLevel="0" collapsed="false">
      <c r="A63" s="0" t="s">
        <v>131</v>
      </c>
      <c r="B63" s="0" t="n">
        <v>4235001</v>
      </c>
      <c r="C63" s="0" t="s">
        <v>461</v>
      </c>
      <c r="D63" s="21" t="s">
        <v>451</v>
      </c>
    </row>
    <row r="64" customFormat="false" ht="12.75" hidden="false" customHeight="false" outlineLevel="0" collapsed="false">
      <c r="A64" s="0" t="s">
        <v>169</v>
      </c>
      <c r="B64" s="0" t="n">
        <v>4281001</v>
      </c>
      <c r="C64" s="0" t="s">
        <v>170</v>
      </c>
      <c r="D64" s="21" t="s">
        <v>451</v>
      </c>
    </row>
    <row r="65" customFormat="false" ht="12.75" hidden="false" customHeight="false" outlineLevel="0" collapsed="false">
      <c r="A65" s="0" t="s">
        <v>384</v>
      </c>
      <c r="B65" s="0" t="n">
        <v>4315601</v>
      </c>
      <c r="C65" s="0" t="s">
        <v>462</v>
      </c>
      <c r="D65" s="21" t="s">
        <v>451</v>
      </c>
    </row>
    <row r="66" customFormat="false" ht="12.75" hidden="false" customHeight="false" outlineLevel="0" collapsed="false">
      <c r="A66" s="0" t="s">
        <v>199</v>
      </c>
      <c r="B66" s="0" t="n">
        <v>4333501</v>
      </c>
      <c r="C66" s="0" t="s">
        <v>36</v>
      </c>
      <c r="D66" s="21" t="s">
        <v>450</v>
      </c>
    </row>
    <row r="67" customFormat="false" ht="12.75" hidden="false" customHeight="false" outlineLevel="0" collapsed="false">
      <c r="A67" s="0" t="s">
        <v>201</v>
      </c>
      <c r="B67" s="0" t="n">
        <v>4336901</v>
      </c>
      <c r="C67" s="0" t="s">
        <v>36</v>
      </c>
      <c r="D67" s="21" t="s">
        <v>450</v>
      </c>
    </row>
    <row r="68" customFormat="false" ht="12.75" hidden="false" customHeight="false" outlineLevel="0" collapsed="false">
      <c r="A68" s="0" t="s">
        <v>202</v>
      </c>
      <c r="B68" s="0" t="n">
        <v>4341201</v>
      </c>
      <c r="C68" s="0" t="s">
        <v>36</v>
      </c>
      <c r="D68" s="21" t="s">
        <v>450</v>
      </c>
    </row>
    <row r="69" customFormat="false" ht="12.75" hidden="false" customHeight="false" outlineLevel="0" collapsed="false">
      <c r="A69" s="0" t="s">
        <v>267</v>
      </c>
      <c r="B69" s="0" t="n">
        <v>4342301</v>
      </c>
      <c r="C69" s="0" t="s">
        <v>463</v>
      </c>
      <c r="D69" s="21" t="s">
        <v>450</v>
      </c>
    </row>
    <row r="70" customFormat="false" ht="12.75" hidden="false" customHeight="false" outlineLevel="0" collapsed="false">
      <c r="A70" s="0" t="s">
        <v>203</v>
      </c>
      <c r="B70" s="0" t="n">
        <v>4343301</v>
      </c>
      <c r="C70" s="0" t="s">
        <v>36</v>
      </c>
      <c r="D70" s="21" t="s">
        <v>450</v>
      </c>
    </row>
    <row r="71" customFormat="false" ht="12.75" hidden="false" customHeight="false" outlineLevel="0" collapsed="false">
      <c r="A71" s="0" t="s">
        <v>204</v>
      </c>
      <c r="B71" s="0" t="n">
        <v>4345701</v>
      </c>
      <c r="C71" s="0" t="s">
        <v>36</v>
      </c>
      <c r="D71" s="21" t="s">
        <v>450</v>
      </c>
    </row>
    <row r="72" customFormat="false" ht="12.75" hidden="false" customHeight="false" outlineLevel="0" collapsed="false">
      <c r="A72" s="0" t="s">
        <v>205</v>
      </c>
      <c r="B72" s="0" t="n">
        <v>4345801</v>
      </c>
      <c r="C72" s="0" t="s">
        <v>36</v>
      </c>
      <c r="D72" s="21" t="s">
        <v>450</v>
      </c>
    </row>
    <row r="73" customFormat="false" ht="12.75" hidden="false" customHeight="false" outlineLevel="0" collapsed="false">
      <c r="A73" s="0" t="s">
        <v>426</v>
      </c>
      <c r="B73" s="0" t="n">
        <v>4348401</v>
      </c>
      <c r="C73" s="0" t="s">
        <v>425</v>
      </c>
      <c r="D73" s="21" t="s">
        <v>451</v>
      </c>
    </row>
    <row r="74" customFormat="false" ht="12.75" hidden="false" customHeight="false" outlineLevel="0" collapsed="false">
      <c r="A74" s="0" t="s">
        <v>206</v>
      </c>
      <c r="B74" s="0" t="n">
        <v>4349401</v>
      </c>
      <c r="C74" s="0" t="s">
        <v>36</v>
      </c>
      <c r="D74" s="21" t="s">
        <v>450</v>
      </c>
    </row>
    <row r="75" customFormat="false" ht="12.75" hidden="false" customHeight="false" outlineLevel="0" collapsed="false">
      <c r="A75" s="0" t="s">
        <v>339</v>
      </c>
      <c r="B75" s="0" t="n">
        <v>4362001</v>
      </c>
      <c r="C75" s="0" t="s">
        <v>36</v>
      </c>
      <c r="D75" s="21" t="s">
        <v>450</v>
      </c>
    </row>
    <row r="76" customFormat="false" ht="12.75" hidden="false" customHeight="false" outlineLevel="0" collapsed="false">
      <c r="A76" s="0" t="s">
        <v>207</v>
      </c>
      <c r="B76" s="0" t="n">
        <v>4362801</v>
      </c>
      <c r="C76" s="0" t="s">
        <v>36</v>
      </c>
      <c r="D76" s="21" t="s">
        <v>450</v>
      </c>
    </row>
    <row r="77" customFormat="false" ht="12.75" hidden="false" customHeight="false" outlineLevel="0" collapsed="false">
      <c r="A77" s="0" t="s">
        <v>208</v>
      </c>
      <c r="B77" s="0" t="n">
        <v>4362901</v>
      </c>
      <c r="C77" s="0" t="s">
        <v>457</v>
      </c>
      <c r="D77" s="21" t="s">
        <v>450</v>
      </c>
    </row>
    <row r="78" customFormat="false" ht="12.75" hidden="false" customHeight="false" outlineLevel="0" collapsed="false">
      <c r="A78" s="0" t="s">
        <v>209</v>
      </c>
      <c r="B78" s="0" t="n">
        <v>4364001</v>
      </c>
      <c r="C78" s="0" t="s">
        <v>36</v>
      </c>
      <c r="D78" s="21" t="s">
        <v>450</v>
      </c>
    </row>
    <row r="79" customFormat="false" ht="12.75" hidden="false" customHeight="false" outlineLevel="0" collapsed="false">
      <c r="A79" s="0" t="s">
        <v>403</v>
      </c>
      <c r="B79" s="0" t="n">
        <v>4366901</v>
      </c>
      <c r="C79" s="0" t="s">
        <v>464</v>
      </c>
      <c r="D79" s="21" t="s">
        <v>450</v>
      </c>
    </row>
    <row r="80" customFormat="false" ht="12.75" hidden="false" customHeight="false" outlineLevel="0" collapsed="false">
      <c r="A80" s="0" t="s">
        <v>132</v>
      </c>
      <c r="B80" s="0" t="n">
        <v>4370801</v>
      </c>
      <c r="C80" s="0" t="s">
        <v>461</v>
      </c>
      <c r="D80" s="21" t="s">
        <v>451</v>
      </c>
    </row>
    <row r="81" customFormat="false" ht="12.75" hidden="false" customHeight="false" outlineLevel="0" collapsed="false">
      <c r="A81" s="0" t="s">
        <v>133</v>
      </c>
      <c r="B81" s="0" t="n">
        <v>4370901</v>
      </c>
      <c r="C81" s="0" t="s">
        <v>461</v>
      </c>
      <c r="D81" s="21" t="s">
        <v>450</v>
      </c>
    </row>
    <row r="82" customFormat="false" ht="12.75" hidden="false" customHeight="false" outlineLevel="0" collapsed="false">
      <c r="A82" s="0" t="s">
        <v>172</v>
      </c>
      <c r="B82" s="0" t="n">
        <v>4371101</v>
      </c>
      <c r="C82" s="0" t="s">
        <v>170</v>
      </c>
      <c r="D82" s="21" t="s">
        <v>451</v>
      </c>
    </row>
    <row r="83" customFormat="false" ht="12.75" hidden="false" customHeight="false" outlineLevel="0" collapsed="false">
      <c r="A83" s="0" t="s">
        <v>134</v>
      </c>
      <c r="B83" s="0" t="n">
        <v>4371201</v>
      </c>
      <c r="C83" s="0" t="s">
        <v>461</v>
      </c>
      <c r="D83" s="21" t="s">
        <v>451</v>
      </c>
    </row>
    <row r="84" customFormat="false" ht="12.75" hidden="false" customHeight="false" outlineLevel="0" collapsed="false">
      <c r="A84" s="0" t="s">
        <v>135</v>
      </c>
      <c r="B84" s="0" t="n">
        <v>4371701</v>
      </c>
      <c r="C84" s="0" t="s">
        <v>461</v>
      </c>
      <c r="D84" s="21" t="s">
        <v>451</v>
      </c>
    </row>
    <row r="85" customFormat="false" ht="12.75" hidden="false" customHeight="false" outlineLevel="0" collapsed="false">
      <c r="A85" s="0" t="s">
        <v>137</v>
      </c>
      <c r="B85" s="0" t="n">
        <v>4373001</v>
      </c>
      <c r="C85" s="0" t="s">
        <v>461</v>
      </c>
      <c r="D85" s="21" t="s">
        <v>451</v>
      </c>
    </row>
    <row r="86" customFormat="false" ht="12.75" hidden="false" customHeight="false" outlineLevel="0" collapsed="false">
      <c r="A86" s="0" t="s">
        <v>331</v>
      </c>
      <c r="B86" s="0" t="n">
        <v>5156201</v>
      </c>
      <c r="C86" s="0" t="s">
        <v>315</v>
      </c>
      <c r="D86" s="21" t="s">
        <v>451</v>
      </c>
    </row>
    <row r="87" customFormat="false" ht="12.75" hidden="false" customHeight="false" outlineLevel="0" collapsed="false">
      <c r="A87" s="0" t="s">
        <v>332</v>
      </c>
      <c r="B87" s="0" t="n">
        <v>5171101</v>
      </c>
      <c r="C87" s="0" t="s">
        <v>315</v>
      </c>
      <c r="D87" s="21" t="s">
        <v>451</v>
      </c>
    </row>
    <row r="88" customFormat="false" ht="12.75" hidden="false" customHeight="false" outlineLevel="0" collapsed="false">
      <c r="A88" s="0" t="s">
        <v>146</v>
      </c>
      <c r="B88" s="0" t="s">
        <v>147</v>
      </c>
      <c r="C88" s="0" t="s">
        <v>452</v>
      </c>
      <c r="D88" s="21" t="s">
        <v>450</v>
      </c>
    </row>
    <row r="89" customFormat="false" ht="12.75" hidden="false" customHeight="false" outlineLevel="0" collapsed="false">
      <c r="A89" s="0" t="s">
        <v>399</v>
      </c>
      <c r="B89" s="0" t="n">
        <v>3402401</v>
      </c>
      <c r="C89" s="0" t="s">
        <v>465</v>
      </c>
      <c r="D89" s="21" t="s">
        <v>450</v>
      </c>
    </row>
    <row r="90" customFormat="false" ht="12.75" hidden="false" customHeight="false" outlineLevel="0" collapsed="false">
      <c r="A90" s="0" t="s">
        <v>433</v>
      </c>
      <c r="B90" s="0" t="n">
        <v>3190601</v>
      </c>
      <c r="C90" s="0" t="s">
        <v>434</v>
      </c>
      <c r="D90" s="21" t="s">
        <v>450</v>
      </c>
    </row>
    <row r="91" customFormat="false" ht="12.75" hidden="false" customHeight="false" outlineLevel="0" collapsed="false">
      <c r="A91" s="0" t="s">
        <v>123</v>
      </c>
      <c r="B91" s="0" t="n">
        <v>4085901</v>
      </c>
      <c r="C91" s="0" t="s">
        <v>120</v>
      </c>
      <c r="D91" s="21" t="s">
        <v>450</v>
      </c>
    </row>
    <row r="92" customFormat="false" ht="12.75" hidden="false" customHeight="false" outlineLevel="0" collapsed="false">
      <c r="A92" s="0" t="s">
        <v>367</v>
      </c>
      <c r="B92" s="0" t="n">
        <v>3250501</v>
      </c>
      <c r="C92" s="0" t="s">
        <v>365</v>
      </c>
      <c r="D92" s="21" t="s">
        <v>450</v>
      </c>
    </row>
    <row r="93" customFormat="false" ht="12.75" hidden="false" customHeight="false" outlineLevel="0" collapsed="false">
      <c r="A93" s="0" t="s">
        <v>277</v>
      </c>
      <c r="B93" s="0" t="n">
        <v>3016301</v>
      </c>
      <c r="C93" s="0" t="s">
        <v>278</v>
      </c>
      <c r="D93" s="21" t="s">
        <v>450</v>
      </c>
    </row>
    <row r="94" customFormat="false" ht="12.75" hidden="false" customHeight="false" outlineLevel="0" collapsed="false">
      <c r="A94" s="0" t="s">
        <v>279</v>
      </c>
      <c r="B94" s="0" t="n">
        <v>3153701</v>
      </c>
      <c r="C94" s="0" t="s">
        <v>278</v>
      </c>
      <c r="D94" s="21" t="s">
        <v>450</v>
      </c>
    </row>
    <row r="95" customFormat="false" ht="12.75" hidden="false" customHeight="false" outlineLevel="0" collapsed="false">
      <c r="A95" s="0" t="s">
        <v>280</v>
      </c>
      <c r="B95" s="0" t="n">
        <v>3316501</v>
      </c>
      <c r="C95" s="0" t="s">
        <v>278</v>
      </c>
      <c r="D95" s="21" t="s">
        <v>450</v>
      </c>
    </row>
    <row r="96" customFormat="false" ht="12.75" hidden="false" customHeight="false" outlineLevel="0" collapsed="false">
      <c r="A96" s="0" t="s">
        <v>281</v>
      </c>
      <c r="B96" s="0" t="n">
        <v>3316601</v>
      </c>
      <c r="C96" s="0" t="s">
        <v>278</v>
      </c>
      <c r="D96" s="21" t="s">
        <v>450</v>
      </c>
    </row>
    <row r="97" customFormat="false" ht="12.75" hidden="false" customHeight="false" outlineLevel="0" collapsed="false">
      <c r="A97" s="0" t="s">
        <v>168</v>
      </c>
      <c r="B97" s="0" t="n">
        <v>3294701</v>
      </c>
      <c r="C97" s="0" t="s">
        <v>167</v>
      </c>
      <c r="D97" s="21" t="s">
        <v>450</v>
      </c>
    </row>
    <row r="98" customFormat="false" ht="12.75" hidden="false" customHeight="false" outlineLevel="0" collapsed="false">
      <c r="A98" s="0" t="s">
        <v>289</v>
      </c>
      <c r="B98" s="0" t="n">
        <v>4180601</v>
      </c>
      <c r="C98" s="0" t="s">
        <v>466</v>
      </c>
      <c r="D98" s="21" t="s">
        <v>450</v>
      </c>
    </row>
    <row r="99" customFormat="false" ht="12.75" hidden="false" customHeight="false" outlineLevel="0" collapsed="false">
      <c r="A99" s="0" t="s">
        <v>291</v>
      </c>
      <c r="B99" s="0" t="n">
        <v>4188401</v>
      </c>
      <c r="C99" s="0" t="s">
        <v>466</v>
      </c>
      <c r="D99" s="21" t="s">
        <v>450</v>
      </c>
    </row>
    <row r="100" customFormat="false" ht="12.75" hidden="false" customHeight="false" outlineLevel="0" collapsed="false">
      <c r="A100" s="0" t="s">
        <v>244</v>
      </c>
      <c r="B100" s="0" t="n">
        <v>4058801</v>
      </c>
      <c r="C100" s="0" t="s">
        <v>467</v>
      </c>
      <c r="D100" s="21" t="s">
        <v>450</v>
      </c>
    </row>
    <row r="101" customFormat="false" ht="12.75" hidden="false" customHeight="false" outlineLevel="0" collapsed="false">
      <c r="A101" s="0" t="s">
        <v>407</v>
      </c>
      <c r="B101" s="0" t="n">
        <v>3234701</v>
      </c>
      <c r="C101" s="0" t="s">
        <v>406</v>
      </c>
      <c r="D101" s="21" t="s">
        <v>450</v>
      </c>
    </row>
    <row r="102" customFormat="false" ht="12.75" hidden="false" customHeight="false" outlineLevel="0" collapsed="false">
      <c r="A102" s="0" t="s">
        <v>409</v>
      </c>
      <c r="B102" s="0" t="n">
        <v>3514402</v>
      </c>
      <c r="C102" s="0" t="s">
        <v>406</v>
      </c>
      <c r="D102" s="21" t="s">
        <v>446</v>
      </c>
    </row>
    <row r="103" customFormat="false" ht="12.75" hidden="false" customHeight="false" outlineLevel="0" collapsed="false">
      <c r="A103" s="0" t="s">
        <v>121</v>
      </c>
      <c r="B103" s="0" t="n">
        <v>3139001</v>
      </c>
      <c r="C103" s="0" t="s">
        <v>120</v>
      </c>
      <c r="D103" s="21" t="s">
        <v>450</v>
      </c>
    </row>
    <row r="104" customFormat="false" ht="12.75" hidden="false" customHeight="false" outlineLevel="0" collapsed="false">
      <c r="A104" s="0" t="s">
        <v>119</v>
      </c>
      <c r="B104" s="0" t="n">
        <v>3017201</v>
      </c>
      <c r="C104" s="0" t="s">
        <v>120</v>
      </c>
      <c r="D104" s="21" t="s">
        <v>450</v>
      </c>
    </row>
    <row r="105" customFormat="false" ht="12.75" hidden="false" customHeight="false" outlineLevel="0" collapsed="false">
      <c r="A105" s="0" t="s">
        <v>242</v>
      </c>
      <c r="B105" s="0" t="n">
        <v>4043501</v>
      </c>
      <c r="C105" s="0" t="s">
        <v>467</v>
      </c>
      <c r="D105" s="21" t="s">
        <v>450</v>
      </c>
    </row>
    <row r="106" customFormat="false" ht="12.75" hidden="false" customHeight="false" outlineLevel="0" collapsed="false">
      <c r="A106" s="0" t="s">
        <v>95</v>
      </c>
      <c r="B106" s="0" t="n">
        <v>4133001</v>
      </c>
      <c r="C106" s="0" t="s">
        <v>93</v>
      </c>
      <c r="D106" s="21" t="s">
        <v>451</v>
      </c>
    </row>
    <row r="107" customFormat="false" ht="12.75" hidden="false" customHeight="false" outlineLevel="0" collapsed="false">
      <c r="A107" s="0" t="s">
        <v>22</v>
      </c>
      <c r="B107" s="0" t="n">
        <v>4044401</v>
      </c>
      <c r="C107" s="0" t="s">
        <v>468</v>
      </c>
      <c r="D107" s="21" t="s">
        <v>450</v>
      </c>
    </row>
    <row r="108" customFormat="false" ht="12.75" hidden="false" customHeight="false" outlineLevel="0" collapsed="false">
      <c r="A108" s="0" t="s">
        <v>333</v>
      </c>
      <c r="B108" s="0" t="n">
        <v>3086501</v>
      </c>
      <c r="C108" s="0" t="s">
        <v>334</v>
      </c>
      <c r="D108" s="21" t="s">
        <v>450</v>
      </c>
    </row>
    <row r="109" customFormat="false" ht="12.75" hidden="false" customHeight="false" outlineLevel="0" collapsed="false">
      <c r="A109" s="0" t="s">
        <v>138</v>
      </c>
      <c r="B109" s="0" t="n">
        <v>3050201</v>
      </c>
      <c r="C109" s="0" t="s">
        <v>469</v>
      </c>
      <c r="D109" s="21" t="s">
        <v>450</v>
      </c>
    </row>
    <row r="110" customFormat="false" ht="12.75" hidden="false" customHeight="false" outlineLevel="0" collapsed="false">
      <c r="A110" s="0" t="s">
        <v>140</v>
      </c>
      <c r="B110" s="0" t="n">
        <v>3053201</v>
      </c>
      <c r="C110" s="0" t="s">
        <v>469</v>
      </c>
      <c r="D110" s="21" t="s">
        <v>450</v>
      </c>
    </row>
    <row r="111" customFormat="false" ht="12.75" hidden="false" customHeight="false" outlineLevel="0" collapsed="false">
      <c r="A111" s="0" t="s">
        <v>55</v>
      </c>
      <c r="B111" s="0" t="n">
        <v>3024701</v>
      </c>
      <c r="C111" s="0" t="s">
        <v>46</v>
      </c>
      <c r="D111" s="21" t="s">
        <v>450</v>
      </c>
    </row>
    <row r="112" customFormat="false" ht="12.75" hidden="false" customHeight="false" outlineLevel="0" collapsed="false">
      <c r="A112" s="0" t="s">
        <v>56</v>
      </c>
      <c r="B112" s="0" t="n">
        <v>3024901</v>
      </c>
      <c r="C112" s="0" t="s">
        <v>46</v>
      </c>
      <c r="D112" s="21" t="s">
        <v>450</v>
      </c>
    </row>
    <row r="113" customFormat="false" ht="12.75" hidden="false" customHeight="false" outlineLevel="0" collapsed="false">
      <c r="A113" s="0" t="s">
        <v>58</v>
      </c>
      <c r="B113" s="0" t="n">
        <v>3026101</v>
      </c>
      <c r="C113" s="0" t="s">
        <v>46</v>
      </c>
      <c r="D113" s="21" t="s">
        <v>450</v>
      </c>
    </row>
    <row r="114" customFormat="false" ht="12.75" hidden="false" customHeight="false" outlineLevel="0" collapsed="false">
      <c r="A114" s="0" t="s">
        <v>59</v>
      </c>
      <c r="B114" s="0" t="n">
        <v>3026401</v>
      </c>
      <c r="C114" s="0" t="s">
        <v>46</v>
      </c>
      <c r="D114" s="21" t="s">
        <v>450</v>
      </c>
    </row>
    <row r="115" customFormat="false" ht="12.75" hidden="false" customHeight="false" outlineLevel="0" collapsed="false">
      <c r="A115" s="0" t="s">
        <v>57</v>
      </c>
      <c r="B115" s="0" t="n">
        <v>3025701</v>
      </c>
      <c r="C115" s="0" t="s">
        <v>46</v>
      </c>
      <c r="D115" s="21" t="s">
        <v>450</v>
      </c>
    </row>
    <row r="116" customFormat="false" ht="12.75" hidden="false" customHeight="false" outlineLevel="0" collapsed="false">
      <c r="A116" s="0" t="s">
        <v>60</v>
      </c>
      <c r="B116" s="0" t="n">
        <v>3026601</v>
      </c>
      <c r="C116" s="0" t="s">
        <v>46</v>
      </c>
      <c r="D116" s="21" t="s">
        <v>450</v>
      </c>
    </row>
    <row r="117" customFormat="false" ht="12.75" hidden="false" customHeight="false" outlineLevel="0" collapsed="false">
      <c r="A117" s="0" t="s">
        <v>52</v>
      </c>
      <c r="B117" s="0" t="n">
        <v>3021701</v>
      </c>
      <c r="C117" s="0" t="s">
        <v>46</v>
      </c>
      <c r="D117" s="21" t="s">
        <v>446</v>
      </c>
    </row>
    <row r="118" customFormat="false" ht="12.75" hidden="false" customHeight="false" outlineLevel="0" collapsed="false">
      <c r="A118" s="0" t="s">
        <v>62</v>
      </c>
      <c r="B118" s="0" t="n">
        <v>3029801</v>
      </c>
      <c r="C118" s="0" t="s">
        <v>46</v>
      </c>
      <c r="D118" s="21" t="s">
        <v>450</v>
      </c>
    </row>
    <row r="119" customFormat="false" ht="12.75" hidden="false" customHeight="false" outlineLevel="0" collapsed="false">
      <c r="A119" s="0" t="s">
        <v>61</v>
      </c>
      <c r="B119" s="0" t="n">
        <v>3029601</v>
      </c>
      <c r="C119" s="0" t="s">
        <v>46</v>
      </c>
      <c r="D119" s="21" t="s">
        <v>450</v>
      </c>
    </row>
    <row r="120" customFormat="false" ht="12.75" hidden="false" customHeight="false" outlineLevel="0" collapsed="false">
      <c r="A120" s="0" t="s">
        <v>64</v>
      </c>
      <c r="B120" s="0" t="n">
        <v>3031701</v>
      </c>
      <c r="C120" s="0" t="s">
        <v>46</v>
      </c>
      <c r="D120" s="21" t="s">
        <v>450</v>
      </c>
    </row>
    <row r="121" customFormat="false" ht="12.75" hidden="false" customHeight="false" outlineLevel="0" collapsed="false">
      <c r="A121" s="0" t="s">
        <v>68</v>
      </c>
      <c r="B121" s="0" t="n">
        <v>3209901</v>
      </c>
      <c r="C121" s="0" t="s">
        <v>46</v>
      </c>
      <c r="D121" s="21" t="s">
        <v>450</v>
      </c>
    </row>
    <row r="122" customFormat="false" ht="12.75" hidden="false" customHeight="false" outlineLevel="0" collapsed="false">
      <c r="A122" s="0" t="s">
        <v>65</v>
      </c>
      <c r="B122" s="0" t="n">
        <v>3033601</v>
      </c>
      <c r="C122" s="0" t="s">
        <v>46</v>
      </c>
      <c r="D122" s="21" t="s">
        <v>450</v>
      </c>
    </row>
    <row r="123" customFormat="false" ht="12.75" hidden="false" customHeight="false" outlineLevel="0" collapsed="false">
      <c r="A123" s="0" t="s">
        <v>72</v>
      </c>
      <c r="B123" s="0" t="n">
        <v>3313401</v>
      </c>
      <c r="C123" s="0" t="s">
        <v>46</v>
      </c>
      <c r="D123" s="21" t="s">
        <v>450</v>
      </c>
    </row>
    <row r="124" customFormat="false" ht="12.75" hidden="false" customHeight="false" outlineLevel="0" collapsed="false">
      <c r="A124" s="0" t="s">
        <v>50</v>
      </c>
      <c r="B124" s="0" t="n">
        <v>3014901</v>
      </c>
      <c r="C124" s="0" t="s">
        <v>46</v>
      </c>
      <c r="D124" s="21" t="s">
        <v>450</v>
      </c>
    </row>
    <row r="125" customFormat="false" ht="12.75" hidden="false" customHeight="false" outlineLevel="0" collapsed="false">
      <c r="A125" s="0" t="s">
        <v>66</v>
      </c>
      <c r="B125" s="0" t="n">
        <v>3034501</v>
      </c>
      <c r="C125" s="0" t="s">
        <v>46</v>
      </c>
      <c r="D125" s="21" t="s">
        <v>450</v>
      </c>
    </row>
    <row r="126" customFormat="false" ht="12.75" hidden="false" customHeight="false" outlineLevel="0" collapsed="false">
      <c r="A126" s="0" t="s">
        <v>67</v>
      </c>
      <c r="B126" s="0" t="n">
        <v>3038001</v>
      </c>
      <c r="C126" s="0" t="s">
        <v>46</v>
      </c>
      <c r="D126" s="21" t="s">
        <v>450</v>
      </c>
    </row>
    <row r="127" customFormat="false" ht="12.75" hidden="false" customHeight="false" outlineLevel="0" collapsed="false">
      <c r="A127" s="0" t="s">
        <v>80</v>
      </c>
      <c r="B127" s="0" t="n">
        <v>3141701</v>
      </c>
      <c r="C127" s="0" t="s">
        <v>454</v>
      </c>
      <c r="D127" s="21" t="s">
        <v>450</v>
      </c>
    </row>
    <row r="128" customFormat="false" ht="12.75" hidden="false" customHeight="false" outlineLevel="0" collapsed="false">
      <c r="A128" s="0" t="s">
        <v>141</v>
      </c>
      <c r="B128" s="0" t="n">
        <v>3329801</v>
      </c>
      <c r="C128" s="0" t="s">
        <v>469</v>
      </c>
      <c r="D128" s="21" t="s">
        <v>450</v>
      </c>
    </row>
    <row r="129" customFormat="false" ht="12.75" hidden="false" customHeight="false" outlineLevel="0" collapsed="false">
      <c r="A129" s="0" t="s">
        <v>338</v>
      </c>
      <c r="B129" s="0" t="n">
        <v>4106301</v>
      </c>
      <c r="C129" s="0" t="s">
        <v>36</v>
      </c>
      <c r="D129" s="21" t="s">
        <v>450</v>
      </c>
    </row>
    <row r="130" customFormat="false" ht="12.75" hidden="false" customHeight="false" outlineLevel="0" collapsed="false">
      <c r="A130" s="0" t="s">
        <v>350</v>
      </c>
      <c r="B130" s="0" t="n">
        <v>3001401</v>
      </c>
      <c r="C130" s="0" t="s">
        <v>470</v>
      </c>
      <c r="D130" s="21" t="s">
        <v>450</v>
      </c>
    </row>
    <row r="131" customFormat="false" ht="12.75" hidden="false" customHeight="false" outlineLevel="0" collapsed="false">
      <c r="A131" s="0" t="s">
        <v>352</v>
      </c>
      <c r="B131" s="0" t="n">
        <v>3001601</v>
      </c>
      <c r="C131" s="0" t="s">
        <v>470</v>
      </c>
      <c r="D131" s="21" t="s">
        <v>450</v>
      </c>
    </row>
    <row r="132" customFormat="false" ht="12.75" hidden="false" customHeight="false" outlineLevel="0" collapsed="false">
      <c r="A132" s="0" t="s">
        <v>354</v>
      </c>
      <c r="B132" s="0" t="n">
        <v>3043201</v>
      </c>
      <c r="C132" s="0" t="s">
        <v>470</v>
      </c>
      <c r="D132" s="21" t="s">
        <v>450</v>
      </c>
    </row>
    <row r="133" customFormat="false" ht="12.75" hidden="false" customHeight="false" outlineLevel="0" collapsed="false">
      <c r="A133" s="0" t="s">
        <v>355</v>
      </c>
      <c r="B133" s="0" t="n">
        <v>3043401</v>
      </c>
      <c r="C133" s="0" t="s">
        <v>470</v>
      </c>
      <c r="D133" s="21" t="s">
        <v>450</v>
      </c>
    </row>
    <row r="134" customFormat="false" ht="12.75" hidden="false" customHeight="false" outlineLevel="0" collapsed="false">
      <c r="A134" s="0" t="s">
        <v>353</v>
      </c>
      <c r="B134" s="0" t="n">
        <v>3038201</v>
      </c>
      <c r="C134" s="0" t="s">
        <v>470</v>
      </c>
      <c r="D134" s="21" t="s">
        <v>450</v>
      </c>
    </row>
    <row r="135" customFormat="false" ht="12.75" hidden="false" customHeight="false" outlineLevel="0" collapsed="false">
      <c r="A135" s="0" t="s">
        <v>401</v>
      </c>
      <c r="B135" s="0" t="n">
        <v>3245701</v>
      </c>
      <c r="C135" s="0" t="s">
        <v>402</v>
      </c>
      <c r="D135" s="21" t="s">
        <v>450</v>
      </c>
    </row>
    <row r="136" customFormat="false" ht="12.75" hidden="false" customHeight="false" outlineLevel="0" collapsed="false">
      <c r="A136" s="0" t="s">
        <v>78</v>
      </c>
      <c r="B136" s="0" t="n">
        <v>3095101</v>
      </c>
      <c r="C136" s="0" t="s">
        <v>454</v>
      </c>
      <c r="D136" s="21" t="s">
        <v>450</v>
      </c>
    </row>
    <row r="137" customFormat="false" ht="12.75" hidden="false" customHeight="false" outlineLevel="0" collapsed="false">
      <c r="A137" s="0" t="s">
        <v>324</v>
      </c>
      <c r="B137" s="0" t="n">
        <v>4098601</v>
      </c>
      <c r="C137" s="0" t="s">
        <v>315</v>
      </c>
      <c r="D137" s="21" t="s">
        <v>450</v>
      </c>
    </row>
    <row r="138" customFormat="false" ht="12.75" hidden="false" customHeight="false" outlineLevel="0" collapsed="false">
      <c r="A138" s="0" t="s">
        <v>326</v>
      </c>
      <c r="B138" s="0" t="n">
        <v>4110101</v>
      </c>
      <c r="C138" s="0" t="s">
        <v>315</v>
      </c>
      <c r="D138" s="21" t="s">
        <v>450</v>
      </c>
    </row>
    <row r="139" customFormat="false" ht="12.75" hidden="false" customHeight="false" outlineLevel="0" collapsed="false">
      <c r="A139" s="0" t="s">
        <v>327</v>
      </c>
      <c r="B139" s="0" t="n">
        <v>4110201</v>
      </c>
      <c r="C139" s="0" t="s">
        <v>315</v>
      </c>
      <c r="D139" s="21" t="s">
        <v>450</v>
      </c>
    </row>
    <row r="140" customFormat="false" ht="12.75" hidden="false" customHeight="false" outlineLevel="0" collapsed="false">
      <c r="A140" s="0" t="s">
        <v>318</v>
      </c>
      <c r="B140" s="0" t="n">
        <v>4023001</v>
      </c>
      <c r="C140" s="0" t="s">
        <v>315</v>
      </c>
      <c r="D140" s="21" t="s">
        <v>450</v>
      </c>
    </row>
    <row r="141" customFormat="false" ht="12.75" hidden="false" customHeight="false" outlineLevel="0" collapsed="false">
      <c r="A141" s="0" t="s">
        <v>328</v>
      </c>
      <c r="B141" s="0" t="n">
        <v>4110301</v>
      </c>
      <c r="C141" s="0" t="s">
        <v>315</v>
      </c>
      <c r="D141" s="21" t="s">
        <v>450</v>
      </c>
    </row>
    <row r="142" customFormat="false" ht="12.75" hidden="false" customHeight="false" outlineLevel="0" collapsed="false">
      <c r="A142" s="0" t="s">
        <v>317</v>
      </c>
      <c r="B142" s="0" t="n">
        <v>4017601</v>
      </c>
      <c r="C142" s="0" t="s">
        <v>315</v>
      </c>
      <c r="D142" s="21" t="s">
        <v>450</v>
      </c>
    </row>
    <row r="143" customFormat="false" ht="12.75" hidden="false" customHeight="false" outlineLevel="0" collapsed="false">
      <c r="A143" s="0" t="s">
        <v>314</v>
      </c>
      <c r="B143" s="0" t="n">
        <v>4004301</v>
      </c>
      <c r="C143" s="0" t="s">
        <v>315</v>
      </c>
      <c r="D143" s="21" t="s">
        <v>450</v>
      </c>
    </row>
    <row r="144" customFormat="false" ht="12.75" hidden="false" customHeight="false" outlineLevel="0" collapsed="false">
      <c r="A144" s="0" t="s">
        <v>329</v>
      </c>
      <c r="B144" s="0" t="n">
        <v>4110401</v>
      </c>
      <c r="C144" s="0" t="s">
        <v>315</v>
      </c>
      <c r="D144" s="21" t="s">
        <v>450</v>
      </c>
    </row>
    <row r="145" customFormat="false" ht="12.75" hidden="false" customHeight="false" outlineLevel="0" collapsed="false">
      <c r="A145" s="0" t="s">
        <v>330</v>
      </c>
      <c r="B145" s="0" t="n">
        <v>4110701</v>
      </c>
      <c r="C145" s="0" t="s">
        <v>315</v>
      </c>
      <c r="D145" s="21" t="s">
        <v>450</v>
      </c>
    </row>
    <row r="146" customFormat="false" ht="12.75" hidden="false" customHeight="false" outlineLevel="0" collapsed="false">
      <c r="A146" s="0" t="s">
        <v>319</v>
      </c>
      <c r="B146" s="0" t="n">
        <v>4036701</v>
      </c>
      <c r="C146" s="0" t="s">
        <v>315</v>
      </c>
      <c r="D146" s="21" t="s">
        <v>450</v>
      </c>
    </row>
    <row r="147" customFormat="false" ht="12.75" hidden="false" customHeight="false" outlineLevel="0" collapsed="false">
      <c r="A147" s="0" t="s">
        <v>320</v>
      </c>
      <c r="B147" s="0" t="n">
        <v>4037201</v>
      </c>
      <c r="C147" s="0" t="s">
        <v>315</v>
      </c>
      <c r="D147" s="21" t="s">
        <v>450</v>
      </c>
    </row>
    <row r="148" customFormat="false" ht="12.75" hidden="false" customHeight="false" outlineLevel="0" collapsed="false">
      <c r="A148" s="0" t="s">
        <v>323</v>
      </c>
      <c r="B148" s="0" t="n">
        <v>4075401</v>
      </c>
      <c r="C148" s="0" t="s">
        <v>315</v>
      </c>
      <c r="D148" s="21" t="s">
        <v>450</v>
      </c>
    </row>
    <row r="149" customFormat="false" ht="12.75" hidden="false" customHeight="false" outlineLevel="0" collapsed="false">
      <c r="A149" s="0" t="s">
        <v>322</v>
      </c>
      <c r="B149" s="0" t="n">
        <v>4065201</v>
      </c>
      <c r="C149" s="0" t="s">
        <v>315</v>
      </c>
      <c r="D149" s="21" t="s">
        <v>450</v>
      </c>
    </row>
    <row r="150" customFormat="false" ht="12.75" hidden="false" customHeight="false" outlineLevel="0" collapsed="false">
      <c r="A150" s="0" t="s">
        <v>321</v>
      </c>
      <c r="B150" s="0" t="n">
        <v>4051201</v>
      </c>
      <c r="C150" s="0" t="s">
        <v>315</v>
      </c>
      <c r="D150" s="21" t="s">
        <v>450</v>
      </c>
    </row>
    <row r="151" customFormat="false" ht="12.75" hidden="false" customHeight="false" outlineLevel="0" collapsed="false">
      <c r="A151" s="0" t="s">
        <v>177</v>
      </c>
      <c r="B151" s="0" t="n">
        <v>2053201</v>
      </c>
      <c r="C151" s="0" t="s">
        <v>174</v>
      </c>
      <c r="D151" s="21" t="s">
        <v>451</v>
      </c>
    </row>
    <row r="152" customFormat="false" ht="12.75" hidden="false" customHeight="false" outlineLevel="0" collapsed="false">
      <c r="A152" s="0" t="s">
        <v>176</v>
      </c>
      <c r="B152" s="0" t="n">
        <v>2052901</v>
      </c>
      <c r="C152" s="0" t="s">
        <v>174</v>
      </c>
      <c r="D152" s="21" t="s">
        <v>451</v>
      </c>
    </row>
    <row r="153" customFormat="false" ht="12.75" hidden="false" customHeight="false" outlineLevel="0" collapsed="false">
      <c r="A153" s="0" t="s">
        <v>63</v>
      </c>
      <c r="B153" s="0" t="n">
        <v>3031301</v>
      </c>
      <c r="C153" s="0" t="s">
        <v>46</v>
      </c>
      <c r="D153" s="21" t="s">
        <v>450</v>
      </c>
    </row>
    <row r="154" customFormat="false" ht="12.75" hidden="false" customHeight="false" outlineLevel="0" collapsed="false">
      <c r="A154" s="0" t="s">
        <v>69</v>
      </c>
      <c r="B154" s="0" t="n">
        <v>3297001</v>
      </c>
      <c r="C154" s="0" t="s">
        <v>46</v>
      </c>
      <c r="D154" s="21" t="s">
        <v>450</v>
      </c>
    </row>
    <row r="155" customFormat="false" ht="12.75" hidden="false" customHeight="false" outlineLevel="0" collapsed="false">
      <c r="A155" s="0" t="s">
        <v>271</v>
      </c>
      <c r="B155" s="0" t="n">
        <v>3223401</v>
      </c>
      <c r="C155" s="0" t="s">
        <v>453</v>
      </c>
      <c r="D155" s="21" t="s">
        <v>450</v>
      </c>
    </row>
    <row r="156" customFormat="false" ht="12.75" hidden="false" customHeight="false" outlineLevel="0" collapsed="false">
      <c r="A156" s="0" t="s">
        <v>269</v>
      </c>
      <c r="B156" s="0" t="n">
        <v>3124201</v>
      </c>
      <c r="C156" s="0" t="s">
        <v>453</v>
      </c>
      <c r="D156" s="21" t="s">
        <v>446</v>
      </c>
    </row>
    <row r="157" customFormat="false" ht="12.75" hidden="false" customHeight="false" outlineLevel="0" collapsed="false">
      <c r="A157" s="0" t="s">
        <v>272</v>
      </c>
      <c r="B157" s="0" t="n">
        <v>3245501</v>
      </c>
      <c r="C157" s="0" t="s">
        <v>453</v>
      </c>
      <c r="D157" s="21" t="s">
        <v>450</v>
      </c>
    </row>
    <row r="158" customFormat="false" ht="12.75" hidden="false" customHeight="false" outlineLevel="0" collapsed="false">
      <c r="A158" s="0" t="s">
        <v>373</v>
      </c>
      <c r="B158" s="0" t="n">
        <v>3241501</v>
      </c>
      <c r="C158" s="0" t="s">
        <v>456</v>
      </c>
      <c r="D158" s="21" t="s">
        <v>450</v>
      </c>
    </row>
    <row r="159" customFormat="false" ht="12.75" hidden="false" customHeight="false" outlineLevel="0" collapsed="false">
      <c r="A159" s="0" t="s">
        <v>378</v>
      </c>
      <c r="B159" s="0" t="n">
        <v>3533901</v>
      </c>
      <c r="C159" s="0" t="s">
        <v>456</v>
      </c>
      <c r="D159" s="21" t="s">
        <v>450</v>
      </c>
    </row>
    <row r="160" customFormat="false" ht="12.75" hidden="false" customHeight="false" outlineLevel="0" collapsed="false">
      <c r="A160" s="0" t="s">
        <v>366</v>
      </c>
      <c r="B160" s="0" t="n">
        <v>3231101</v>
      </c>
      <c r="C160" s="0" t="s">
        <v>365</v>
      </c>
      <c r="D160" s="21" t="s">
        <v>450</v>
      </c>
    </row>
    <row r="161" customFormat="false" ht="12.75" hidden="false" customHeight="false" outlineLevel="0" collapsed="false">
      <c r="A161" s="0" t="s">
        <v>250</v>
      </c>
      <c r="B161" s="0" t="n">
        <v>3226701</v>
      </c>
      <c r="C161" s="0" t="s">
        <v>459</v>
      </c>
      <c r="D161" s="21" t="s">
        <v>450</v>
      </c>
    </row>
    <row r="162" customFormat="false" ht="12.75" hidden="false" customHeight="false" outlineLevel="0" collapsed="false">
      <c r="A162" s="0" t="s">
        <v>249</v>
      </c>
      <c r="B162" s="0" t="n">
        <v>3219301</v>
      </c>
      <c r="C162" s="0" t="s">
        <v>459</v>
      </c>
      <c r="D162" s="21" t="s">
        <v>450</v>
      </c>
    </row>
    <row r="163" customFormat="false" ht="12.75" hidden="false" customHeight="false" outlineLevel="0" collapsed="false">
      <c r="A163" s="0" t="s">
        <v>253</v>
      </c>
      <c r="B163" s="0" t="n">
        <v>3551401</v>
      </c>
      <c r="C163" s="0" t="s">
        <v>459</v>
      </c>
      <c r="D163" s="21" t="s">
        <v>450</v>
      </c>
    </row>
    <row r="164" customFormat="false" ht="12.75" hidden="false" customHeight="false" outlineLevel="0" collapsed="false">
      <c r="A164" s="0" t="s">
        <v>252</v>
      </c>
      <c r="B164" s="0" t="n">
        <v>3409901</v>
      </c>
      <c r="C164" s="0" t="s">
        <v>459</v>
      </c>
      <c r="D164" s="21" t="s">
        <v>450</v>
      </c>
    </row>
    <row r="165" customFormat="false" ht="12.75" hidden="false" customHeight="false" outlineLevel="0" collapsed="false">
      <c r="A165" s="0" t="s">
        <v>251</v>
      </c>
      <c r="B165" s="0" t="n">
        <v>3290201</v>
      </c>
      <c r="C165" s="0" t="s">
        <v>459</v>
      </c>
      <c r="D165" s="21" t="s">
        <v>450</v>
      </c>
    </row>
    <row r="166" customFormat="false" ht="12.75" hidden="false" customHeight="false" outlineLevel="0" collapsed="false">
      <c r="A166" s="0" t="s">
        <v>247</v>
      </c>
      <c r="B166" s="0" t="n">
        <v>3123401</v>
      </c>
      <c r="C166" s="0" t="s">
        <v>459</v>
      </c>
      <c r="D166" s="21" t="s">
        <v>450</v>
      </c>
    </row>
    <row r="167" customFormat="false" ht="12.75" hidden="false" customHeight="false" outlineLevel="0" collapsed="false">
      <c r="A167" s="0" t="s">
        <v>96</v>
      </c>
      <c r="B167" s="0" t="n">
        <v>3290902</v>
      </c>
      <c r="C167" s="0" t="s">
        <v>97</v>
      </c>
      <c r="D167" s="21" t="s">
        <v>450</v>
      </c>
    </row>
    <row r="168" customFormat="false" ht="12.75" hidden="false" customHeight="false" outlineLevel="0" collapsed="false">
      <c r="A168" s="0" t="s">
        <v>376</v>
      </c>
      <c r="B168" s="0" t="n">
        <v>3415201</v>
      </c>
      <c r="C168" s="0" t="s">
        <v>456</v>
      </c>
      <c r="D168" s="21" t="s">
        <v>450</v>
      </c>
    </row>
    <row r="169" customFormat="false" ht="12.75" hidden="false" customHeight="false" outlineLevel="0" collapsed="false">
      <c r="A169" s="0" t="s">
        <v>198</v>
      </c>
      <c r="B169" s="0" t="n">
        <v>4023601</v>
      </c>
      <c r="C169" s="0" t="s">
        <v>36</v>
      </c>
      <c r="D169" s="21" t="s">
        <v>450</v>
      </c>
    </row>
    <row r="170" customFormat="false" ht="12.75" hidden="false" customHeight="false" outlineLevel="0" collapsed="false">
      <c r="A170" s="0" t="s">
        <v>76</v>
      </c>
      <c r="B170" s="0" t="n">
        <v>3013701</v>
      </c>
      <c r="C170" s="0" t="s">
        <v>454</v>
      </c>
      <c r="D170" s="21" t="s">
        <v>450</v>
      </c>
    </row>
    <row r="171" customFormat="false" ht="12.75" hidden="false" customHeight="false" outlineLevel="0" collapsed="false">
      <c r="A171" s="0" t="s">
        <v>441</v>
      </c>
      <c r="B171" s="0" t="n">
        <v>4244501</v>
      </c>
      <c r="C171" s="0" t="s">
        <v>440</v>
      </c>
      <c r="D171" s="21" t="s">
        <v>450</v>
      </c>
    </row>
    <row r="172" customFormat="false" ht="12.75" hidden="false" customHeight="false" outlineLevel="0" collapsed="false">
      <c r="A172" s="0" t="s">
        <v>232</v>
      </c>
      <c r="B172" s="0" t="n">
        <v>3427001</v>
      </c>
      <c r="C172" s="0" t="s">
        <v>233</v>
      </c>
      <c r="D172" s="21" t="s">
        <v>450</v>
      </c>
    </row>
    <row r="173" customFormat="false" ht="12.75" hidden="false" customHeight="false" outlineLevel="0" collapsed="false">
      <c r="A173" s="0" t="s">
        <v>439</v>
      </c>
      <c r="B173" s="0" t="n">
        <v>3425301</v>
      </c>
      <c r="C173" s="0" t="s">
        <v>440</v>
      </c>
      <c r="D173" s="21" t="s">
        <v>450</v>
      </c>
    </row>
    <row r="174" customFormat="false" ht="12.75" hidden="false" customHeight="false" outlineLevel="0" collapsed="false">
      <c r="A174" s="0" t="s">
        <v>295</v>
      </c>
      <c r="B174" s="0" t="n">
        <v>3426101</v>
      </c>
      <c r="C174" s="0" t="s">
        <v>293</v>
      </c>
      <c r="D174" s="21" t="s">
        <v>450</v>
      </c>
    </row>
    <row r="175" customFormat="false" ht="12.75" hidden="false" customHeight="false" outlineLevel="0" collapsed="false">
      <c r="A175" s="0" t="s">
        <v>282</v>
      </c>
      <c r="B175" s="0" t="n">
        <v>3038601</v>
      </c>
      <c r="C175" s="0" t="s">
        <v>283</v>
      </c>
      <c r="D175" s="21" t="s">
        <v>450</v>
      </c>
    </row>
    <row r="176" customFormat="false" ht="12.75" hidden="false" customHeight="false" outlineLevel="0" collapsed="false">
      <c r="A176" s="0" t="s">
        <v>412</v>
      </c>
      <c r="B176" s="0" t="n">
        <v>4324601</v>
      </c>
      <c r="C176" s="0" t="s">
        <v>413</v>
      </c>
      <c r="D176" s="21" t="s">
        <v>450</v>
      </c>
    </row>
    <row r="177" customFormat="false" ht="12.75" hidden="false" customHeight="false" outlineLevel="0" collapsed="false">
      <c r="A177" s="0" t="s">
        <v>292</v>
      </c>
      <c r="B177" s="0" t="n">
        <v>3405001</v>
      </c>
      <c r="C177" s="0" t="s">
        <v>293</v>
      </c>
      <c r="D177" s="21" t="s">
        <v>446</v>
      </c>
    </row>
    <row r="178" customFormat="false" ht="12.75" hidden="false" customHeight="false" outlineLevel="0" collapsed="false">
      <c r="A178" s="0" t="s">
        <v>294</v>
      </c>
      <c r="B178" s="0" t="n">
        <v>3420401</v>
      </c>
      <c r="C178" s="0" t="s">
        <v>293</v>
      </c>
      <c r="D178" s="21" t="s">
        <v>450</v>
      </c>
    </row>
    <row r="179" customFormat="false" ht="12.75" hidden="false" customHeight="false" outlineLevel="0" collapsed="false">
      <c r="A179" s="0" t="s">
        <v>316</v>
      </c>
      <c r="B179" s="0" t="n">
        <v>4004801</v>
      </c>
      <c r="C179" s="0" t="s">
        <v>315</v>
      </c>
      <c r="D179" s="21" t="s">
        <v>450</v>
      </c>
    </row>
    <row r="180" customFormat="false" ht="12.75" hidden="false" customHeight="false" outlineLevel="0" collapsed="false">
      <c r="A180" s="0" t="s">
        <v>248</v>
      </c>
      <c r="B180" s="0" t="n">
        <v>3136601</v>
      </c>
      <c r="C180" s="0" t="s">
        <v>459</v>
      </c>
      <c r="D180" s="21" t="s">
        <v>446</v>
      </c>
    </row>
    <row r="181" customFormat="false" ht="12.75" hidden="false" customHeight="false" outlineLevel="0" collapsed="false">
      <c r="A181" s="0" t="s">
        <v>372</v>
      </c>
      <c r="B181" s="0" t="n">
        <v>3133001</v>
      </c>
      <c r="C181" s="0" t="s">
        <v>456</v>
      </c>
      <c r="D181" s="21" t="s">
        <v>450</v>
      </c>
    </row>
    <row r="182" customFormat="false" ht="12.75" hidden="false" customHeight="false" outlineLevel="0" collapsed="false">
      <c r="A182" s="0" t="s">
        <v>382</v>
      </c>
      <c r="B182" s="0" t="n">
        <v>3422001</v>
      </c>
      <c r="C182" s="0" t="s">
        <v>383</v>
      </c>
      <c r="D182" s="21" t="s">
        <v>450</v>
      </c>
    </row>
    <row r="183" customFormat="false" ht="12.75" hidden="false" customHeight="false" outlineLevel="0" collapsed="false">
      <c r="A183" s="0" t="s">
        <v>158</v>
      </c>
      <c r="B183" s="0" t="n">
        <v>3120601</v>
      </c>
      <c r="C183" s="0" t="s">
        <v>159</v>
      </c>
      <c r="D183" s="21" t="s">
        <v>450</v>
      </c>
    </row>
    <row r="184" customFormat="false" ht="12.75" hidden="false" customHeight="false" outlineLevel="0" collapsed="false">
      <c r="A184" s="0" t="s">
        <v>200</v>
      </c>
      <c r="B184" s="0" t="n">
        <v>4336801</v>
      </c>
      <c r="C184" s="0" t="s">
        <v>36</v>
      </c>
      <c r="D184" s="21" t="s">
        <v>450</v>
      </c>
    </row>
    <row r="185" customFormat="false" ht="12.75" hidden="false" customHeight="false" outlineLevel="0" collapsed="false">
      <c r="A185" s="0" t="s">
        <v>194</v>
      </c>
      <c r="B185" s="0" t="n">
        <v>3129101</v>
      </c>
      <c r="C185" s="0" t="s">
        <v>471</v>
      </c>
      <c r="D185" s="21" t="s">
        <v>450</v>
      </c>
    </row>
    <row r="186" customFormat="false" ht="12.75" hidden="false" customHeight="false" outlineLevel="0" collapsed="false">
      <c r="A186" s="0" t="s">
        <v>6</v>
      </c>
      <c r="B186" s="0" t="n">
        <v>3326301</v>
      </c>
      <c r="C186" s="0" t="s">
        <v>7</v>
      </c>
      <c r="D186" s="21" t="s">
        <v>450</v>
      </c>
    </row>
    <row r="187" customFormat="false" ht="12.75" hidden="false" customHeight="false" outlineLevel="0" collapsed="false">
      <c r="A187" s="0" t="s">
        <v>259</v>
      </c>
      <c r="B187" s="0" t="n">
        <v>2038501</v>
      </c>
      <c r="C187" s="0" t="s">
        <v>260</v>
      </c>
      <c r="D187" s="21" t="s">
        <v>450</v>
      </c>
    </row>
    <row r="188" customFormat="false" ht="12.75" hidden="false" customHeight="false" outlineLevel="0" collapsed="false">
      <c r="A188" s="0" t="s">
        <v>298</v>
      </c>
      <c r="B188" s="0" t="n">
        <v>3509101</v>
      </c>
      <c r="C188" s="0" t="s">
        <v>293</v>
      </c>
      <c r="D188" s="21" t="s">
        <v>450</v>
      </c>
    </row>
    <row r="189" customFormat="false" ht="12.75" hidden="false" customHeight="false" outlineLevel="0" collapsed="false">
      <c r="A189" s="0" t="s">
        <v>297</v>
      </c>
      <c r="B189" s="0" t="n">
        <v>3506201</v>
      </c>
      <c r="C189" s="0" t="s">
        <v>293</v>
      </c>
      <c r="D189" s="21" t="s">
        <v>450</v>
      </c>
    </row>
    <row r="190" customFormat="false" ht="12.75" hidden="false" customHeight="false" outlineLevel="0" collapsed="false">
      <c r="A190" s="0" t="s">
        <v>437</v>
      </c>
      <c r="B190" s="0" t="n">
        <v>2062201</v>
      </c>
      <c r="C190" s="0" t="s">
        <v>438</v>
      </c>
      <c r="D190" s="21" t="s">
        <v>451</v>
      </c>
    </row>
    <row r="191" customFormat="false" ht="12.75" hidden="false" customHeight="false" outlineLevel="0" collapsed="false">
      <c r="A191" s="0" t="s">
        <v>29</v>
      </c>
      <c r="B191" s="0" t="n">
        <v>3008001</v>
      </c>
      <c r="C191" s="0" t="s">
        <v>472</v>
      </c>
      <c r="D191" s="21" t="s">
        <v>450</v>
      </c>
    </row>
    <row r="192" customFormat="false" ht="12.75" hidden="false" customHeight="false" outlineLevel="0" collapsed="false">
      <c r="A192" s="0" t="s">
        <v>214</v>
      </c>
      <c r="B192" s="0" t="n">
        <v>2026901</v>
      </c>
      <c r="C192" s="0" t="s">
        <v>215</v>
      </c>
      <c r="D192" s="21" t="s">
        <v>451</v>
      </c>
    </row>
    <row r="193" customFormat="false" ht="12.75" hidden="false" customHeight="false" outlineLevel="0" collapsed="false">
      <c r="A193" s="0" t="s">
        <v>224</v>
      </c>
      <c r="B193" s="0" t="n">
        <v>3512101</v>
      </c>
      <c r="C193" s="0" t="s">
        <v>452</v>
      </c>
      <c r="D193" s="21" t="s">
        <v>450</v>
      </c>
    </row>
    <row r="194" customFormat="false" ht="12.75" hidden="false" customHeight="false" outlineLevel="0" collapsed="false">
      <c r="A194" s="0" t="s">
        <v>226</v>
      </c>
      <c r="B194" s="0" t="n">
        <v>3524201</v>
      </c>
      <c r="C194" s="0" t="s">
        <v>452</v>
      </c>
      <c r="D194" s="21" t="s">
        <v>450</v>
      </c>
    </row>
    <row r="195" customFormat="false" ht="12.75" hidden="false" customHeight="false" outlineLevel="0" collapsed="false">
      <c r="A195" s="0" t="s">
        <v>230</v>
      </c>
      <c r="B195" s="0" t="n">
        <v>3541601</v>
      </c>
      <c r="C195" s="0" t="s">
        <v>452</v>
      </c>
      <c r="D195" s="21" t="s">
        <v>450</v>
      </c>
    </row>
    <row r="196" customFormat="false" ht="12.75" hidden="false" customHeight="false" outlineLevel="0" collapsed="false">
      <c r="A196" s="0" t="s">
        <v>92</v>
      </c>
      <c r="B196" s="0" t="n">
        <v>4092601</v>
      </c>
      <c r="C196" s="0" t="s">
        <v>93</v>
      </c>
      <c r="D196" s="21" t="s">
        <v>450</v>
      </c>
    </row>
    <row r="197" customFormat="false" ht="12.75" hidden="false" customHeight="false" outlineLevel="0" collapsed="false">
      <c r="A197" s="0" t="s">
        <v>410</v>
      </c>
      <c r="B197" s="0" t="n">
        <v>4044101</v>
      </c>
      <c r="C197" s="0" t="s">
        <v>406</v>
      </c>
      <c r="D197" s="21" t="s">
        <v>450</v>
      </c>
    </row>
    <row r="198" customFormat="false" ht="12.75" hidden="false" customHeight="false" outlineLevel="0" collapsed="false">
      <c r="A198" s="0" t="s">
        <v>405</v>
      </c>
      <c r="B198" s="0" t="n">
        <v>3007601</v>
      </c>
      <c r="C198" s="0" t="s">
        <v>406</v>
      </c>
      <c r="D198" s="21" t="s">
        <v>450</v>
      </c>
    </row>
    <row r="199" customFormat="false" ht="12.75" hidden="false" customHeight="false" outlineLevel="0" collapsed="false">
      <c r="A199" s="0" t="s">
        <v>408</v>
      </c>
      <c r="B199" s="0" t="n">
        <v>3427701</v>
      </c>
      <c r="C199" s="0" t="s">
        <v>406</v>
      </c>
      <c r="D199" s="21" t="s">
        <v>450</v>
      </c>
    </row>
    <row r="200" customFormat="false" ht="12.75" hidden="false" customHeight="false" outlineLevel="0" collapsed="false">
      <c r="A200" s="0" t="s">
        <v>110</v>
      </c>
      <c r="B200" s="0" t="n">
        <v>3284701</v>
      </c>
      <c r="C200" s="0" t="s">
        <v>456</v>
      </c>
      <c r="D200" s="21" t="s">
        <v>450</v>
      </c>
    </row>
    <row r="201" customFormat="false" ht="12.75" hidden="false" customHeight="false" outlineLevel="0" collapsed="false">
      <c r="A201" s="0" t="s">
        <v>31</v>
      </c>
      <c r="B201" s="0" t="n">
        <v>3015901</v>
      </c>
      <c r="C201" s="0" t="s">
        <v>472</v>
      </c>
      <c r="D201" s="21" t="s">
        <v>450</v>
      </c>
    </row>
    <row r="202" customFormat="false" ht="12.75" hidden="false" customHeight="false" outlineLevel="0" collapsed="false">
      <c r="A202" s="0" t="s">
        <v>397</v>
      </c>
      <c r="B202" s="0" t="n">
        <v>3127501</v>
      </c>
      <c r="C202" s="0" t="s">
        <v>398</v>
      </c>
      <c r="D202" s="21" t="s">
        <v>450</v>
      </c>
    </row>
    <row r="203" customFormat="false" ht="12.75" hidden="false" customHeight="false" outlineLevel="0" collapsed="false">
      <c r="A203" s="0" t="s">
        <v>370</v>
      </c>
      <c r="B203" s="0" t="n">
        <v>3130301</v>
      </c>
      <c r="C203" s="0" t="s">
        <v>456</v>
      </c>
      <c r="D203" s="21" t="s">
        <v>450</v>
      </c>
    </row>
    <row r="204" customFormat="false" ht="12.75" hidden="false" customHeight="false" outlineLevel="0" collapsed="false">
      <c r="A204" s="0" t="s">
        <v>219</v>
      </c>
      <c r="B204" s="0" t="n">
        <v>3178601</v>
      </c>
      <c r="C204" s="0" t="s">
        <v>452</v>
      </c>
      <c r="D204" s="21" t="s">
        <v>450</v>
      </c>
    </row>
    <row r="205" customFormat="false" ht="12.75" hidden="false" customHeight="false" outlineLevel="0" collapsed="false">
      <c r="A205" s="0" t="s">
        <v>220</v>
      </c>
      <c r="B205" s="0" t="n">
        <v>3405301</v>
      </c>
      <c r="C205" s="0" t="s">
        <v>452</v>
      </c>
      <c r="D205" s="21" t="s">
        <v>450</v>
      </c>
    </row>
    <row r="206" customFormat="false" ht="12.75" hidden="false" customHeight="false" outlineLevel="0" collapsed="false">
      <c r="A206" s="0" t="s">
        <v>216</v>
      </c>
      <c r="B206" s="0" t="n">
        <v>2075601</v>
      </c>
      <c r="C206" s="0" t="s">
        <v>452</v>
      </c>
      <c r="D206" s="21" t="s">
        <v>451</v>
      </c>
    </row>
    <row r="207" customFormat="false" ht="12.75" hidden="false" customHeight="false" outlineLevel="0" collapsed="false">
      <c r="A207" s="0" t="s">
        <v>374</v>
      </c>
      <c r="B207" s="0" t="n">
        <v>3394401</v>
      </c>
      <c r="C207" s="0" t="s">
        <v>456</v>
      </c>
      <c r="D207" s="21" t="s">
        <v>446</v>
      </c>
    </row>
    <row r="208" customFormat="false" ht="12.75" hidden="false" customHeight="false" outlineLevel="0" collapsed="false">
      <c r="A208" s="0" t="s">
        <v>381</v>
      </c>
      <c r="B208" s="0" t="n">
        <v>4243601</v>
      </c>
      <c r="C208" s="0" t="s">
        <v>456</v>
      </c>
      <c r="D208" s="21" t="s">
        <v>450</v>
      </c>
    </row>
    <row r="209" customFormat="false" ht="12.75" hidden="false" customHeight="false" outlineLevel="0" collapsed="false">
      <c r="A209" s="0" t="s">
        <v>221</v>
      </c>
      <c r="B209" s="0" t="n">
        <v>3422901</v>
      </c>
      <c r="C209" s="0" t="s">
        <v>452</v>
      </c>
      <c r="D209" s="21" t="s">
        <v>450</v>
      </c>
    </row>
    <row r="210" customFormat="false" ht="12.75" hidden="false" customHeight="false" outlineLevel="0" collapsed="false">
      <c r="A210" s="0" t="s">
        <v>222</v>
      </c>
      <c r="B210" s="0" t="n">
        <v>3510601</v>
      </c>
      <c r="C210" s="0" t="s">
        <v>452</v>
      </c>
      <c r="D210" s="21" t="s">
        <v>450</v>
      </c>
    </row>
    <row r="211" customFormat="false" ht="12.75" hidden="false" customHeight="false" outlineLevel="0" collapsed="false">
      <c r="A211" s="0" t="s">
        <v>225</v>
      </c>
      <c r="B211" s="0" t="n">
        <v>3513301</v>
      </c>
      <c r="C211" s="0" t="s">
        <v>452</v>
      </c>
      <c r="D211" s="21" t="s">
        <v>450</v>
      </c>
    </row>
    <row r="212" customFormat="false" ht="12.75" hidden="false" customHeight="false" outlineLevel="0" collapsed="false">
      <c r="A212" s="0" t="s">
        <v>223</v>
      </c>
      <c r="B212" s="0" t="n">
        <v>3510801</v>
      </c>
      <c r="C212" s="0" t="s">
        <v>452</v>
      </c>
      <c r="D212" s="21" t="s">
        <v>450</v>
      </c>
    </row>
    <row r="213" customFormat="false" ht="12.75" hidden="false" customHeight="false" outlineLevel="0" collapsed="false">
      <c r="A213" s="0" t="s">
        <v>228</v>
      </c>
      <c r="B213" s="0" t="n">
        <v>3525501</v>
      </c>
      <c r="C213" s="0" t="s">
        <v>452</v>
      </c>
      <c r="D213" s="21" t="s">
        <v>451</v>
      </c>
    </row>
    <row r="214" customFormat="false" ht="12.75" hidden="false" customHeight="false" outlineLevel="0" collapsed="false">
      <c r="A214" s="0" t="s">
        <v>395</v>
      </c>
      <c r="B214" s="0" t="n">
        <v>2095501</v>
      </c>
      <c r="C214" s="0" t="s">
        <v>473</v>
      </c>
      <c r="D214" s="21" t="s">
        <v>451</v>
      </c>
    </row>
    <row r="215" customFormat="false" ht="12.75" hidden="false" customHeight="false" outlineLevel="0" collapsed="false">
      <c r="A215" s="0" t="s">
        <v>18</v>
      </c>
      <c r="B215" s="0" t="n">
        <v>3529101</v>
      </c>
      <c r="C215" s="0" t="s">
        <v>10</v>
      </c>
      <c r="D215" s="21" t="s">
        <v>450</v>
      </c>
    </row>
    <row r="216" customFormat="false" ht="12.75" hidden="false" customHeight="false" outlineLevel="0" collapsed="false">
      <c r="A216" s="0" t="s">
        <v>229</v>
      </c>
      <c r="B216" s="0" t="n">
        <v>3526101</v>
      </c>
      <c r="C216" s="0" t="s">
        <v>452</v>
      </c>
      <c r="D216" s="21" t="s">
        <v>450</v>
      </c>
    </row>
    <row r="217" customFormat="false" ht="12.75" hidden="false" customHeight="false" outlineLevel="0" collapsed="false">
      <c r="A217" s="0" t="s">
        <v>296</v>
      </c>
      <c r="B217" s="0" t="n">
        <v>3475001</v>
      </c>
      <c r="C217" s="0" t="s">
        <v>293</v>
      </c>
      <c r="D217" s="21" t="s">
        <v>450</v>
      </c>
    </row>
    <row r="218" customFormat="false" ht="12.75" hidden="false" customHeight="false" outlineLevel="0" collapsed="false">
      <c r="A218" s="0" t="s">
        <v>368</v>
      </c>
      <c r="B218" s="0" t="n">
        <v>3325801</v>
      </c>
      <c r="C218" s="0" t="s">
        <v>456</v>
      </c>
      <c r="D218" s="21" t="s">
        <v>450</v>
      </c>
    </row>
    <row r="219" customFormat="false" ht="12.75" hidden="false" customHeight="false" outlineLevel="0" collapsed="false">
      <c r="A219" s="0" t="s">
        <v>380</v>
      </c>
      <c r="B219" s="0" t="n">
        <v>4156001</v>
      </c>
      <c r="C219" s="0" t="s">
        <v>456</v>
      </c>
      <c r="D219" s="21" t="s">
        <v>451</v>
      </c>
    </row>
    <row r="220" customFormat="false" ht="12.75" hidden="false" customHeight="false" outlineLevel="0" collapsed="false">
      <c r="A220" s="0" t="s">
        <v>125</v>
      </c>
      <c r="B220" s="0" t="n">
        <v>3134901</v>
      </c>
      <c r="C220" s="0" t="s">
        <v>461</v>
      </c>
      <c r="D220" s="21" t="s">
        <v>449</v>
      </c>
    </row>
    <row r="221" customFormat="false" ht="12.75" hidden="false" customHeight="false" outlineLevel="0" collapsed="false">
      <c r="A221" s="0" t="s">
        <v>32</v>
      </c>
      <c r="B221" s="0" t="n">
        <v>3543801</v>
      </c>
      <c r="C221" s="0" t="s">
        <v>474</v>
      </c>
      <c r="D221" s="21" t="s">
        <v>450</v>
      </c>
    </row>
    <row r="222" customFormat="false" ht="12.75" hidden="false" customHeight="false" outlineLevel="0" collapsed="false">
      <c r="A222" s="0" t="s">
        <v>11</v>
      </c>
      <c r="B222" s="0" t="n">
        <v>3511801</v>
      </c>
      <c r="C222" s="0" t="s">
        <v>10</v>
      </c>
      <c r="D222" s="21" t="s">
        <v>450</v>
      </c>
    </row>
    <row r="223" customFormat="false" ht="12.75" hidden="false" customHeight="false" outlineLevel="0" collapsed="false">
      <c r="A223" s="0" t="s">
        <v>16</v>
      </c>
      <c r="B223" s="0" t="n">
        <v>3528901</v>
      </c>
      <c r="C223" s="0" t="s">
        <v>10</v>
      </c>
      <c r="D223" s="21" t="s">
        <v>450</v>
      </c>
    </row>
    <row r="224" customFormat="false" ht="12.75" hidden="false" customHeight="false" outlineLevel="0" collapsed="false">
      <c r="A224" s="0" t="s">
        <v>13</v>
      </c>
      <c r="B224" s="0" t="n">
        <v>3517001</v>
      </c>
      <c r="C224" s="0" t="s">
        <v>10</v>
      </c>
      <c r="D224" s="21" t="s">
        <v>450</v>
      </c>
    </row>
    <row r="225" customFormat="false" ht="12.75" hidden="false" customHeight="false" outlineLevel="0" collapsed="false">
      <c r="A225" s="0" t="s">
        <v>14</v>
      </c>
      <c r="B225" s="0" t="n">
        <v>3522201</v>
      </c>
      <c r="C225" s="0" t="s">
        <v>10</v>
      </c>
      <c r="D225" s="21" t="s">
        <v>450</v>
      </c>
    </row>
    <row r="226" customFormat="false" ht="12.75" hidden="false" customHeight="false" outlineLevel="0" collapsed="false">
      <c r="A226" s="0" t="s">
        <v>15</v>
      </c>
      <c r="B226" s="0" t="n">
        <v>3522901</v>
      </c>
      <c r="C226" s="0" t="s">
        <v>10</v>
      </c>
      <c r="D226" s="21" t="s">
        <v>450</v>
      </c>
    </row>
    <row r="227" customFormat="false" ht="12.75" hidden="false" customHeight="false" outlineLevel="0" collapsed="false">
      <c r="A227" s="0" t="s">
        <v>17</v>
      </c>
      <c r="B227" s="0" t="n">
        <v>3529001</v>
      </c>
      <c r="C227" s="0" t="s">
        <v>10</v>
      </c>
      <c r="D227" s="21" t="s">
        <v>450</v>
      </c>
    </row>
    <row r="228" customFormat="false" ht="12.75" hidden="false" customHeight="false" outlineLevel="0" collapsed="false">
      <c r="A228" s="0" t="s">
        <v>21</v>
      </c>
      <c r="B228" s="0" t="n">
        <v>3542401</v>
      </c>
      <c r="C228" s="0" t="s">
        <v>10</v>
      </c>
      <c r="D228" s="21" t="s">
        <v>450</v>
      </c>
    </row>
    <row r="229" customFormat="false" ht="12.75" hidden="false" customHeight="false" outlineLevel="0" collapsed="false">
      <c r="A229" s="0" t="s">
        <v>19</v>
      </c>
      <c r="B229" s="0" t="n">
        <v>3532301</v>
      </c>
      <c r="C229" s="0" t="s">
        <v>10</v>
      </c>
      <c r="D229" s="21" t="s">
        <v>450</v>
      </c>
    </row>
    <row r="230" customFormat="false" ht="12.75" hidden="false" customHeight="false" outlineLevel="0" collapsed="false">
      <c r="A230" s="0" t="s">
        <v>12</v>
      </c>
      <c r="B230" s="0" t="n">
        <v>3516301</v>
      </c>
      <c r="C230" s="0" t="s">
        <v>10</v>
      </c>
      <c r="D230" s="21" t="s">
        <v>450</v>
      </c>
    </row>
    <row r="231" customFormat="false" ht="12.75" hidden="false" customHeight="false" outlineLevel="0" collapsed="false">
      <c r="A231" s="0" t="s">
        <v>231</v>
      </c>
      <c r="B231" s="0" t="n">
        <v>4334701</v>
      </c>
      <c r="C231" s="0" t="s">
        <v>452</v>
      </c>
      <c r="D231" s="21" t="s">
        <v>450</v>
      </c>
    </row>
    <row r="232" customFormat="false" ht="12.75" hidden="false" customHeight="false" outlineLevel="0" collapsed="false">
      <c r="A232" s="0" t="s">
        <v>166</v>
      </c>
      <c r="B232" s="0" t="n">
        <v>2041001</v>
      </c>
      <c r="C232" s="0" t="s">
        <v>167</v>
      </c>
      <c r="D232" s="21" t="s">
        <v>450</v>
      </c>
    </row>
    <row r="233" customFormat="false" ht="12.75" hidden="false" customHeight="false" outlineLevel="0" collapsed="false">
      <c r="A233" s="0" t="s">
        <v>85</v>
      </c>
      <c r="B233" s="0" t="n">
        <v>3425901</v>
      </c>
      <c r="C233" s="0" t="s">
        <v>454</v>
      </c>
      <c r="D233" s="21" t="s">
        <v>446</v>
      </c>
    </row>
    <row r="234" customFormat="false" ht="12.75" hidden="false" customHeight="false" outlineLevel="0" collapsed="false">
      <c r="A234" s="0" t="s">
        <v>359</v>
      </c>
      <c r="B234" s="0" t="n">
        <v>3131001</v>
      </c>
      <c r="C234" s="0" t="s">
        <v>453</v>
      </c>
      <c r="D234" s="21" t="s">
        <v>450</v>
      </c>
    </row>
    <row r="235" customFormat="false" ht="12.75" hidden="false" customHeight="false" outlineLevel="0" collapsed="false">
      <c r="A235" s="0" t="s">
        <v>356</v>
      </c>
      <c r="B235" s="0" t="n">
        <v>3127401</v>
      </c>
      <c r="C235" s="0" t="s">
        <v>453</v>
      </c>
      <c r="D235" s="21" t="s">
        <v>450</v>
      </c>
    </row>
    <row r="236" customFormat="false" ht="12.75" hidden="false" customHeight="false" outlineLevel="0" collapsed="false">
      <c r="A236" s="0" t="s">
        <v>360</v>
      </c>
      <c r="B236" s="0" t="n">
        <v>3131101</v>
      </c>
      <c r="C236" s="0" t="s">
        <v>453</v>
      </c>
      <c r="D236" s="21" t="s">
        <v>450</v>
      </c>
    </row>
    <row r="237" customFormat="false" ht="12.75" hidden="false" customHeight="false" outlineLevel="0" collapsed="false">
      <c r="A237" s="0" t="s">
        <v>361</v>
      </c>
      <c r="B237" s="0" t="n">
        <v>3327701</v>
      </c>
      <c r="C237" s="0" t="s">
        <v>453</v>
      </c>
      <c r="D237" s="21" t="s">
        <v>450</v>
      </c>
    </row>
    <row r="238" customFormat="false" ht="12.75" hidden="false" customHeight="false" outlineLevel="0" collapsed="false">
      <c r="A238" s="0" t="s">
        <v>53</v>
      </c>
      <c r="B238" s="0" t="n">
        <v>3023201</v>
      </c>
      <c r="C238" s="0" t="s">
        <v>46</v>
      </c>
      <c r="D238" s="21" t="s">
        <v>446</v>
      </c>
    </row>
    <row r="239" customFormat="false" ht="12.75" hidden="false" customHeight="false" outlineLevel="0" collapsed="false">
      <c r="A239" s="0" t="s">
        <v>54</v>
      </c>
      <c r="B239" s="0" t="n">
        <v>3023401</v>
      </c>
      <c r="C239" s="0" t="s">
        <v>46</v>
      </c>
      <c r="D239" s="21" t="s">
        <v>450</v>
      </c>
    </row>
    <row r="240" customFormat="false" ht="12.75" hidden="false" customHeight="false" outlineLevel="0" collapsed="false">
      <c r="A240" s="0" t="s">
        <v>300</v>
      </c>
      <c r="B240" s="0" t="n">
        <v>3571701</v>
      </c>
      <c r="C240" s="0" t="s">
        <v>293</v>
      </c>
      <c r="D240" s="21" t="s">
        <v>450</v>
      </c>
    </row>
    <row r="241" customFormat="false" ht="12.75" hidden="false" customHeight="false" outlineLevel="0" collapsed="false">
      <c r="A241" s="0" t="s">
        <v>193</v>
      </c>
      <c r="B241" s="0" t="n">
        <v>1091301</v>
      </c>
      <c r="C241" s="0" t="s">
        <v>457</v>
      </c>
      <c r="D241" s="21" t="s">
        <v>450</v>
      </c>
    </row>
    <row r="242" customFormat="false" ht="12.75" hidden="false" customHeight="false" outlineLevel="0" collapsed="false">
      <c r="A242" s="0" t="s">
        <v>191</v>
      </c>
      <c r="B242" s="0" t="n">
        <v>1078001</v>
      </c>
      <c r="C242" s="0" t="s">
        <v>457</v>
      </c>
      <c r="D242" s="21" t="s">
        <v>450</v>
      </c>
    </row>
    <row r="243" customFormat="false" ht="12.75" hidden="false" customHeight="false" outlineLevel="0" collapsed="false">
      <c r="A243" s="0" t="s">
        <v>210</v>
      </c>
      <c r="B243" s="0" t="n">
        <v>4354501</v>
      </c>
      <c r="C243" s="0" t="s">
        <v>457</v>
      </c>
      <c r="D243" s="21" t="s">
        <v>450</v>
      </c>
    </row>
    <row r="244" customFormat="false" ht="12.75" hidden="false" customHeight="false" outlineLevel="0" collapsed="false">
      <c r="A244" s="0" t="s">
        <v>245</v>
      </c>
      <c r="B244" s="0" t="n">
        <v>3046501</v>
      </c>
      <c r="C244" s="0" t="s">
        <v>459</v>
      </c>
      <c r="D244" s="21" t="s">
        <v>450</v>
      </c>
    </row>
    <row r="245" customFormat="false" ht="12.75" hidden="false" customHeight="false" outlineLevel="0" collapsed="false">
      <c r="A245" s="0" t="s">
        <v>254</v>
      </c>
      <c r="B245" s="0" t="n">
        <v>3562001</v>
      </c>
      <c r="C245" s="0" t="s">
        <v>459</v>
      </c>
      <c r="D245" s="21" t="s">
        <v>450</v>
      </c>
    </row>
    <row r="246" customFormat="false" ht="12.75" hidden="false" customHeight="false" outlineLevel="0" collapsed="false">
      <c r="A246" s="0" t="s">
        <v>375</v>
      </c>
      <c r="B246" s="0" t="n">
        <v>3410301</v>
      </c>
      <c r="C246" s="0" t="s">
        <v>456</v>
      </c>
      <c r="D246" s="21" t="s">
        <v>450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4"/>
  <sheetViews>
    <sheetView showFormulas="false" showGridLines="true" showRowColHeaders="true" showZeros="true" rightToLeft="false" tabSelected="false" showOutlineSymbols="true" defaultGridColor="true" view="normal" topLeftCell="A172" colorId="64" zoomScale="100" zoomScaleNormal="100" zoomScalePageLayoutView="100" workbookViewId="0">
      <selection pane="topLeft" activeCell="A173" activeCellId="0" sqref="A1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2.75" hidden="false" customHeight="false" outlineLevel="0" collapsed="false">
      <c r="A1" s="0" t="s">
        <v>181</v>
      </c>
      <c r="B1" s="0" t="n">
        <v>1289</v>
      </c>
      <c r="C1" s="0" t="n">
        <v>1568</v>
      </c>
    </row>
    <row r="2" customFormat="false" ht="12.75" hidden="false" customHeight="false" outlineLevel="0" collapsed="false">
      <c r="A2" s="0" t="s">
        <v>186</v>
      </c>
      <c r="B2" s="0" t="n">
        <v>141</v>
      </c>
      <c r="C2" s="0" t="n">
        <v>162</v>
      </c>
    </row>
    <row r="3" customFormat="false" ht="12.75" hidden="false" customHeight="false" outlineLevel="0" collapsed="false">
      <c r="A3" s="0" t="s">
        <v>184</v>
      </c>
      <c r="B3" s="0" t="n">
        <v>85</v>
      </c>
      <c r="C3" s="0" t="n">
        <v>94</v>
      </c>
    </row>
    <row r="4" customFormat="false" ht="12.75" hidden="false" customHeight="false" outlineLevel="0" collapsed="false">
      <c r="A4" s="0" t="s">
        <v>45</v>
      </c>
      <c r="B4" s="0" t="n">
        <v>0</v>
      </c>
      <c r="C4" s="0" t="n">
        <v>0</v>
      </c>
    </row>
    <row r="5" customFormat="false" ht="12.75" hidden="false" customHeight="false" outlineLevel="0" collapsed="false">
      <c r="A5" s="0" t="s">
        <v>47</v>
      </c>
      <c r="B5" s="0" t="n">
        <v>0</v>
      </c>
      <c r="C5" s="0" t="n">
        <v>0</v>
      </c>
    </row>
    <row r="6" customFormat="false" ht="12.75" hidden="false" customHeight="false" outlineLevel="0" collapsed="false">
      <c r="A6" s="0" t="s">
        <v>48</v>
      </c>
      <c r="B6" s="0" t="n">
        <v>374</v>
      </c>
      <c r="C6" s="0" t="n">
        <v>416</v>
      </c>
    </row>
    <row r="7" customFormat="false" ht="12.75" hidden="false" customHeight="false" outlineLevel="0" collapsed="false">
      <c r="A7" s="0" t="s">
        <v>173</v>
      </c>
      <c r="B7" s="0" t="n">
        <v>131</v>
      </c>
      <c r="C7" s="0" t="n">
        <v>134</v>
      </c>
    </row>
    <row r="8" customFormat="false" ht="12.75" hidden="false" customHeight="false" outlineLevel="0" collapsed="false">
      <c r="A8" s="0" t="s">
        <v>175</v>
      </c>
      <c r="B8" s="0" t="n">
        <v>26</v>
      </c>
      <c r="C8" s="0" t="n">
        <v>27</v>
      </c>
    </row>
    <row r="9" customFormat="false" ht="12.75" hidden="false" customHeight="false" outlineLevel="0" collapsed="false">
      <c r="A9" s="0" t="s">
        <v>49</v>
      </c>
      <c r="B9" s="0" t="n">
        <v>0</v>
      </c>
      <c r="C9" s="0" t="n">
        <v>0</v>
      </c>
    </row>
    <row r="10" customFormat="false" ht="12.75" hidden="false" customHeight="false" outlineLevel="0" collapsed="false">
      <c r="A10" s="0" t="s">
        <v>113</v>
      </c>
      <c r="B10" s="0" t="n">
        <v>0</v>
      </c>
      <c r="C10" s="0" t="n">
        <v>0</v>
      </c>
    </row>
    <row r="11" customFormat="false" ht="12.75" hidden="false" customHeight="false" outlineLevel="0" collapsed="false">
      <c r="A11" s="0" t="s">
        <v>89</v>
      </c>
      <c r="B11" s="0" t="n">
        <v>514</v>
      </c>
      <c r="C11" s="0" t="n">
        <v>654</v>
      </c>
    </row>
    <row r="12" customFormat="false" ht="12.75" hidden="false" customHeight="false" outlineLevel="0" collapsed="false">
      <c r="A12" s="0" t="s">
        <v>178</v>
      </c>
      <c r="B12" s="0" t="n">
        <v>610</v>
      </c>
      <c r="C12" s="0" t="n">
        <v>627</v>
      </c>
    </row>
    <row r="13" customFormat="false" ht="12.75" hidden="false" customHeight="false" outlineLevel="0" collapsed="false">
      <c r="A13" s="0" t="s">
        <v>218</v>
      </c>
      <c r="B13" s="0" t="n">
        <v>19</v>
      </c>
      <c r="C13" s="0" t="n">
        <v>23</v>
      </c>
    </row>
    <row r="14" customFormat="false" ht="12.75" hidden="false" customHeight="false" outlineLevel="0" collapsed="false">
      <c r="A14" s="0" t="s">
        <v>115</v>
      </c>
      <c r="B14" s="0" t="n">
        <v>97</v>
      </c>
      <c r="C14" s="0" t="n">
        <v>107</v>
      </c>
    </row>
    <row r="15" customFormat="false" ht="12.75" hidden="false" customHeight="false" outlineLevel="0" collapsed="false">
      <c r="A15" s="0" t="s">
        <v>358</v>
      </c>
      <c r="B15" s="0" t="n">
        <v>16</v>
      </c>
      <c r="C15" s="0" t="n">
        <v>20</v>
      </c>
    </row>
    <row r="16" customFormat="false" ht="12.75" hidden="false" customHeight="false" outlineLevel="0" collapsed="false">
      <c r="A16" s="0" t="s">
        <v>79</v>
      </c>
      <c r="B16" s="0" t="n">
        <v>238</v>
      </c>
      <c r="C16" s="0" t="n">
        <v>347</v>
      </c>
    </row>
    <row r="17" customFormat="false" ht="12.75" hidden="false" customHeight="false" outlineLevel="0" collapsed="false">
      <c r="A17" s="0" t="s">
        <v>364</v>
      </c>
      <c r="B17" s="0" t="n">
        <v>6</v>
      </c>
      <c r="C17" s="0" t="n">
        <v>10</v>
      </c>
    </row>
    <row r="18" customFormat="false" ht="12.75" hidden="false" customHeight="false" outlineLevel="0" collapsed="false">
      <c r="A18" s="0" t="s">
        <v>362</v>
      </c>
      <c r="B18" s="0" t="n">
        <v>783</v>
      </c>
      <c r="C18" s="0" t="n">
        <v>932</v>
      </c>
    </row>
    <row r="19" customFormat="false" ht="12.75" hidden="false" customHeight="false" outlineLevel="0" collapsed="false">
      <c r="A19" s="0" t="s">
        <v>81</v>
      </c>
      <c r="B19" s="0" t="n">
        <v>24</v>
      </c>
      <c r="C19" s="0" t="n">
        <v>30</v>
      </c>
    </row>
    <row r="20" customFormat="false" ht="12.75" hidden="false" customHeight="false" outlineLevel="0" collapsed="false">
      <c r="A20" s="0" t="s">
        <v>98</v>
      </c>
      <c r="B20" s="0" t="n">
        <v>0</v>
      </c>
      <c r="C20" s="0" t="n">
        <v>0</v>
      </c>
    </row>
    <row r="21" customFormat="false" ht="12.75" hidden="false" customHeight="false" outlineLevel="0" collapsed="false">
      <c r="A21" s="0" t="s">
        <v>100</v>
      </c>
      <c r="B21" s="0" t="n">
        <v>97</v>
      </c>
      <c r="C21" s="0" t="n">
        <v>124</v>
      </c>
    </row>
    <row r="22" customFormat="false" ht="12.75" hidden="false" customHeight="false" outlineLevel="0" collapsed="false">
      <c r="A22" s="0" t="s">
        <v>101</v>
      </c>
      <c r="B22" s="0" t="n">
        <v>123</v>
      </c>
      <c r="C22" s="0" t="n">
        <v>146</v>
      </c>
    </row>
    <row r="23" customFormat="false" ht="12.75" hidden="false" customHeight="false" outlineLevel="0" collapsed="false">
      <c r="A23" s="0" t="s">
        <v>102</v>
      </c>
      <c r="B23" s="0" t="n">
        <v>498</v>
      </c>
      <c r="C23" s="0" t="n">
        <v>606</v>
      </c>
    </row>
    <row r="24" customFormat="false" ht="12.75" hidden="false" customHeight="false" outlineLevel="0" collapsed="false">
      <c r="A24" s="0" t="s">
        <v>83</v>
      </c>
      <c r="B24" s="0" t="n">
        <v>45</v>
      </c>
      <c r="C24" s="0" t="n">
        <v>62</v>
      </c>
    </row>
    <row r="25" customFormat="false" ht="12.75" hidden="false" customHeight="false" outlineLevel="0" collapsed="false">
      <c r="A25" s="0" t="s">
        <v>377</v>
      </c>
      <c r="B25" s="0" t="n">
        <v>288</v>
      </c>
      <c r="C25" s="0" t="n">
        <v>400</v>
      </c>
    </row>
    <row r="26" customFormat="false" ht="12.75" hidden="false" customHeight="false" outlineLevel="0" collapsed="false">
      <c r="A26" s="0" t="s">
        <v>107</v>
      </c>
      <c r="B26" s="0" t="n">
        <v>149</v>
      </c>
      <c r="C26" s="0" t="n">
        <v>183</v>
      </c>
    </row>
    <row r="27" customFormat="false" ht="12.75" hidden="false" customHeight="false" outlineLevel="0" collapsed="false">
      <c r="A27" s="0" t="s">
        <v>109</v>
      </c>
      <c r="B27" s="0" t="n">
        <v>650</v>
      </c>
      <c r="C27" s="0" t="n">
        <v>798</v>
      </c>
    </row>
    <row r="28" customFormat="false" ht="12.75" hidden="false" customHeight="false" outlineLevel="0" collapsed="false">
      <c r="A28" s="0" t="s">
        <v>103</v>
      </c>
      <c r="B28" s="0" t="n">
        <v>240</v>
      </c>
      <c r="C28" s="0" t="n">
        <v>317</v>
      </c>
    </row>
    <row r="29" customFormat="false" ht="12.75" hidden="false" customHeight="false" outlineLevel="0" collapsed="false">
      <c r="A29" s="0" t="s">
        <v>86</v>
      </c>
      <c r="B29" s="0" t="n">
        <v>0</v>
      </c>
      <c r="C29" s="0" t="n">
        <v>0</v>
      </c>
    </row>
    <row r="30" customFormat="false" ht="12.75" hidden="false" customHeight="false" outlineLevel="0" collapsed="false">
      <c r="A30" s="0" t="s">
        <v>105</v>
      </c>
      <c r="B30" s="0" t="n">
        <v>111</v>
      </c>
      <c r="C30" s="0" t="n">
        <v>140</v>
      </c>
    </row>
    <row r="31" customFormat="false" ht="12.75" hidden="false" customHeight="false" outlineLevel="0" collapsed="false">
      <c r="A31" s="0" t="s">
        <v>106</v>
      </c>
      <c r="B31" s="0" t="n">
        <v>0</v>
      </c>
      <c r="C31" s="0" t="n">
        <v>0</v>
      </c>
    </row>
    <row r="32" customFormat="false" ht="12.75" hidden="false" customHeight="false" outlineLevel="0" collapsed="false">
      <c r="A32" s="0" t="s">
        <v>9</v>
      </c>
      <c r="B32" s="0" t="n">
        <v>982</v>
      </c>
      <c r="C32" s="0" t="n">
        <v>1175</v>
      </c>
    </row>
    <row r="33" customFormat="false" ht="12.75" hidden="false" customHeight="false" outlineLevel="0" collapsed="false">
      <c r="A33" s="0" t="s">
        <v>234</v>
      </c>
      <c r="B33" s="0" t="n">
        <v>553</v>
      </c>
      <c r="C33" s="0" t="n">
        <v>692</v>
      </c>
    </row>
    <row r="34" customFormat="false" ht="12.75" hidden="false" customHeight="false" outlineLevel="0" collapsed="false">
      <c r="A34" s="0" t="s">
        <v>235</v>
      </c>
      <c r="B34" s="0" t="n">
        <v>343</v>
      </c>
      <c r="C34" s="0" t="n">
        <v>413</v>
      </c>
    </row>
    <row r="35" customFormat="false" ht="12.75" hidden="false" customHeight="false" outlineLevel="0" collapsed="false">
      <c r="A35" s="0" t="s">
        <v>236</v>
      </c>
      <c r="B35" s="0" t="n">
        <v>47</v>
      </c>
      <c r="C35" s="0" t="n">
        <v>57</v>
      </c>
    </row>
    <row r="36" customFormat="false" ht="12.75" hidden="false" customHeight="false" outlineLevel="0" collapsed="false">
      <c r="A36" s="0" t="s">
        <v>88</v>
      </c>
      <c r="B36" s="0" t="n">
        <v>0</v>
      </c>
      <c r="C36" s="0" t="n">
        <v>0</v>
      </c>
    </row>
    <row r="37" customFormat="false" ht="12.75" hidden="false" customHeight="false" outlineLevel="0" collapsed="false">
      <c r="A37" s="0" t="s">
        <v>20</v>
      </c>
      <c r="B37" s="0" t="n">
        <v>2096</v>
      </c>
      <c r="C37" s="0" t="n">
        <v>2574</v>
      </c>
    </row>
    <row r="38" customFormat="false" ht="12.75" hidden="false" customHeight="false" outlineLevel="0" collapsed="false">
      <c r="A38" s="0" t="s">
        <v>299</v>
      </c>
      <c r="B38" s="0" t="n">
        <v>68</v>
      </c>
      <c r="C38" s="0" t="n">
        <v>88</v>
      </c>
    </row>
    <row r="39" customFormat="false" ht="12.75" hidden="false" customHeight="false" outlineLevel="0" collapsed="false">
      <c r="A39" s="0" t="s">
        <v>73</v>
      </c>
      <c r="B39" s="0" t="n">
        <v>199</v>
      </c>
      <c r="C39" s="0" t="n">
        <v>217</v>
      </c>
    </row>
    <row r="40" customFormat="false" ht="12.75" hidden="false" customHeight="false" outlineLevel="0" collapsed="false">
      <c r="A40" s="0" t="s">
        <v>74</v>
      </c>
      <c r="B40" s="0" t="n">
        <v>4</v>
      </c>
      <c r="C40" s="0" t="n">
        <v>4</v>
      </c>
    </row>
    <row r="41" customFormat="false" ht="12.75" hidden="false" customHeight="false" outlineLevel="0" collapsed="false">
      <c r="A41" s="0" t="s">
        <v>195</v>
      </c>
      <c r="B41" s="0" t="n">
        <v>0</v>
      </c>
      <c r="C41" s="0" t="n">
        <v>0</v>
      </c>
    </row>
    <row r="42" customFormat="false" ht="12.75" hidden="false" customHeight="false" outlineLevel="0" collapsed="false">
      <c r="A42" s="0" t="s">
        <v>196</v>
      </c>
      <c r="B42" s="0" t="n">
        <v>0</v>
      </c>
      <c r="C42" s="0" t="n">
        <v>0</v>
      </c>
    </row>
    <row r="43" customFormat="false" ht="12.75" hidden="false" customHeight="false" outlineLevel="0" collapsed="false">
      <c r="A43" s="0" t="s">
        <v>75</v>
      </c>
      <c r="B43" s="0" t="n">
        <v>0</v>
      </c>
      <c r="C43" s="0" t="n">
        <v>0</v>
      </c>
    </row>
    <row r="44" customFormat="false" ht="12.75" hidden="false" customHeight="false" outlineLevel="0" collapsed="false">
      <c r="A44" s="0" t="s">
        <v>424</v>
      </c>
      <c r="B44" s="0" t="n">
        <v>117</v>
      </c>
      <c r="C44" s="0" t="n">
        <v>128</v>
      </c>
    </row>
    <row r="45" customFormat="false" ht="12.75" hidden="false" customHeight="false" outlineLevel="0" collapsed="false">
      <c r="A45" s="0" t="s">
        <v>197</v>
      </c>
      <c r="B45" s="0" t="n">
        <v>258</v>
      </c>
      <c r="C45" s="0" t="n">
        <v>286</v>
      </c>
    </row>
    <row r="46" customFormat="false" ht="12.75" hidden="false" customHeight="false" outlineLevel="0" collapsed="false">
      <c r="A46" s="0" t="s">
        <v>287</v>
      </c>
      <c r="B46" s="0" t="n">
        <v>10</v>
      </c>
      <c r="C46" s="0" t="n">
        <v>17</v>
      </c>
    </row>
    <row r="47" customFormat="false" ht="12.75" hidden="false" customHeight="false" outlineLevel="0" collapsed="false">
      <c r="A47" s="0" t="s">
        <v>255</v>
      </c>
      <c r="B47" s="0" t="n">
        <v>103</v>
      </c>
      <c r="C47" s="0" t="n">
        <v>121</v>
      </c>
    </row>
    <row r="48" customFormat="false" ht="12.75" hidden="false" customHeight="false" outlineLevel="0" collapsed="false">
      <c r="A48" s="0" t="s">
        <v>256</v>
      </c>
      <c r="B48" s="0" t="n">
        <v>201</v>
      </c>
      <c r="C48" s="0" t="n">
        <v>250</v>
      </c>
    </row>
    <row r="49" customFormat="false" ht="12.75" hidden="false" customHeight="false" outlineLevel="0" collapsed="false">
      <c r="A49" s="0" t="s">
        <v>274</v>
      </c>
      <c r="B49" s="0" t="n">
        <v>0</v>
      </c>
      <c r="C49" s="0" t="n">
        <v>0</v>
      </c>
    </row>
    <row r="50" customFormat="false" ht="12.75" hidden="false" customHeight="false" outlineLevel="0" collapsed="false">
      <c r="A50" s="0" t="s">
        <v>302</v>
      </c>
      <c r="B50" s="0" t="n">
        <v>2</v>
      </c>
      <c r="C50" s="0" t="n">
        <v>2</v>
      </c>
    </row>
    <row r="51" customFormat="false" ht="12.75" hidden="false" customHeight="false" outlineLevel="0" collapsed="false">
      <c r="A51" s="0" t="s">
        <v>335</v>
      </c>
      <c r="B51" s="0" t="n">
        <v>14</v>
      </c>
      <c r="C51" s="0" t="n">
        <v>14</v>
      </c>
    </row>
    <row r="52" customFormat="false" ht="12.75" hidden="false" customHeight="false" outlineLevel="0" collapsed="false">
      <c r="A52" s="0" t="s">
        <v>337</v>
      </c>
      <c r="B52" s="0" t="n">
        <v>41</v>
      </c>
      <c r="C52" s="0" t="n">
        <v>47</v>
      </c>
    </row>
    <row r="53" customFormat="false" ht="12.75" hidden="false" customHeight="false" outlineLevel="0" collapsed="false">
      <c r="A53" s="0" t="s">
        <v>275</v>
      </c>
      <c r="B53" s="0" t="n">
        <v>12</v>
      </c>
      <c r="C53" s="0" t="n">
        <v>14</v>
      </c>
    </row>
    <row r="54" customFormat="false" ht="12.75" hidden="false" customHeight="false" outlineLevel="0" collapsed="false">
      <c r="A54" s="0" t="s">
        <v>258</v>
      </c>
      <c r="B54" s="0" t="n">
        <v>1525</v>
      </c>
      <c r="C54" s="0" t="n">
        <v>1922</v>
      </c>
    </row>
    <row r="55" customFormat="false" ht="12.75" hidden="false" customHeight="false" outlineLevel="0" collapsed="false">
      <c r="A55" s="0" t="s">
        <v>379</v>
      </c>
      <c r="B55" s="0" t="n">
        <v>152</v>
      </c>
      <c r="C55" s="0" t="n">
        <v>188</v>
      </c>
    </row>
    <row r="56" customFormat="false" ht="12.75" hidden="false" customHeight="false" outlineLevel="0" collapsed="false">
      <c r="A56" s="0" t="s">
        <v>325</v>
      </c>
      <c r="B56" s="0" t="n">
        <v>163</v>
      </c>
      <c r="C56" s="0" t="n">
        <v>190</v>
      </c>
    </row>
    <row r="57" customFormat="false" ht="12.75" hidden="false" customHeight="false" outlineLevel="0" collapsed="false">
      <c r="A57" s="0" t="s">
        <v>127</v>
      </c>
      <c r="B57" s="0" t="n">
        <v>76</v>
      </c>
      <c r="C57" s="0" t="n">
        <v>82</v>
      </c>
    </row>
    <row r="58" customFormat="false" ht="12.75" hidden="false" customHeight="false" outlineLevel="0" collapsed="false">
      <c r="A58" s="0" t="s">
        <v>128</v>
      </c>
      <c r="B58" s="0" t="n">
        <v>27</v>
      </c>
      <c r="C58" s="0" t="n">
        <v>31</v>
      </c>
    </row>
    <row r="59" customFormat="false" ht="12.75" hidden="false" customHeight="false" outlineLevel="0" collapsed="false">
      <c r="A59" s="0" t="s">
        <v>129</v>
      </c>
      <c r="B59" s="0" t="n">
        <v>14</v>
      </c>
      <c r="C59" s="0" t="n">
        <v>13</v>
      </c>
    </row>
    <row r="60" customFormat="false" ht="12.75" hidden="false" customHeight="false" outlineLevel="0" collapsed="false">
      <c r="A60" s="0" t="s">
        <v>130</v>
      </c>
      <c r="B60" s="0" t="n">
        <v>48</v>
      </c>
      <c r="C60" s="0" t="n">
        <v>53</v>
      </c>
    </row>
    <row r="61" customFormat="false" ht="12.75" hidden="false" customHeight="false" outlineLevel="0" collapsed="false">
      <c r="A61" s="0" t="s">
        <v>131</v>
      </c>
      <c r="B61" s="0" t="n">
        <v>161</v>
      </c>
      <c r="C61" s="0" t="n">
        <v>182</v>
      </c>
    </row>
    <row r="62" customFormat="false" ht="12.75" hidden="false" customHeight="false" outlineLevel="0" collapsed="false">
      <c r="A62" s="0" t="s">
        <v>169</v>
      </c>
      <c r="B62" s="0" t="n">
        <v>0</v>
      </c>
      <c r="C62" s="0" t="n">
        <v>0</v>
      </c>
    </row>
    <row r="63" customFormat="false" ht="12.75" hidden="false" customHeight="false" outlineLevel="0" collapsed="false">
      <c r="A63" s="0" t="s">
        <v>199</v>
      </c>
      <c r="B63" s="0" t="n">
        <v>0</v>
      </c>
      <c r="C63" s="0" t="n">
        <v>0</v>
      </c>
    </row>
    <row r="64" customFormat="false" ht="12.75" hidden="false" customHeight="false" outlineLevel="0" collapsed="false">
      <c r="A64" s="0" t="s">
        <v>201</v>
      </c>
      <c r="B64" s="0" t="n">
        <v>106</v>
      </c>
      <c r="C64" s="0" t="n">
        <v>120</v>
      </c>
    </row>
    <row r="65" customFormat="false" ht="12.75" hidden="false" customHeight="false" outlineLevel="0" collapsed="false">
      <c r="A65" s="0" t="s">
        <v>202</v>
      </c>
      <c r="B65" s="0" t="n">
        <v>44</v>
      </c>
      <c r="C65" s="0" t="n">
        <v>50</v>
      </c>
    </row>
    <row r="66" customFormat="false" ht="12.75" hidden="false" customHeight="false" outlineLevel="0" collapsed="false">
      <c r="A66" s="0" t="s">
        <v>267</v>
      </c>
      <c r="B66" s="0" t="n">
        <v>285</v>
      </c>
      <c r="C66" s="0" t="n">
        <v>320</v>
      </c>
    </row>
    <row r="67" customFormat="false" ht="12.75" hidden="false" customHeight="false" outlineLevel="0" collapsed="false">
      <c r="A67" s="0" t="s">
        <v>203</v>
      </c>
      <c r="B67" s="0" t="n">
        <v>220</v>
      </c>
      <c r="C67" s="0" t="n">
        <v>274</v>
      </c>
    </row>
    <row r="68" customFormat="false" ht="12.75" hidden="false" customHeight="false" outlineLevel="0" collapsed="false">
      <c r="A68" s="0" t="s">
        <v>204</v>
      </c>
      <c r="B68" s="0" t="n">
        <v>157</v>
      </c>
      <c r="C68" s="0" t="n">
        <v>174</v>
      </c>
    </row>
    <row r="69" customFormat="false" ht="12.75" hidden="false" customHeight="false" outlineLevel="0" collapsed="false">
      <c r="A69" s="0" t="s">
        <v>205</v>
      </c>
      <c r="B69" s="0" t="n">
        <v>23</v>
      </c>
      <c r="C69" s="0" t="n">
        <v>26</v>
      </c>
    </row>
    <row r="70" customFormat="false" ht="12.75" hidden="false" customHeight="false" outlineLevel="0" collapsed="false">
      <c r="A70" s="0" t="s">
        <v>426</v>
      </c>
      <c r="B70" s="0" t="n">
        <v>27</v>
      </c>
      <c r="C70" s="0" t="n">
        <v>29</v>
      </c>
    </row>
    <row r="71" customFormat="false" ht="12.75" hidden="false" customHeight="false" outlineLevel="0" collapsed="false">
      <c r="A71" s="0" t="s">
        <v>206</v>
      </c>
      <c r="B71" s="0" t="n">
        <v>203</v>
      </c>
      <c r="C71" s="0" t="n">
        <v>235</v>
      </c>
    </row>
    <row r="72" customFormat="false" ht="12.75" hidden="false" customHeight="false" outlineLevel="0" collapsed="false">
      <c r="A72" s="0" t="s">
        <v>339</v>
      </c>
      <c r="B72" s="0" t="n">
        <v>51</v>
      </c>
      <c r="C72" s="0" t="n">
        <v>71</v>
      </c>
    </row>
    <row r="73" customFormat="false" ht="12.75" hidden="false" customHeight="false" outlineLevel="0" collapsed="false">
      <c r="A73" s="0" t="s">
        <v>207</v>
      </c>
      <c r="B73" s="0" t="n">
        <v>201</v>
      </c>
      <c r="C73" s="0" t="n">
        <v>232</v>
      </c>
    </row>
    <row r="74" customFormat="false" ht="12.75" hidden="false" customHeight="false" outlineLevel="0" collapsed="false">
      <c r="A74" s="0" t="s">
        <v>208</v>
      </c>
      <c r="B74" s="0" t="n">
        <v>189</v>
      </c>
      <c r="C74" s="0" t="n">
        <v>219</v>
      </c>
    </row>
    <row r="75" customFormat="false" ht="12.75" hidden="false" customHeight="false" outlineLevel="0" collapsed="false">
      <c r="A75" s="0" t="s">
        <v>209</v>
      </c>
      <c r="B75" s="0" t="n">
        <v>401</v>
      </c>
      <c r="C75" s="0" t="n">
        <v>445</v>
      </c>
    </row>
    <row r="76" customFormat="false" ht="12.75" hidden="false" customHeight="false" outlineLevel="0" collapsed="false">
      <c r="A76" s="0" t="s">
        <v>403</v>
      </c>
      <c r="B76" s="0" t="n">
        <v>609</v>
      </c>
      <c r="C76" s="0" t="n">
        <v>672</v>
      </c>
    </row>
    <row r="77" customFormat="false" ht="12.75" hidden="false" customHeight="false" outlineLevel="0" collapsed="false">
      <c r="A77" s="0" t="s">
        <v>132</v>
      </c>
      <c r="B77" s="0" t="n">
        <v>67</v>
      </c>
      <c r="C77" s="0" t="n">
        <v>71</v>
      </c>
    </row>
    <row r="78" customFormat="false" ht="12.75" hidden="false" customHeight="false" outlineLevel="0" collapsed="false">
      <c r="A78" s="0" t="s">
        <v>133</v>
      </c>
      <c r="B78" s="0" t="n">
        <v>44</v>
      </c>
      <c r="C78" s="0" t="n">
        <v>54</v>
      </c>
    </row>
    <row r="79" customFormat="false" ht="12.75" hidden="false" customHeight="false" outlineLevel="0" collapsed="false">
      <c r="A79" s="0" t="s">
        <v>172</v>
      </c>
      <c r="B79" s="0" t="n">
        <v>146</v>
      </c>
      <c r="C79" s="0" t="n">
        <v>155</v>
      </c>
    </row>
    <row r="80" customFormat="false" ht="12.75" hidden="false" customHeight="false" outlineLevel="0" collapsed="false">
      <c r="A80" s="0" t="s">
        <v>134</v>
      </c>
      <c r="B80" s="0" t="n">
        <v>37</v>
      </c>
      <c r="C80" s="0" t="n">
        <v>40</v>
      </c>
    </row>
    <row r="81" customFormat="false" ht="12.75" hidden="false" customHeight="false" outlineLevel="0" collapsed="false">
      <c r="A81" s="0" t="s">
        <v>135</v>
      </c>
      <c r="B81" s="0" t="n">
        <v>74</v>
      </c>
      <c r="C81" s="0" t="n">
        <v>76</v>
      </c>
    </row>
    <row r="82" customFormat="false" ht="12.75" hidden="false" customHeight="false" outlineLevel="0" collapsed="false">
      <c r="A82" s="0" t="s">
        <v>137</v>
      </c>
      <c r="B82" s="0" t="n">
        <v>13</v>
      </c>
      <c r="C82" s="0" t="n">
        <v>14</v>
      </c>
    </row>
    <row r="83" customFormat="false" ht="12.75" hidden="false" customHeight="false" outlineLevel="0" collapsed="false">
      <c r="A83" s="0" t="s">
        <v>445</v>
      </c>
      <c r="B83" s="0" t="n">
        <v>0</v>
      </c>
      <c r="C83" s="0" t="n">
        <v>0</v>
      </c>
    </row>
    <row r="84" customFormat="false" ht="12.75" hidden="false" customHeight="false" outlineLevel="0" collapsed="false">
      <c r="A84" s="0" t="s">
        <v>331</v>
      </c>
      <c r="B84" s="0" t="n">
        <v>777</v>
      </c>
      <c r="C84" s="0" t="n">
        <v>804</v>
      </c>
    </row>
    <row r="85" customFormat="false" ht="12.75" hidden="false" customHeight="false" outlineLevel="0" collapsed="false">
      <c r="A85" s="0" t="s">
        <v>332</v>
      </c>
      <c r="B85" s="0" t="n">
        <v>147</v>
      </c>
      <c r="C85" s="0" t="n">
        <v>155</v>
      </c>
    </row>
    <row r="86" customFormat="false" ht="12.75" hidden="false" customHeight="false" outlineLevel="0" collapsed="false">
      <c r="A86" s="0" t="s">
        <v>146</v>
      </c>
      <c r="B86" s="0" t="n">
        <v>72</v>
      </c>
      <c r="C86" s="0" t="n">
        <v>81</v>
      </c>
    </row>
    <row r="87" customFormat="false" ht="12.75" hidden="false" customHeight="false" outlineLevel="0" collapsed="false">
      <c r="A87" s="0" t="s">
        <v>399</v>
      </c>
      <c r="B87" s="0" t="n">
        <v>425</v>
      </c>
      <c r="C87" s="0" t="n">
        <v>562</v>
      </c>
    </row>
    <row r="88" customFormat="false" ht="12.75" hidden="false" customHeight="false" outlineLevel="0" collapsed="false">
      <c r="A88" s="0" t="s">
        <v>433</v>
      </c>
      <c r="B88" s="0" t="n">
        <v>156</v>
      </c>
      <c r="C88" s="0" t="n">
        <v>180</v>
      </c>
    </row>
    <row r="89" customFormat="false" ht="12.75" hidden="false" customHeight="false" outlineLevel="0" collapsed="false">
      <c r="A89" s="0" t="s">
        <v>123</v>
      </c>
      <c r="B89" s="0" t="n">
        <v>102</v>
      </c>
      <c r="C89" s="0" t="n">
        <v>117</v>
      </c>
    </row>
    <row r="90" customFormat="false" ht="12.75" hidden="false" customHeight="false" outlineLevel="0" collapsed="false">
      <c r="A90" s="0" t="s">
        <v>367</v>
      </c>
      <c r="B90" s="0" t="n">
        <v>97</v>
      </c>
      <c r="C90" s="0" t="n">
        <v>130</v>
      </c>
    </row>
    <row r="91" customFormat="false" ht="12.75" hidden="false" customHeight="false" outlineLevel="0" collapsed="false">
      <c r="A91" s="0" t="s">
        <v>277</v>
      </c>
      <c r="B91" s="0" t="n">
        <v>2192</v>
      </c>
      <c r="C91" s="0" t="n">
        <v>3355</v>
      </c>
    </row>
    <row r="92" customFormat="false" ht="12.75" hidden="false" customHeight="false" outlineLevel="0" collapsed="false">
      <c r="A92" s="0" t="s">
        <v>279</v>
      </c>
      <c r="B92" s="0" t="n">
        <v>1399</v>
      </c>
      <c r="C92" s="0" t="n">
        <v>1739</v>
      </c>
    </row>
    <row r="93" customFormat="false" ht="12.75" hidden="false" customHeight="false" outlineLevel="0" collapsed="false">
      <c r="A93" s="0" t="s">
        <v>280</v>
      </c>
      <c r="B93" s="0" t="n">
        <v>615</v>
      </c>
      <c r="C93" s="0" t="n">
        <v>744</v>
      </c>
    </row>
    <row r="94" customFormat="false" ht="12.75" hidden="false" customHeight="false" outlineLevel="0" collapsed="false">
      <c r="A94" s="0" t="s">
        <v>281</v>
      </c>
      <c r="B94" s="0" t="n">
        <v>959</v>
      </c>
      <c r="C94" s="0" t="n">
        <v>1270</v>
      </c>
    </row>
    <row r="95" customFormat="false" ht="12.75" hidden="false" customHeight="false" outlineLevel="0" collapsed="false">
      <c r="A95" s="0" t="s">
        <v>168</v>
      </c>
      <c r="B95" s="0" t="n">
        <v>109</v>
      </c>
      <c r="C95" s="0" t="n">
        <v>127</v>
      </c>
    </row>
    <row r="96" customFormat="false" ht="12.75" hidden="false" customHeight="false" outlineLevel="0" collapsed="false">
      <c r="A96" s="0" t="s">
        <v>289</v>
      </c>
      <c r="B96" s="0" t="n">
        <v>8</v>
      </c>
      <c r="C96" s="0" t="n">
        <v>11</v>
      </c>
    </row>
    <row r="97" customFormat="false" ht="12.75" hidden="false" customHeight="false" outlineLevel="0" collapsed="false">
      <c r="A97" s="0" t="s">
        <v>291</v>
      </c>
      <c r="B97" s="0" t="n">
        <v>16</v>
      </c>
      <c r="C97" s="0" t="n">
        <v>20</v>
      </c>
    </row>
    <row r="98" customFormat="false" ht="12.75" hidden="false" customHeight="false" outlineLevel="0" collapsed="false">
      <c r="A98" s="0" t="s">
        <v>244</v>
      </c>
      <c r="B98" s="0" t="n">
        <v>139</v>
      </c>
      <c r="C98" s="0" t="n">
        <v>169</v>
      </c>
    </row>
    <row r="99" customFormat="false" ht="12.75" hidden="false" customHeight="false" outlineLevel="0" collapsed="false">
      <c r="A99" s="0" t="s">
        <v>407</v>
      </c>
      <c r="B99" s="0" t="n">
        <v>0</v>
      </c>
      <c r="C99" s="0" t="n">
        <v>0</v>
      </c>
    </row>
    <row r="100" customFormat="false" ht="12.75" hidden="false" customHeight="false" outlineLevel="0" collapsed="false">
      <c r="A100" s="0" t="s">
        <v>409</v>
      </c>
      <c r="B100" s="0" t="n">
        <v>0</v>
      </c>
      <c r="C100" s="0" t="n">
        <v>0</v>
      </c>
    </row>
    <row r="101" customFormat="false" ht="12.75" hidden="false" customHeight="false" outlineLevel="0" collapsed="false">
      <c r="A101" s="0" t="s">
        <v>121</v>
      </c>
      <c r="B101" s="0" t="n">
        <v>168</v>
      </c>
      <c r="C101" s="0" t="n">
        <v>243</v>
      </c>
    </row>
    <row r="102" customFormat="false" ht="12.75" hidden="false" customHeight="false" outlineLevel="0" collapsed="false">
      <c r="A102" s="0" t="s">
        <v>119</v>
      </c>
      <c r="B102" s="0" t="n">
        <v>169</v>
      </c>
      <c r="C102" s="0" t="n">
        <v>208</v>
      </c>
    </row>
    <row r="103" customFormat="false" ht="12.75" hidden="false" customHeight="false" outlineLevel="0" collapsed="false">
      <c r="A103" s="0" t="s">
        <v>242</v>
      </c>
      <c r="B103" s="0" t="n">
        <v>70</v>
      </c>
      <c r="C103" s="0" t="n">
        <v>96</v>
      </c>
    </row>
    <row r="104" customFormat="false" ht="12.75" hidden="false" customHeight="false" outlineLevel="0" collapsed="false">
      <c r="A104" s="0" t="s">
        <v>95</v>
      </c>
      <c r="B104" s="0" t="n">
        <v>0</v>
      </c>
      <c r="C104" s="0" t="n">
        <v>0</v>
      </c>
    </row>
    <row r="105" customFormat="false" ht="12.75" hidden="false" customHeight="false" outlineLevel="0" collapsed="false">
      <c r="A105" s="0" t="s">
        <v>22</v>
      </c>
      <c r="B105" s="0" t="n">
        <v>134</v>
      </c>
      <c r="C105" s="0" t="n">
        <v>156</v>
      </c>
    </row>
    <row r="106" customFormat="false" ht="12.75" hidden="false" customHeight="false" outlineLevel="0" collapsed="false">
      <c r="A106" s="0" t="s">
        <v>333</v>
      </c>
      <c r="B106" s="0" t="n">
        <v>3</v>
      </c>
      <c r="C106" s="0" t="n">
        <v>3</v>
      </c>
    </row>
    <row r="107" customFormat="false" ht="12.75" hidden="false" customHeight="false" outlineLevel="0" collapsed="false">
      <c r="A107" s="0" t="s">
        <v>138</v>
      </c>
      <c r="B107" s="0" t="n">
        <v>38</v>
      </c>
      <c r="C107" s="0" t="n">
        <v>55</v>
      </c>
    </row>
    <row r="108" customFormat="false" ht="12.75" hidden="false" customHeight="false" outlineLevel="0" collapsed="false">
      <c r="A108" s="0" t="s">
        <v>140</v>
      </c>
      <c r="B108" s="0" t="n">
        <v>162</v>
      </c>
      <c r="C108" s="0" t="n">
        <v>246</v>
      </c>
    </row>
    <row r="109" customFormat="false" ht="12.75" hidden="false" customHeight="false" outlineLevel="0" collapsed="false">
      <c r="A109" s="0" t="s">
        <v>55</v>
      </c>
      <c r="B109" s="0" t="n">
        <v>10</v>
      </c>
      <c r="C109" s="0" t="n">
        <v>10</v>
      </c>
    </row>
    <row r="110" customFormat="false" ht="12.75" hidden="false" customHeight="false" outlineLevel="0" collapsed="false">
      <c r="A110" s="0" t="s">
        <v>56</v>
      </c>
      <c r="B110" s="0" t="n">
        <v>0</v>
      </c>
      <c r="C110" s="0" t="n">
        <v>0</v>
      </c>
    </row>
    <row r="111" customFormat="false" ht="12.75" hidden="false" customHeight="false" outlineLevel="0" collapsed="false">
      <c r="A111" s="0" t="s">
        <v>58</v>
      </c>
      <c r="B111" s="0" t="n">
        <v>0</v>
      </c>
      <c r="C111" s="0" t="n">
        <v>0</v>
      </c>
    </row>
    <row r="112" customFormat="false" ht="12.75" hidden="false" customHeight="false" outlineLevel="0" collapsed="false">
      <c r="A112" s="0" t="s">
        <v>59</v>
      </c>
      <c r="B112" s="0" t="n">
        <v>0</v>
      </c>
      <c r="C112" s="0" t="n">
        <v>0</v>
      </c>
    </row>
    <row r="113" customFormat="false" ht="12.75" hidden="false" customHeight="false" outlineLevel="0" collapsed="false">
      <c r="A113" s="0" t="s">
        <v>57</v>
      </c>
      <c r="B113" s="0" t="n">
        <v>117</v>
      </c>
      <c r="C113" s="0" t="n">
        <v>131</v>
      </c>
    </row>
    <row r="114" customFormat="false" ht="12.75" hidden="false" customHeight="false" outlineLevel="0" collapsed="false">
      <c r="A114" s="0" t="s">
        <v>60</v>
      </c>
      <c r="B114" s="0" t="n">
        <v>0</v>
      </c>
      <c r="C114" s="0" t="n">
        <v>0</v>
      </c>
    </row>
    <row r="115" customFormat="false" ht="12.75" hidden="false" customHeight="false" outlineLevel="0" collapsed="false">
      <c r="A115" s="0" t="s">
        <v>52</v>
      </c>
      <c r="B115" s="0" t="n">
        <v>0</v>
      </c>
      <c r="C115" s="0" t="n">
        <v>0</v>
      </c>
    </row>
    <row r="116" customFormat="false" ht="12.75" hidden="false" customHeight="false" outlineLevel="0" collapsed="false">
      <c r="A116" s="0" t="s">
        <v>62</v>
      </c>
      <c r="B116" s="0" t="n">
        <v>0</v>
      </c>
      <c r="C116" s="0" t="n">
        <v>0</v>
      </c>
    </row>
    <row r="117" customFormat="false" ht="12.75" hidden="false" customHeight="false" outlineLevel="0" collapsed="false">
      <c r="A117" s="0" t="s">
        <v>61</v>
      </c>
      <c r="B117" s="0" t="n">
        <v>0</v>
      </c>
      <c r="C117" s="0" t="n">
        <v>0</v>
      </c>
    </row>
    <row r="118" customFormat="false" ht="12.75" hidden="false" customHeight="false" outlineLevel="0" collapsed="false">
      <c r="A118" s="0" t="s">
        <v>64</v>
      </c>
      <c r="B118" s="0" t="n">
        <v>0</v>
      </c>
      <c r="C118" s="0" t="n">
        <v>0</v>
      </c>
    </row>
    <row r="119" customFormat="false" ht="12.75" hidden="false" customHeight="false" outlineLevel="0" collapsed="false">
      <c r="A119" s="0" t="s">
        <v>68</v>
      </c>
      <c r="B119" s="0" t="n">
        <v>0</v>
      </c>
      <c r="C119" s="0" t="n">
        <v>0</v>
      </c>
    </row>
    <row r="120" customFormat="false" ht="12.75" hidden="false" customHeight="false" outlineLevel="0" collapsed="false">
      <c r="A120" s="0" t="s">
        <v>65</v>
      </c>
      <c r="B120" s="0" t="n">
        <v>0</v>
      </c>
      <c r="C120" s="0" t="n">
        <v>0</v>
      </c>
    </row>
    <row r="121" customFormat="false" ht="12.75" hidden="false" customHeight="false" outlineLevel="0" collapsed="false">
      <c r="A121" s="0" t="s">
        <v>72</v>
      </c>
      <c r="B121" s="0" t="n">
        <v>0</v>
      </c>
      <c r="C121" s="0" t="n">
        <v>0</v>
      </c>
    </row>
    <row r="122" customFormat="false" ht="12.75" hidden="false" customHeight="false" outlineLevel="0" collapsed="false">
      <c r="A122" s="0" t="s">
        <v>50</v>
      </c>
      <c r="B122" s="0" t="n">
        <v>0</v>
      </c>
      <c r="C122" s="0" t="n">
        <v>0</v>
      </c>
    </row>
    <row r="123" customFormat="false" ht="12.75" hidden="false" customHeight="false" outlineLevel="0" collapsed="false">
      <c r="A123" s="0" t="s">
        <v>66</v>
      </c>
      <c r="B123" s="0" t="n">
        <v>0</v>
      </c>
      <c r="C123" s="0" t="n">
        <v>0</v>
      </c>
    </row>
    <row r="124" customFormat="false" ht="12.75" hidden="false" customHeight="false" outlineLevel="0" collapsed="false">
      <c r="A124" s="0" t="s">
        <v>67</v>
      </c>
      <c r="B124" s="0" t="n">
        <v>0</v>
      </c>
      <c r="C124" s="0" t="n">
        <v>0</v>
      </c>
    </row>
    <row r="125" customFormat="false" ht="12.75" hidden="false" customHeight="false" outlineLevel="0" collapsed="false">
      <c r="A125" s="0" t="s">
        <v>80</v>
      </c>
      <c r="B125" s="0" t="n">
        <v>31</v>
      </c>
      <c r="C125" s="0" t="n">
        <v>58</v>
      </c>
    </row>
    <row r="126" customFormat="false" ht="12.75" hidden="false" customHeight="false" outlineLevel="0" collapsed="false">
      <c r="A126" s="0" t="s">
        <v>141</v>
      </c>
      <c r="B126" s="0" t="n">
        <v>248</v>
      </c>
      <c r="C126" s="0" t="n">
        <v>332</v>
      </c>
    </row>
    <row r="127" customFormat="false" ht="12.75" hidden="false" customHeight="false" outlineLevel="0" collapsed="false">
      <c r="A127" s="0" t="s">
        <v>338</v>
      </c>
      <c r="B127" s="0" t="n">
        <v>26</v>
      </c>
      <c r="C127" s="0" t="n">
        <v>32</v>
      </c>
    </row>
    <row r="128" customFormat="false" ht="12.75" hidden="false" customHeight="false" outlineLevel="0" collapsed="false">
      <c r="A128" s="0" t="s">
        <v>350</v>
      </c>
      <c r="B128" s="0" t="n">
        <v>316</v>
      </c>
      <c r="C128" s="0" t="n">
        <v>500</v>
      </c>
    </row>
    <row r="129" customFormat="false" ht="12.75" hidden="false" customHeight="false" outlineLevel="0" collapsed="false">
      <c r="A129" s="0" t="s">
        <v>352</v>
      </c>
      <c r="B129" s="0" t="n">
        <v>134</v>
      </c>
      <c r="C129" s="0" t="n">
        <v>246</v>
      </c>
    </row>
    <row r="130" customFormat="false" ht="12.75" hidden="false" customHeight="false" outlineLevel="0" collapsed="false">
      <c r="A130" s="0" t="s">
        <v>354</v>
      </c>
      <c r="B130" s="0" t="n">
        <v>55</v>
      </c>
      <c r="C130" s="0" t="n">
        <v>82</v>
      </c>
    </row>
    <row r="131" customFormat="false" ht="12.75" hidden="false" customHeight="false" outlineLevel="0" collapsed="false">
      <c r="A131" s="0" t="s">
        <v>355</v>
      </c>
      <c r="B131" s="0" t="n">
        <v>0</v>
      </c>
      <c r="C131" s="0" t="n">
        <v>0</v>
      </c>
    </row>
    <row r="132" customFormat="false" ht="12.75" hidden="false" customHeight="false" outlineLevel="0" collapsed="false">
      <c r="A132" s="0" t="s">
        <v>353</v>
      </c>
      <c r="B132" s="0" t="n">
        <v>299</v>
      </c>
      <c r="C132" s="0" t="n">
        <v>519</v>
      </c>
    </row>
    <row r="133" customFormat="false" ht="12.75" hidden="false" customHeight="false" outlineLevel="0" collapsed="false">
      <c r="A133" s="0" t="s">
        <v>401</v>
      </c>
      <c r="B133" s="0" t="n">
        <v>489</v>
      </c>
      <c r="C133" s="0" t="n">
        <v>627</v>
      </c>
    </row>
    <row r="134" customFormat="false" ht="12.75" hidden="false" customHeight="false" outlineLevel="0" collapsed="false">
      <c r="A134" s="0" t="s">
        <v>78</v>
      </c>
      <c r="B134" s="0" t="n">
        <v>1106</v>
      </c>
      <c r="C134" s="0" t="n">
        <v>1633</v>
      </c>
    </row>
    <row r="135" customFormat="false" ht="12.75" hidden="false" customHeight="false" outlineLevel="0" collapsed="false">
      <c r="A135" s="0" t="s">
        <v>324</v>
      </c>
      <c r="B135" s="0" t="n">
        <v>272</v>
      </c>
      <c r="C135" s="0" t="n">
        <v>311</v>
      </c>
    </row>
    <row r="136" customFormat="false" ht="12.75" hidden="false" customHeight="false" outlineLevel="0" collapsed="false">
      <c r="A136" s="0" t="s">
        <v>326</v>
      </c>
      <c r="B136" s="0" t="n">
        <v>532</v>
      </c>
      <c r="C136" s="0" t="n">
        <v>606</v>
      </c>
    </row>
    <row r="137" customFormat="false" ht="12.75" hidden="false" customHeight="false" outlineLevel="0" collapsed="false">
      <c r="A137" s="0" t="s">
        <v>327</v>
      </c>
      <c r="B137" s="0" t="n">
        <v>756</v>
      </c>
      <c r="C137" s="0" t="n">
        <v>873</v>
      </c>
    </row>
    <row r="138" customFormat="false" ht="12.75" hidden="false" customHeight="false" outlineLevel="0" collapsed="false">
      <c r="A138" s="0" t="s">
        <v>318</v>
      </c>
      <c r="B138" s="0" t="n">
        <v>142</v>
      </c>
      <c r="C138" s="0" t="n">
        <v>164</v>
      </c>
    </row>
    <row r="139" customFormat="false" ht="12.75" hidden="false" customHeight="false" outlineLevel="0" collapsed="false">
      <c r="A139" s="0" t="s">
        <v>328</v>
      </c>
      <c r="B139" s="0" t="n">
        <v>318</v>
      </c>
      <c r="C139" s="0" t="n">
        <v>362</v>
      </c>
    </row>
    <row r="140" customFormat="false" ht="12.75" hidden="false" customHeight="false" outlineLevel="0" collapsed="false">
      <c r="A140" s="0" t="s">
        <v>317</v>
      </c>
      <c r="B140" s="0" t="n">
        <v>369</v>
      </c>
      <c r="C140" s="0" t="n">
        <v>434</v>
      </c>
    </row>
    <row r="141" customFormat="false" ht="12.75" hidden="false" customHeight="false" outlineLevel="0" collapsed="false">
      <c r="A141" s="0" t="s">
        <v>314</v>
      </c>
      <c r="B141" s="0" t="n">
        <v>270</v>
      </c>
      <c r="C141" s="0" t="n">
        <v>312</v>
      </c>
    </row>
    <row r="142" customFormat="false" ht="12.75" hidden="false" customHeight="false" outlineLevel="0" collapsed="false">
      <c r="A142" s="0" t="s">
        <v>329</v>
      </c>
      <c r="B142" s="0" t="n">
        <v>566</v>
      </c>
      <c r="C142" s="0" t="n">
        <v>648</v>
      </c>
    </row>
    <row r="143" customFormat="false" ht="12.75" hidden="false" customHeight="false" outlineLevel="0" collapsed="false">
      <c r="A143" s="0" t="s">
        <v>330</v>
      </c>
      <c r="B143" s="0" t="n">
        <v>842</v>
      </c>
      <c r="C143" s="0" t="n">
        <v>976</v>
      </c>
    </row>
    <row r="144" customFormat="false" ht="12.75" hidden="false" customHeight="false" outlineLevel="0" collapsed="false">
      <c r="A144" s="0" t="s">
        <v>319</v>
      </c>
      <c r="B144" s="0" t="n">
        <v>632</v>
      </c>
      <c r="C144" s="0" t="n">
        <v>716</v>
      </c>
    </row>
    <row r="145" customFormat="false" ht="12.75" hidden="false" customHeight="false" outlineLevel="0" collapsed="false">
      <c r="A145" s="0" t="s">
        <v>320</v>
      </c>
      <c r="B145" s="0" t="n">
        <v>314</v>
      </c>
      <c r="C145" s="0" t="n">
        <v>347</v>
      </c>
    </row>
    <row r="146" customFormat="false" ht="12.75" hidden="false" customHeight="false" outlineLevel="0" collapsed="false">
      <c r="A146" s="0" t="s">
        <v>323</v>
      </c>
      <c r="B146" s="0" t="n">
        <v>372</v>
      </c>
      <c r="C146" s="0" t="n">
        <v>435</v>
      </c>
    </row>
    <row r="147" customFormat="false" ht="12.75" hidden="false" customHeight="false" outlineLevel="0" collapsed="false">
      <c r="A147" s="0" t="s">
        <v>322</v>
      </c>
      <c r="B147" s="0" t="n">
        <v>468</v>
      </c>
      <c r="C147" s="0" t="n">
        <v>561</v>
      </c>
    </row>
    <row r="148" customFormat="false" ht="12.75" hidden="false" customHeight="false" outlineLevel="0" collapsed="false">
      <c r="A148" s="0" t="s">
        <v>321</v>
      </c>
      <c r="B148" s="0" t="n">
        <v>177</v>
      </c>
      <c r="C148" s="0" t="n">
        <v>206</v>
      </c>
    </row>
    <row r="149" customFormat="false" ht="12.75" hidden="false" customHeight="false" outlineLevel="0" collapsed="false">
      <c r="A149" s="0" t="s">
        <v>177</v>
      </c>
      <c r="B149" s="0" t="n">
        <v>0</v>
      </c>
      <c r="C149" s="0" t="n">
        <v>0</v>
      </c>
    </row>
    <row r="150" customFormat="false" ht="12.75" hidden="false" customHeight="false" outlineLevel="0" collapsed="false">
      <c r="A150" s="0" t="s">
        <v>176</v>
      </c>
      <c r="B150" s="0" t="n">
        <v>0</v>
      </c>
      <c r="C150" s="0" t="n">
        <v>0</v>
      </c>
    </row>
    <row r="151" customFormat="false" ht="12.75" hidden="false" customHeight="false" outlineLevel="0" collapsed="false">
      <c r="A151" s="0" t="s">
        <v>63</v>
      </c>
      <c r="B151" s="0" t="n">
        <v>281</v>
      </c>
      <c r="C151" s="0" t="n">
        <v>311</v>
      </c>
    </row>
    <row r="152" customFormat="false" ht="12.75" hidden="false" customHeight="false" outlineLevel="0" collapsed="false">
      <c r="A152" s="0" t="s">
        <v>69</v>
      </c>
      <c r="B152" s="0" t="n">
        <v>0</v>
      </c>
      <c r="C152" s="0" t="n">
        <v>0</v>
      </c>
    </row>
    <row r="153" customFormat="false" ht="12.75" hidden="false" customHeight="false" outlineLevel="0" collapsed="false">
      <c r="A153" s="0" t="s">
        <v>271</v>
      </c>
      <c r="B153" s="0" t="n">
        <v>24</v>
      </c>
      <c r="C153" s="0" t="n">
        <v>28</v>
      </c>
    </row>
    <row r="154" customFormat="false" ht="12.75" hidden="false" customHeight="false" outlineLevel="0" collapsed="false">
      <c r="A154" s="0" t="s">
        <v>269</v>
      </c>
      <c r="B154" s="0" t="n">
        <v>0</v>
      </c>
      <c r="C154" s="0" t="n">
        <v>0</v>
      </c>
    </row>
    <row r="155" customFormat="false" ht="12.75" hidden="false" customHeight="false" outlineLevel="0" collapsed="false">
      <c r="A155" s="0" t="s">
        <v>272</v>
      </c>
      <c r="B155" s="0" t="n">
        <v>0</v>
      </c>
      <c r="C155" s="0" t="n">
        <v>0</v>
      </c>
    </row>
    <row r="156" customFormat="false" ht="12.75" hidden="false" customHeight="false" outlineLevel="0" collapsed="false">
      <c r="A156" s="0" t="s">
        <v>373</v>
      </c>
      <c r="B156" s="0" t="n">
        <v>357</v>
      </c>
      <c r="C156" s="0" t="n">
        <v>426</v>
      </c>
    </row>
    <row r="157" customFormat="false" ht="12.75" hidden="false" customHeight="false" outlineLevel="0" collapsed="false">
      <c r="A157" s="0" t="s">
        <v>378</v>
      </c>
      <c r="B157" s="0" t="n">
        <v>164</v>
      </c>
      <c r="C157" s="0" t="n">
        <v>208</v>
      </c>
    </row>
    <row r="158" customFormat="false" ht="12.75" hidden="false" customHeight="false" outlineLevel="0" collapsed="false">
      <c r="A158" s="0" t="s">
        <v>366</v>
      </c>
      <c r="B158" s="0" t="n">
        <v>369</v>
      </c>
      <c r="C158" s="0" t="n">
        <v>462</v>
      </c>
    </row>
    <row r="159" customFormat="false" ht="12.75" hidden="false" customHeight="false" outlineLevel="0" collapsed="false">
      <c r="A159" s="0" t="s">
        <v>250</v>
      </c>
      <c r="B159" s="0" t="n">
        <v>186</v>
      </c>
      <c r="C159" s="0" t="n">
        <v>229</v>
      </c>
    </row>
    <row r="160" customFormat="false" ht="12.75" hidden="false" customHeight="false" outlineLevel="0" collapsed="false">
      <c r="A160" s="0" t="s">
        <v>249</v>
      </c>
      <c r="B160" s="0" t="n">
        <v>0</v>
      </c>
      <c r="C160" s="0" t="n">
        <v>0</v>
      </c>
    </row>
    <row r="161" customFormat="false" ht="12.75" hidden="false" customHeight="false" outlineLevel="0" collapsed="false">
      <c r="A161" s="0" t="s">
        <v>253</v>
      </c>
      <c r="B161" s="0" t="n">
        <v>78</v>
      </c>
      <c r="C161" s="0" t="n">
        <v>101</v>
      </c>
    </row>
    <row r="162" customFormat="false" ht="12.75" hidden="false" customHeight="false" outlineLevel="0" collapsed="false">
      <c r="A162" s="0" t="s">
        <v>252</v>
      </c>
      <c r="B162" s="0" t="n">
        <v>518</v>
      </c>
      <c r="C162" s="0" t="n">
        <v>649</v>
      </c>
    </row>
    <row r="163" customFormat="false" ht="12.75" hidden="false" customHeight="false" outlineLevel="0" collapsed="false">
      <c r="A163" s="0" t="s">
        <v>251</v>
      </c>
      <c r="B163" s="0" t="n">
        <v>1113</v>
      </c>
      <c r="C163" s="0" t="n">
        <v>1334</v>
      </c>
    </row>
    <row r="164" customFormat="false" ht="12.75" hidden="false" customHeight="false" outlineLevel="0" collapsed="false">
      <c r="A164" s="0" t="s">
        <v>247</v>
      </c>
      <c r="B164" s="0" t="n">
        <v>513</v>
      </c>
      <c r="C164" s="0" t="n">
        <v>719</v>
      </c>
    </row>
    <row r="165" customFormat="false" ht="12.75" hidden="false" customHeight="false" outlineLevel="0" collapsed="false">
      <c r="A165" s="0" t="s">
        <v>96</v>
      </c>
      <c r="B165" s="0" t="n">
        <v>2070</v>
      </c>
      <c r="C165" s="0" t="n">
        <v>2729</v>
      </c>
    </row>
    <row r="166" customFormat="false" ht="12.75" hidden="false" customHeight="false" outlineLevel="0" collapsed="false">
      <c r="A166" s="0" t="s">
        <v>376</v>
      </c>
      <c r="B166" s="0" t="n">
        <v>0</v>
      </c>
      <c r="C166" s="0" t="n">
        <v>0</v>
      </c>
    </row>
    <row r="167" customFormat="false" ht="12.75" hidden="false" customHeight="false" outlineLevel="0" collapsed="false">
      <c r="A167" s="0" t="s">
        <v>198</v>
      </c>
      <c r="B167" s="0" t="n">
        <v>60</v>
      </c>
      <c r="C167" s="0" t="n">
        <v>69</v>
      </c>
    </row>
    <row r="168" customFormat="false" ht="12.75" hidden="false" customHeight="false" outlineLevel="0" collapsed="false">
      <c r="A168" s="0" t="s">
        <v>76</v>
      </c>
      <c r="B168" s="0" t="n">
        <v>31</v>
      </c>
      <c r="C168" s="0" t="n">
        <v>51</v>
      </c>
    </row>
    <row r="169" customFormat="false" ht="12.75" hidden="false" customHeight="false" outlineLevel="0" collapsed="false">
      <c r="A169" s="0" t="s">
        <v>441</v>
      </c>
      <c r="B169" s="0" t="n">
        <v>173</v>
      </c>
      <c r="C169" s="0" t="n">
        <v>211</v>
      </c>
    </row>
    <row r="170" customFormat="false" ht="12.75" hidden="false" customHeight="false" outlineLevel="0" collapsed="false">
      <c r="A170" s="0" t="s">
        <v>232</v>
      </c>
      <c r="B170" s="0" t="n">
        <v>279</v>
      </c>
      <c r="C170" s="0" t="n">
        <v>339</v>
      </c>
    </row>
    <row r="171" customFormat="false" ht="12.75" hidden="false" customHeight="false" outlineLevel="0" collapsed="false">
      <c r="A171" s="0" t="s">
        <v>439</v>
      </c>
      <c r="B171" s="0" t="n">
        <v>312</v>
      </c>
      <c r="C171" s="0" t="n">
        <v>443</v>
      </c>
    </row>
    <row r="172" customFormat="false" ht="12.75" hidden="false" customHeight="false" outlineLevel="0" collapsed="false">
      <c r="A172" s="0" t="s">
        <v>295</v>
      </c>
      <c r="B172" s="0" t="n">
        <v>164</v>
      </c>
      <c r="C172" s="0" t="n">
        <v>203</v>
      </c>
    </row>
    <row r="173" customFormat="false" ht="12.75" hidden="false" customHeight="false" outlineLevel="0" collapsed="false">
      <c r="A173" s="0" t="s">
        <v>282</v>
      </c>
      <c r="B173" s="0" t="n">
        <v>8149</v>
      </c>
      <c r="C173" s="0" t="n">
        <v>11105</v>
      </c>
    </row>
    <row r="174" customFormat="false" ht="12.75" hidden="false" customHeight="false" outlineLevel="0" collapsed="false">
      <c r="A174" s="0" t="s">
        <v>412</v>
      </c>
      <c r="B174" s="0" t="n">
        <v>103</v>
      </c>
      <c r="C174" s="0" t="n">
        <v>128</v>
      </c>
    </row>
    <row r="175" customFormat="false" ht="12.75" hidden="false" customHeight="false" outlineLevel="0" collapsed="false">
      <c r="A175" s="0" t="s">
        <v>292</v>
      </c>
      <c r="B175" s="0" t="n">
        <v>4</v>
      </c>
      <c r="C175" s="0" t="n">
        <v>6</v>
      </c>
    </row>
    <row r="176" customFormat="false" ht="12.75" hidden="false" customHeight="false" outlineLevel="0" collapsed="false">
      <c r="A176" s="0" t="s">
        <v>294</v>
      </c>
      <c r="B176" s="0" t="n">
        <v>0</v>
      </c>
      <c r="C176" s="0" t="n">
        <v>0</v>
      </c>
    </row>
    <row r="177" customFormat="false" ht="12.75" hidden="false" customHeight="false" outlineLevel="0" collapsed="false">
      <c r="A177" s="0" t="s">
        <v>316</v>
      </c>
      <c r="B177" s="0" t="n">
        <v>1301</v>
      </c>
      <c r="C177" s="0" t="n">
        <v>1534</v>
      </c>
    </row>
    <row r="178" customFormat="false" ht="12.75" hidden="false" customHeight="false" outlineLevel="0" collapsed="false">
      <c r="A178" s="0" t="s">
        <v>248</v>
      </c>
      <c r="B178" s="0" t="n">
        <v>213</v>
      </c>
      <c r="C178" s="0" t="n">
        <v>269</v>
      </c>
    </row>
    <row r="179" customFormat="false" ht="12.75" hidden="false" customHeight="false" outlineLevel="0" collapsed="false">
      <c r="A179" s="0" t="s">
        <v>372</v>
      </c>
      <c r="B179" s="0" t="n">
        <v>185</v>
      </c>
      <c r="C179" s="0" t="n">
        <v>253</v>
      </c>
    </row>
    <row r="180" customFormat="false" ht="12.75" hidden="false" customHeight="false" outlineLevel="0" collapsed="false">
      <c r="A180" s="0" t="s">
        <v>382</v>
      </c>
      <c r="B180" s="0" t="n">
        <v>0</v>
      </c>
      <c r="C180" s="0" t="n">
        <v>0</v>
      </c>
    </row>
    <row r="181" customFormat="false" ht="12.75" hidden="false" customHeight="false" outlineLevel="0" collapsed="false">
      <c r="A181" s="0" t="s">
        <v>158</v>
      </c>
      <c r="B181" s="0" t="n">
        <v>6</v>
      </c>
      <c r="C181" s="0" t="n">
        <v>10</v>
      </c>
    </row>
    <row r="182" customFormat="false" ht="12.75" hidden="false" customHeight="false" outlineLevel="0" collapsed="false">
      <c r="A182" s="0" t="s">
        <v>200</v>
      </c>
      <c r="B182" s="0" t="n">
        <v>440</v>
      </c>
      <c r="C182" s="0" t="n">
        <v>526</v>
      </c>
    </row>
    <row r="183" customFormat="false" ht="12.75" hidden="false" customHeight="false" outlineLevel="0" collapsed="false">
      <c r="A183" s="0" t="s">
        <v>194</v>
      </c>
      <c r="B183" s="0" t="n">
        <v>62</v>
      </c>
      <c r="C183" s="0" t="n">
        <v>86</v>
      </c>
    </row>
    <row r="184" customFormat="false" ht="12.75" hidden="false" customHeight="false" outlineLevel="0" collapsed="false">
      <c r="A184" s="0" t="s">
        <v>6</v>
      </c>
      <c r="B184" s="0" t="n">
        <v>0</v>
      </c>
      <c r="C184" s="0" t="n">
        <v>0</v>
      </c>
    </row>
    <row r="185" customFormat="false" ht="12.75" hidden="false" customHeight="false" outlineLevel="0" collapsed="false">
      <c r="A185" s="0" t="s">
        <v>259</v>
      </c>
      <c r="B185" s="0" t="n">
        <v>478</v>
      </c>
      <c r="C185" s="0" t="n">
        <v>607</v>
      </c>
    </row>
    <row r="186" customFormat="false" ht="12.75" hidden="false" customHeight="false" outlineLevel="0" collapsed="false">
      <c r="A186" s="0" t="s">
        <v>298</v>
      </c>
      <c r="B186" s="0" t="n">
        <v>45</v>
      </c>
      <c r="C186" s="0" t="n">
        <v>55</v>
      </c>
    </row>
    <row r="187" customFormat="false" ht="12.75" hidden="false" customHeight="false" outlineLevel="0" collapsed="false">
      <c r="A187" s="0" t="s">
        <v>297</v>
      </c>
      <c r="B187" s="0" t="n">
        <v>41</v>
      </c>
      <c r="C187" s="0" t="n">
        <v>50</v>
      </c>
    </row>
    <row r="188" customFormat="false" ht="12.75" hidden="false" customHeight="false" outlineLevel="0" collapsed="false">
      <c r="A188" s="0" t="s">
        <v>437</v>
      </c>
      <c r="B188" s="0" t="n">
        <v>310</v>
      </c>
      <c r="C188" s="0" t="n">
        <v>320</v>
      </c>
    </row>
    <row r="189" customFormat="false" ht="12.75" hidden="false" customHeight="false" outlineLevel="0" collapsed="false">
      <c r="A189" s="0" t="s">
        <v>29</v>
      </c>
      <c r="B189" s="0" t="n">
        <v>476</v>
      </c>
      <c r="C189" s="0" t="n">
        <v>594</v>
      </c>
    </row>
    <row r="190" customFormat="false" ht="12.75" hidden="false" customHeight="false" outlineLevel="0" collapsed="false">
      <c r="A190" s="0" t="s">
        <v>214</v>
      </c>
      <c r="B190" s="0" t="n">
        <v>430</v>
      </c>
      <c r="C190" s="0" t="n">
        <v>471</v>
      </c>
    </row>
    <row r="191" customFormat="false" ht="12.75" hidden="false" customHeight="false" outlineLevel="0" collapsed="false">
      <c r="A191" s="0" t="s">
        <v>224</v>
      </c>
      <c r="B191" s="0" t="n">
        <v>0</v>
      </c>
      <c r="C191" s="0" t="n">
        <v>0</v>
      </c>
    </row>
    <row r="192" customFormat="false" ht="12.75" hidden="false" customHeight="false" outlineLevel="0" collapsed="false">
      <c r="A192" s="0" t="s">
        <v>226</v>
      </c>
      <c r="B192" s="0" t="n">
        <v>57</v>
      </c>
      <c r="C192" s="0" t="n">
        <v>66</v>
      </c>
    </row>
    <row r="193" customFormat="false" ht="12.75" hidden="false" customHeight="false" outlineLevel="0" collapsed="false">
      <c r="A193" s="0" t="s">
        <v>230</v>
      </c>
      <c r="B193" s="0" t="n">
        <v>52</v>
      </c>
      <c r="C193" s="0" t="n">
        <v>61</v>
      </c>
    </row>
    <row r="194" customFormat="false" ht="12.75" hidden="false" customHeight="false" outlineLevel="0" collapsed="false">
      <c r="A194" s="0" t="s">
        <v>92</v>
      </c>
      <c r="B194" s="0" t="n">
        <v>834</v>
      </c>
      <c r="C194" s="0" t="n">
        <v>934</v>
      </c>
    </row>
    <row r="195" customFormat="false" ht="12.75" hidden="false" customHeight="false" outlineLevel="0" collapsed="false">
      <c r="A195" s="0" t="s">
        <v>410</v>
      </c>
      <c r="B195" s="0" t="n">
        <v>0</v>
      </c>
      <c r="C195" s="0" t="n">
        <v>0</v>
      </c>
    </row>
    <row r="196" customFormat="false" ht="12.75" hidden="false" customHeight="false" outlineLevel="0" collapsed="false">
      <c r="A196" s="0" t="s">
        <v>405</v>
      </c>
      <c r="B196" s="0" t="n">
        <v>48</v>
      </c>
      <c r="C196" s="0" t="n">
        <v>56</v>
      </c>
    </row>
    <row r="197" customFormat="false" ht="12.75" hidden="false" customHeight="false" outlineLevel="0" collapsed="false">
      <c r="A197" s="0" t="s">
        <v>408</v>
      </c>
      <c r="B197" s="0" t="n">
        <v>116</v>
      </c>
      <c r="C197" s="0" t="n">
        <v>134</v>
      </c>
    </row>
    <row r="198" customFormat="false" ht="12.75" hidden="false" customHeight="false" outlineLevel="0" collapsed="false">
      <c r="A198" s="0" t="s">
        <v>110</v>
      </c>
      <c r="B198" s="0" t="n">
        <v>70</v>
      </c>
      <c r="C198" s="0" t="n">
        <v>97</v>
      </c>
    </row>
    <row r="199" customFormat="false" ht="12.75" hidden="false" customHeight="false" outlineLevel="0" collapsed="false">
      <c r="A199" s="0" t="s">
        <v>31</v>
      </c>
      <c r="B199" s="0" t="n">
        <v>762</v>
      </c>
      <c r="C199" s="0" t="n">
        <v>959</v>
      </c>
    </row>
    <row r="200" customFormat="false" ht="12.75" hidden="false" customHeight="false" outlineLevel="0" collapsed="false">
      <c r="A200" s="0" t="s">
        <v>397</v>
      </c>
      <c r="B200" s="0" t="n">
        <v>211</v>
      </c>
      <c r="C200" s="0" t="n">
        <v>275</v>
      </c>
    </row>
    <row r="201" customFormat="false" ht="12.75" hidden="false" customHeight="false" outlineLevel="0" collapsed="false">
      <c r="A201" s="0" t="s">
        <v>370</v>
      </c>
      <c r="B201" s="0" t="n">
        <v>501</v>
      </c>
      <c r="C201" s="0" t="n">
        <v>637</v>
      </c>
    </row>
    <row r="202" customFormat="false" ht="12.75" hidden="false" customHeight="false" outlineLevel="0" collapsed="false">
      <c r="A202" s="0" t="s">
        <v>219</v>
      </c>
      <c r="B202" s="0" t="n">
        <v>1057</v>
      </c>
      <c r="C202" s="0" t="n">
        <v>1281</v>
      </c>
    </row>
    <row r="203" customFormat="false" ht="12.75" hidden="false" customHeight="false" outlineLevel="0" collapsed="false">
      <c r="A203" s="0" t="s">
        <v>220</v>
      </c>
      <c r="B203" s="0" t="n">
        <v>271</v>
      </c>
      <c r="C203" s="0" t="n">
        <v>286</v>
      </c>
    </row>
    <row r="204" customFormat="false" ht="12.75" hidden="false" customHeight="false" outlineLevel="0" collapsed="false">
      <c r="A204" s="0" t="s">
        <v>216</v>
      </c>
      <c r="B204" s="0" t="n">
        <v>715</v>
      </c>
      <c r="C204" s="0" t="n">
        <v>730</v>
      </c>
    </row>
    <row r="205" customFormat="false" ht="12.75" hidden="false" customHeight="false" outlineLevel="0" collapsed="false">
      <c r="A205" s="0" t="s">
        <v>374</v>
      </c>
      <c r="B205" s="0" t="n">
        <v>320</v>
      </c>
      <c r="C205" s="0" t="n">
        <v>455</v>
      </c>
    </row>
    <row r="206" customFormat="false" ht="12.75" hidden="false" customHeight="false" outlineLevel="0" collapsed="false">
      <c r="A206" s="0" t="s">
        <v>381</v>
      </c>
      <c r="B206" s="0" t="n">
        <v>246</v>
      </c>
      <c r="C206" s="0" t="n">
        <v>304</v>
      </c>
    </row>
    <row r="207" customFormat="false" ht="12.75" hidden="false" customHeight="false" outlineLevel="0" collapsed="false">
      <c r="A207" s="0" t="s">
        <v>221</v>
      </c>
      <c r="B207" s="0" t="n">
        <v>114</v>
      </c>
      <c r="C207" s="0" t="n">
        <v>127</v>
      </c>
    </row>
    <row r="208" customFormat="false" ht="12.75" hidden="false" customHeight="false" outlineLevel="0" collapsed="false">
      <c r="A208" s="0" t="s">
        <v>222</v>
      </c>
      <c r="B208" s="0" t="n">
        <v>32</v>
      </c>
      <c r="C208" s="0" t="n">
        <v>35</v>
      </c>
    </row>
    <row r="209" customFormat="false" ht="12.75" hidden="false" customHeight="false" outlineLevel="0" collapsed="false">
      <c r="A209" s="0" t="s">
        <v>225</v>
      </c>
      <c r="B209" s="0" t="n">
        <v>286</v>
      </c>
      <c r="C209" s="0" t="n">
        <v>325</v>
      </c>
    </row>
    <row r="210" customFormat="false" ht="12.75" hidden="false" customHeight="false" outlineLevel="0" collapsed="false">
      <c r="A210" s="0" t="s">
        <v>223</v>
      </c>
      <c r="B210" s="0" t="n">
        <v>0</v>
      </c>
      <c r="C210" s="0" t="n">
        <v>0</v>
      </c>
    </row>
    <row r="211" customFormat="false" ht="12.75" hidden="false" customHeight="false" outlineLevel="0" collapsed="false">
      <c r="A211" s="0" t="s">
        <v>228</v>
      </c>
      <c r="B211" s="0" t="n">
        <v>235</v>
      </c>
      <c r="C211" s="0" t="n">
        <v>340</v>
      </c>
    </row>
    <row r="212" customFormat="false" ht="12.75" hidden="false" customHeight="false" outlineLevel="0" collapsed="false">
      <c r="A212" s="0" t="s">
        <v>395</v>
      </c>
      <c r="B212" s="0" t="n">
        <v>98</v>
      </c>
      <c r="C212" s="0" t="n">
        <v>101</v>
      </c>
    </row>
    <row r="213" customFormat="false" ht="12.75" hidden="false" customHeight="false" outlineLevel="0" collapsed="false">
      <c r="A213" s="0" t="s">
        <v>18</v>
      </c>
      <c r="B213" s="0" t="n">
        <v>356</v>
      </c>
      <c r="C213" s="0" t="n">
        <v>441</v>
      </c>
    </row>
    <row r="214" customFormat="false" ht="12.75" hidden="false" customHeight="false" outlineLevel="0" collapsed="false">
      <c r="A214" s="0" t="s">
        <v>229</v>
      </c>
      <c r="B214" s="0" t="n">
        <v>267</v>
      </c>
      <c r="C214" s="0" t="n">
        <v>306</v>
      </c>
    </row>
    <row r="215" customFormat="false" ht="12.75" hidden="false" customHeight="false" outlineLevel="0" collapsed="false">
      <c r="A215" s="0" t="s">
        <v>296</v>
      </c>
      <c r="B215" s="0" t="n">
        <v>105</v>
      </c>
      <c r="C215" s="0" t="n">
        <v>138</v>
      </c>
    </row>
    <row r="216" customFormat="false" ht="12.75" hidden="false" customHeight="false" outlineLevel="0" collapsed="false">
      <c r="A216" s="0" t="s">
        <v>368</v>
      </c>
      <c r="B216" s="0" t="n">
        <v>239</v>
      </c>
      <c r="C216" s="0" t="n">
        <v>305</v>
      </c>
    </row>
    <row r="217" customFormat="false" ht="12.75" hidden="false" customHeight="false" outlineLevel="0" collapsed="false">
      <c r="A217" s="0" t="s">
        <v>380</v>
      </c>
      <c r="B217" s="0" t="n">
        <v>0</v>
      </c>
      <c r="C217" s="0" t="n">
        <v>0</v>
      </c>
    </row>
    <row r="218" customFormat="false" ht="12.75" hidden="false" customHeight="false" outlineLevel="0" collapsed="false">
      <c r="A218" s="0" t="s">
        <v>125</v>
      </c>
      <c r="B218" s="0" t="n">
        <v>591</v>
      </c>
      <c r="C218" s="0" t="n">
        <v>821</v>
      </c>
    </row>
    <row r="219" customFormat="false" ht="12.75" hidden="false" customHeight="false" outlineLevel="0" collapsed="false">
      <c r="A219" s="0" t="s">
        <v>32</v>
      </c>
      <c r="B219" s="0" t="n">
        <v>130</v>
      </c>
      <c r="C219" s="0" t="n">
        <v>159</v>
      </c>
    </row>
    <row r="220" customFormat="false" ht="12.75" hidden="false" customHeight="false" outlineLevel="0" collapsed="false">
      <c r="A220" s="0" t="s">
        <v>11</v>
      </c>
      <c r="B220" s="0" t="n">
        <v>1033</v>
      </c>
      <c r="C220" s="0" t="n">
        <v>1370</v>
      </c>
    </row>
    <row r="221" customFormat="false" ht="12.75" hidden="false" customHeight="false" outlineLevel="0" collapsed="false">
      <c r="A221" s="0" t="s">
        <v>16</v>
      </c>
      <c r="B221" s="0" t="n">
        <v>1561</v>
      </c>
      <c r="C221" s="0" t="n">
        <v>1995</v>
      </c>
    </row>
    <row r="222" customFormat="false" ht="12.75" hidden="false" customHeight="false" outlineLevel="0" collapsed="false">
      <c r="A222" s="0" t="s">
        <v>13</v>
      </c>
      <c r="B222" s="0" t="n">
        <v>848</v>
      </c>
      <c r="C222" s="0" t="n">
        <v>1057</v>
      </c>
    </row>
    <row r="223" customFormat="false" ht="12.75" hidden="false" customHeight="false" outlineLevel="0" collapsed="false">
      <c r="A223" s="0" t="s">
        <v>14</v>
      </c>
      <c r="B223" s="0" t="n">
        <v>285</v>
      </c>
      <c r="C223" s="0" t="n">
        <v>349</v>
      </c>
    </row>
    <row r="224" customFormat="false" ht="12.75" hidden="false" customHeight="false" outlineLevel="0" collapsed="false">
      <c r="A224" s="0" t="s">
        <v>15</v>
      </c>
      <c r="B224" s="0" t="n">
        <v>454</v>
      </c>
      <c r="C224" s="0" t="n">
        <v>574</v>
      </c>
    </row>
    <row r="225" customFormat="false" ht="12.75" hidden="false" customHeight="false" outlineLevel="0" collapsed="false">
      <c r="A225" s="0" t="s">
        <v>17</v>
      </c>
      <c r="B225" s="0" t="n">
        <v>291</v>
      </c>
      <c r="C225" s="0" t="n">
        <v>358</v>
      </c>
    </row>
    <row r="226" customFormat="false" ht="12.75" hidden="false" customHeight="false" outlineLevel="0" collapsed="false">
      <c r="A226" s="0" t="s">
        <v>21</v>
      </c>
      <c r="B226" s="0" t="n">
        <v>328</v>
      </c>
      <c r="C226" s="0" t="n">
        <v>395</v>
      </c>
    </row>
    <row r="227" customFormat="false" ht="12.75" hidden="false" customHeight="false" outlineLevel="0" collapsed="false">
      <c r="A227" s="0" t="s">
        <v>19</v>
      </c>
      <c r="B227" s="0" t="n">
        <v>906</v>
      </c>
      <c r="C227" s="0" t="n">
        <v>1123</v>
      </c>
    </row>
    <row r="228" customFormat="false" ht="12.75" hidden="false" customHeight="false" outlineLevel="0" collapsed="false">
      <c r="A228" s="0" t="s">
        <v>12</v>
      </c>
      <c r="B228" s="0" t="n">
        <v>227</v>
      </c>
      <c r="C228" s="0" t="n">
        <v>263</v>
      </c>
    </row>
    <row r="229" customFormat="false" ht="12.75" hidden="false" customHeight="false" outlineLevel="0" collapsed="false">
      <c r="A229" s="0" t="s">
        <v>231</v>
      </c>
      <c r="B229" s="0" t="n">
        <v>0</v>
      </c>
      <c r="C229" s="0" t="n">
        <v>0</v>
      </c>
    </row>
    <row r="230" customFormat="false" ht="12.75" hidden="false" customHeight="false" outlineLevel="0" collapsed="false">
      <c r="A230" s="0" t="s">
        <v>166</v>
      </c>
      <c r="B230" s="0" t="n">
        <v>513</v>
      </c>
      <c r="C230" s="0" t="n">
        <v>639</v>
      </c>
    </row>
    <row r="231" customFormat="false" ht="12.75" hidden="false" customHeight="false" outlineLevel="0" collapsed="false">
      <c r="A231" s="0" t="s">
        <v>85</v>
      </c>
      <c r="B231" s="0" t="n">
        <v>0</v>
      </c>
      <c r="C231" s="0" t="n">
        <v>0</v>
      </c>
    </row>
    <row r="232" customFormat="false" ht="12.75" hidden="false" customHeight="false" outlineLevel="0" collapsed="false">
      <c r="A232" s="0" t="s">
        <v>359</v>
      </c>
      <c r="B232" s="0" t="n">
        <v>30</v>
      </c>
      <c r="C232" s="0" t="n">
        <v>38</v>
      </c>
    </row>
    <row r="233" customFormat="false" ht="12.75" hidden="false" customHeight="false" outlineLevel="0" collapsed="false">
      <c r="A233" s="0" t="s">
        <v>356</v>
      </c>
      <c r="B233" s="0" t="n">
        <v>38</v>
      </c>
      <c r="C233" s="0" t="n">
        <v>55</v>
      </c>
    </row>
    <row r="234" customFormat="false" ht="12.75" hidden="false" customHeight="false" outlineLevel="0" collapsed="false">
      <c r="A234" s="0" t="s">
        <v>360</v>
      </c>
      <c r="B234" s="0" t="n">
        <v>198</v>
      </c>
      <c r="C234" s="0" t="n">
        <v>262</v>
      </c>
    </row>
    <row r="235" customFormat="false" ht="12.75" hidden="false" customHeight="false" outlineLevel="0" collapsed="false">
      <c r="A235" s="0" t="s">
        <v>361</v>
      </c>
      <c r="B235" s="0" t="n">
        <v>64</v>
      </c>
      <c r="C235" s="0" t="n">
        <v>86</v>
      </c>
    </row>
    <row r="236" customFormat="false" ht="12.75" hidden="false" customHeight="false" outlineLevel="0" collapsed="false">
      <c r="A236" s="0" t="s">
        <v>53</v>
      </c>
      <c r="B236" s="0" t="n">
        <v>0</v>
      </c>
      <c r="C236" s="0" t="n">
        <v>0</v>
      </c>
    </row>
    <row r="237" customFormat="false" ht="12.75" hidden="false" customHeight="false" outlineLevel="0" collapsed="false">
      <c r="A237" s="0" t="s">
        <v>300</v>
      </c>
      <c r="B237" s="0" t="n">
        <v>8</v>
      </c>
      <c r="C237" s="0" t="n">
        <v>12</v>
      </c>
    </row>
    <row r="238" customFormat="false" ht="12.75" hidden="false" customHeight="false" outlineLevel="0" collapsed="false">
      <c r="A238" s="0" t="s">
        <v>193</v>
      </c>
      <c r="B238" s="0" t="n">
        <v>4</v>
      </c>
      <c r="C238" s="0" t="n">
        <v>5</v>
      </c>
    </row>
    <row r="239" customFormat="false" ht="12.75" hidden="false" customHeight="false" outlineLevel="0" collapsed="false">
      <c r="A239" s="0" t="s">
        <v>191</v>
      </c>
      <c r="B239" s="0" t="n">
        <v>0</v>
      </c>
      <c r="C239" s="0" t="n">
        <v>0</v>
      </c>
    </row>
    <row r="240" customFormat="false" ht="12.75" hidden="false" customHeight="false" outlineLevel="0" collapsed="false">
      <c r="A240" s="0" t="s">
        <v>210</v>
      </c>
      <c r="B240" s="0" t="n">
        <v>314</v>
      </c>
      <c r="C240" s="0" t="n">
        <v>351</v>
      </c>
    </row>
    <row r="241" customFormat="false" ht="12.75" hidden="false" customHeight="false" outlineLevel="0" collapsed="false">
      <c r="A241" s="0" t="s">
        <v>245</v>
      </c>
      <c r="B241" s="0" t="n">
        <v>150</v>
      </c>
      <c r="C241" s="0" t="n">
        <v>214</v>
      </c>
    </row>
    <row r="242" customFormat="false" ht="12.75" hidden="false" customHeight="false" outlineLevel="0" collapsed="false">
      <c r="A242" s="0" t="s">
        <v>254</v>
      </c>
      <c r="B242" s="0" t="n">
        <v>432</v>
      </c>
      <c r="C242" s="0" t="n">
        <v>529</v>
      </c>
    </row>
    <row r="243" customFormat="false" ht="12.75" hidden="false" customHeight="false" outlineLevel="0" collapsed="false">
      <c r="A243" s="0" t="s">
        <v>375</v>
      </c>
      <c r="B243" s="0" t="n">
        <v>67</v>
      </c>
      <c r="C243" s="0" t="n">
        <v>124</v>
      </c>
    </row>
    <row r="244" customFormat="false" ht="12.75" hidden="false" customHeight="false" outlineLevel="0" collapsed="false">
      <c r="B244" s="0" t="n">
        <f aca="false">SUM(B1:B243)</f>
        <v>67884</v>
      </c>
      <c r="C244" s="0" t="n">
        <f aca="false">SUM(C1:C243)</f>
        <v>85254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96"/>
  <sheetViews>
    <sheetView showFormulas="false" showGridLines="true" showRowColHeaders="true" showZeros="true" rightToLeft="false" tabSelected="false" showOutlineSymbols="true" defaultGridColor="true" view="normal" topLeftCell="C235" colorId="64" zoomScale="100" zoomScaleNormal="100" zoomScalePageLayoutView="100" workbookViewId="0">
      <selection pane="topLeft" activeCell="C2" activeCellId="0" sqref="C2:I2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6.99"/>
    <col collapsed="false" customWidth="true" hidden="false" outlineLevel="0" max="2" min="2" style="22" width="11.28"/>
    <col collapsed="false" customWidth="true" hidden="false" outlineLevel="0" max="3" min="3" style="22" width="15.56"/>
    <col collapsed="false" customWidth="true" hidden="false" outlineLevel="0" max="4" min="4" style="22" width="9.85"/>
    <col collapsed="false" customWidth="true" hidden="false" outlineLevel="0" max="5" min="5" style="22" width="30.56"/>
    <col collapsed="false" customWidth="true" hidden="false" outlineLevel="0" max="6" min="6" style="22" width="14.41"/>
    <col collapsed="false" customWidth="true" hidden="false" outlineLevel="0" max="7" min="7" style="0" width="14.41"/>
    <col collapsed="false" customWidth="true" hidden="false" outlineLevel="0" max="8" min="8" style="23" width="10.28"/>
    <col collapsed="false" customWidth="true" hidden="false" outlineLevel="0" max="9" min="9" style="0" width="5.56"/>
    <col collapsed="false" customWidth="true" hidden="true" outlineLevel="0" max="12" min="12" style="0" width="9.14"/>
    <col collapsed="false" customWidth="true" hidden="true" outlineLevel="0" max="13" min="13" style="24" width="8.14"/>
    <col collapsed="false" customWidth="true" hidden="true" outlineLevel="0" max="14" min="14" style="24" width="7.99"/>
    <col collapsed="false" customWidth="true" hidden="true" outlineLevel="0" max="15" min="15" style="24" width="9.14"/>
    <col collapsed="false" customWidth="true" hidden="false" outlineLevel="0" max="16" min="16" style="24" width="9.14"/>
    <col collapsed="false" customWidth="true" hidden="false" outlineLevel="0" max="17" min="17" style="23" width="9.14"/>
    <col collapsed="false" customWidth="true" hidden="false" outlineLevel="0" max="28" min="28" style="22" width="11.56"/>
    <col collapsed="false" customWidth="true" hidden="false" outlineLevel="0" max="29" min="29" style="22" width="30.56"/>
    <col collapsed="false" customWidth="true" hidden="false" outlineLevel="0" max="30" min="30" style="0" width="20.7"/>
  </cols>
  <sheetData>
    <row r="1" customFormat="false" ht="12.75" hidden="false" customHeight="false" outlineLevel="0" collapsed="false">
      <c r="A1" s="0"/>
      <c r="B1" s="23" t="s">
        <v>0</v>
      </c>
      <c r="C1" s="23" t="s">
        <v>1</v>
      </c>
      <c r="D1" s="23" t="s">
        <v>2</v>
      </c>
      <c r="E1" s="23" t="s">
        <v>3</v>
      </c>
      <c r="J1" s="25" t="s">
        <v>475</v>
      </c>
      <c r="K1" s="25" t="s">
        <v>476</v>
      </c>
      <c r="L1" s="26" t="s">
        <v>477</v>
      </c>
      <c r="M1" s="27" t="s">
        <v>478</v>
      </c>
      <c r="N1" s="27" t="s">
        <v>479</v>
      </c>
      <c r="O1" s="27" t="s">
        <v>480</v>
      </c>
      <c r="P1" s="28" t="s">
        <v>481</v>
      </c>
      <c r="U1" s="0" t="s">
        <v>482</v>
      </c>
      <c r="V1" s="0" t="s">
        <v>483</v>
      </c>
      <c r="W1" s="0" t="s">
        <v>484</v>
      </c>
      <c r="X1" s="0" t="s">
        <v>485</v>
      </c>
      <c r="AB1" s="23"/>
      <c r="AC1" s="23"/>
    </row>
    <row r="2" customFormat="false" ht="12.75" hidden="false" customHeight="false" outlineLevel="0" collapsed="false">
      <c r="A2" s="0" t="s">
        <v>486</v>
      </c>
      <c r="B2" s="0" t="s">
        <v>273</v>
      </c>
      <c r="C2" s="0" t="s">
        <v>6</v>
      </c>
      <c r="D2" s="0" t="n">
        <v>3326301</v>
      </c>
      <c r="E2" s="0" t="s">
        <v>7</v>
      </c>
      <c r="F2" s="21" t="n">
        <v>37196</v>
      </c>
      <c r="G2" s="21"/>
      <c r="H2" s="21"/>
      <c r="I2" s="21" t="s">
        <v>450</v>
      </c>
      <c r="J2" s="0" t="n">
        <f aca="false">IF(ISNA(VLOOKUP(C2,CNGx,2,FALSE())),"na",(VLOOKUP(C2,CNGx,2,FALSE())))</f>
        <v>0</v>
      </c>
      <c r="K2" s="0" t="n">
        <f aca="false">IF(ISNA(VLOOKUP(C2,CNGx,3,0)),0,VLOOKUP(C2,CNGx,3,FALSE()))</f>
        <v>0</v>
      </c>
      <c r="L2" s="29" t="n">
        <f aca="false">VLOOKUP(I2,Retention,2,FALSE())</f>
        <v>0.0228</v>
      </c>
      <c r="M2" s="30" t="n">
        <f aca="false">IF(OR(I2="TD",I2="TW"),0,J2*0.0228)</f>
        <v>0</v>
      </c>
      <c r="N2" s="30" t="n">
        <f aca="false">IF(OR(I2="TD",I2="TW"),0,K2*0.0228)</f>
        <v>0</v>
      </c>
      <c r="O2" s="30" t="n">
        <f aca="false">J2-ROUND(+$J2*(VLOOKUP($I2,cngded,6,FALSE())),0)</f>
        <v>0</v>
      </c>
      <c r="P2" s="30" t="n">
        <f aca="false">K2-ROUND(+$K2*(VLOOKUP($I2,cngded,6,FALSE())),0)</f>
        <v>0</v>
      </c>
      <c r="Q2" s="23" t="str">
        <f aca="false">IF(ISNA(VLOOKUP(C2,INCNG,1,FALSE())),"--","Y")</f>
        <v>Y</v>
      </c>
      <c r="R2" s="23" t="n">
        <f aca="false">IF(ISNA(VLOOKUP(C2,INCNG,10,FALSE())),0,VLOOKUP(C2,INCNG,10,FALSE()))</f>
        <v>0</v>
      </c>
      <c r="S2" s="0" t="n">
        <f aca="false">+K2-R2</f>
        <v>0</v>
      </c>
      <c r="T2" s="31" t="n">
        <f aca="false">+P2-R2</f>
        <v>0</v>
      </c>
      <c r="U2" s="32" t="n">
        <f aca="false">ROUND(+$K2*(VLOOKUP($I2,Retention,2,FALSE())),0)</f>
        <v>0</v>
      </c>
      <c r="V2" s="32" t="n">
        <f aca="false">ROUND(+$K2*(VLOOKUP($I2,Retention,3,FALSE())),0)</f>
        <v>0</v>
      </c>
      <c r="W2" s="32" t="n">
        <f aca="false">ROUND(+$K2*(VLOOKUP($I2,Retention,4,FALSE())),0)</f>
        <v>0</v>
      </c>
      <c r="X2" s="32" t="n">
        <f aca="false">ROUND(+$K2*(VLOOKUP($I2,Retention,5,FALSE())),0)</f>
        <v>0</v>
      </c>
      <c r="Y2" s="31" t="n">
        <f aca="false">SUM(U2:X2)</f>
        <v>0</v>
      </c>
      <c r="AB2" s="33"/>
      <c r="AC2" s="33"/>
      <c r="AD2" s="0" t="e">
        <f aca="false">VLOOKUP(AB2,INCNG,3,FALSE())</f>
        <v>#N/A</v>
      </c>
    </row>
    <row r="3" customFormat="false" ht="12.75" hidden="false" customHeight="false" outlineLevel="0" collapsed="false">
      <c r="A3" s="0" t="s">
        <v>486</v>
      </c>
      <c r="B3" s="0" t="s">
        <v>273</v>
      </c>
      <c r="C3" s="0" t="s">
        <v>45</v>
      </c>
      <c r="D3" s="0" t="n">
        <v>1055201</v>
      </c>
      <c r="E3" s="0" t="s">
        <v>46</v>
      </c>
      <c r="F3" s="21" t="n">
        <v>37196</v>
      </c>
      <c r="G3" s="21"/>
      <c r="H3" s="21"/>
      <c r="I3" s="21" t="s">
        <v>450</v>
      </c>
      <c r="J3" s="0" t="n">
        <f aca="false">IF(ISNA(VLOOKUP(C3,CNGx,2,FALSE())),"na",(VLOOKUP(C3,CNGx,2,FALSE())))</f>
        <v>0</v>
      </c>
      <c r="K3" s="0" t="n">
        <f aca="false">IF(ISNA(VLOOKUP(C3,CNGx,3,0)),0,VLOOKUP(C3,CNGx,3,FALSE()))</f>
        <v>0</v>
      </c>
      <c r="L3" s="29" t="n">
        <f aca="false">VLOOKUP(I3,Retention,2,FALSE())</f>
        <v>0.0228</v>
      </c>
      <c r="M3" s="30" t="n">
        <f aca="false">IF(OR(I3="TD",I3="TW"),0,J3*0.0228)</f>
        <v>0</v>
      </c>
      <c r="N3" s="30" t="n">
        <f aca="false">IF(OR(I3="TD",I3="TW"),0,K3*0.0228)</f>
        <v>0</v>
      </c>
      <c r="O3" s="30" t="n">
        <f aca="false">J3-ROUND(+$J3*(VLOOKUP($I3,cngded,6,FALSE())),0)</f>
        <v>0</v>
      </c>
      <c r="P3" s="30" t="n">
        <f aca="false">K3-ROUND(+$K3*(VLOOKUP($I3,cngded,6,FALSE())),0)</f>
        <v>0</v>
      </c>
      <c r="Q3" s="23" t="str">
        <f aca="false">IF(ISNA(VLOOKUP(C3,INCNG,1,FALSE())),"--","Y")</f>
        <v>Y</v>
      </c>
      <c r="R3" s="23" t="n">
        <f aca="false">IF(ISNA(VLOOKUP(C3,INCNG,10,FALSE())),0,VLOOKUP(C3,INCNG,10,FALSE()))</f>
        <v>0</v>
      </c>
      <c r="S3" s="0" t="n">
        <f aca="false">+K3-R3</f>
        <v>0</v>
      </c>
      <c r="T3" s="31" t="n">
        <f aca="false">+P3-R3</f>
        <v>0</v>
      </c>
      <c r="U3" s="32" t="n">
        <f aca="false">ROUND(+$K3*(VLOOKUP($I3,Retention,2,FALSE())),0)</f>
        <v>0</v>
      </c>
      <c r="V3" s="32" t="n">
        <f aca="false">ROUND(+$K3*(VLOOKUP($I3,Retention,3,FALSE())),0)</f>
        <v>0</v>
      </c>
      <c r="W3" s="32" t="n">
        <f aca="false">ROUND(+$K3*(VLOOKUP($I3,Retention,4,FALSE())),0)</f>
        <v>0</v>
      </c>
      <c r="X3" s="32" t="n">
        <f aca="false">ROUND(+$K3*(VLOOKUP($I3,Retention,5,FALSE())),0)</f>
        <v>0</v>
      </c>
      <c r="Y3" s="31" t="n">
        <f aca="false">SUM(U3:X3)</f>
        <v>0</v>
      </c>
      <c r="AB3" s="33"/>
      <c r="AC3" s="33"/>
      <c r="AD3" s="0" t="e">
        <f aca="false">VLOOKUP(AB3,INCNG,3,FALSE())</f>
        <v>#N/A</v>
      </c>
    </row>
    <row r="4" customFormat="false" ht="12.75" hidden="false" customHeight="false" outlineLevel="0" collapsed="false">
      <c r="A4" s="0" t="s">
        <v>486</v>
      </c>
      <c r="B4" s="0" t="s">
        <v>273</v>
      </c>
      <c r="C4" s="0" t="s">
        <v>47</v>
      </c>
      <c r="D4" s="0" t="n">
        <v>1058501</v>
      </c>
      <c r="E4" s="0" t="s">
        <v>46</v>
      </c>
      <c r="F4" s="21" t="n">
        <v>37196</v>
      </c>
      <c r="G4" s="21"/>
      <c r="H4" s="21"/>
      <c r="I4" s="21" t="s">
        <v>450</v>
      </c>
      <c r="J4" s="0" t="n">
        <f aca="false">IF(ISNA(VLOOKUP(C4,CNGx,2,FALSE())),"na",(VLOOKUP(C4,CNGx,2,FALSE())))</f>
        <v>0</v>
      </c>
      <c r="K4" s="0" t="n">
        <f aca="false">IF(ISNA(VLOOKUP(C4,CNGx,3,0)),0,VLOOKUP(C4,CNGx,3,FALSE()))</f>
        <v>0</v>
      </c>
      <c r="L4" s="29" t="n">
        <f aca="false">VLOOKUP(I4,Retention,2,FALSE())</f>
        <v>0.0228</v>
      </c>
      <c r="M4" s="30" t="n">
        <f aca="false">IF(OR(I4="TD",I4="TW"),0,J4*0.0228)</f>
        <v>0</v>
      </c>
      <c r="N4" s="30" t="n">
        <f aca="false">IF(OR(I4="TD",I4="TW"),0,K4*0.0228)</f>
        <v>0</v>
      </c>
      <c r="O4" s="30" t="n">
        <f aca="false">J4-ROUND(+$J4*(VLOOKUP($I4,cngded,6,FALSE())),0)</f>
        <v>0</v>
      </c>
      <c r="P4" s="30" t="n">
        <f aca="false">K4-ROUND(+$K4*(VLOOKUP($I4,cngded,6,FALSE())),0)</f>
        <v>0</v>
      </c>
      <c r="Q4" s="23" t="str">
        <f aca="false">IF(ISNA(VLOOKUP(C4,INCNG,1,FALSE())),"--","Y")</f>
        <v>Y</v>
      </c>
      <c r="R4" s="23" t="n">
        <f aca="false">IF(ISNA(VLOOKUP(C4,INCNG,10,FALSE())),0,VLOOKUP(C4,INCNG,10,FALSE()))</f>
        <v>0</v>
      </c>
      <c r="S4" s="0" t="n">
        <f aca="false">+K4-R4</f>
        <v>0</v>
      </c>
      <c r="T4" s="31" t="n">
        <f aca="false">+P4-R4</f>
        <v>0</v>
      </c>
      <c r="U4" s="32" t="n">
        <f aca="false">ROUND(+$K4*(VLOOKUP($I4,Retention,2,FALSE())),0)</f>
        <v>0</v>
      </c>
      <c r="V4" s="32" t="n">
        <f aca="false">ROUND(+$K4*(VLOOKUP($I4,Retention,3,FALSE())),0)</f>
        <v>0</v>
      </c>
      <c r="W4" s="32" t="n">
        <f aca="false">ROUND(+$K4*(VLOOKUP($I4,Retention,4,FALSE())),0)</f>
        <v>0</v>
      </c>
      <c r="X4" s="32" t="n">
        <f aca="false">ROUND(+$K4*(VLOOKUP($I4,Retention,5,FALSE())),0)</f>
        <v>0</v>
      </c>
      <c r="Y4" s="31" t="n">
        <f aca="false">SUM(U4:X4)</f>
        <v>0</v>
      </c>
      <c r="AB4" s="33"/>
      <c r="AC4" s="33"/>
      <c r="AD4" s="0" t="e">
        <f aca="false">VLOOKUP(AB4,INCNG,3,FALSE())</f>
        <v>#N/A</v>
      </c>
    </row>
    <row r="5" customFormat="false" ht="12.75" hidden="false" customHeight="false" outlineLevel="0" collapsed="false">
      <c r="A5" s="0" t="s">
        <v>486</v>
      </c>
      <c r="B5" s="0" t="s">
        <v>273</v>
      </c>
      <c r="C5" s="0" t="s">
        <v>48</v>
      </c>
      <c r="D5" s="0" t="n">
        <v>1059901</v>
      </c>
      <c r="E5" s="0" t="s">
        <v>46</v>
      </c>
      <c r="F5" s="21" t="n">
        <v>37196</v>
      </c>
      <c r="G5" s="21"/>
      <c r="H5" s="21"/>
      <c r="I5" s="21" t="s">
        <v>450</v>
      </c>
      <c r="J5" s="0" t="n">
        <f aca="false">IF(ISNA(VLOOKUP(C5,CNGx,2,FALSE())),"na",(VLOOKUP(C5,CNGx,2,FALSE())))</f>
        <v>374</v>
      </c>
      <c r="K5" s="0" t="n">
        <f aca="false">IF(ISNA(VLOOKUP(C5,CNGx,3,0)),0,VLOOKUP(C5,CNGx,3,FALSE()))</f>
        <v>416</v>
      </c>
      <c r="L5" s="29" t="n">
        <f aca="false">VLOOKUP(I5,Retention,2,FALSE())</f>
        <v>0.0228</v>
      </c>
      <c r="M5" s="30" t="n">
        <f aca="false">IF(OR(I5="TD",I5="TW"),0,J5*0.0228)</f>
        <v>8.5272</v>
      </c>
      <c r="N5" s="30" t="n">
        <f aca="false">IF(OR(I5="TD",I5="TW"),0,K5*0.0228)</f>
        <v>9.4848</v>
      </c>
      <c r="O5" s="30" t="n">
        <f aca="false">J5-ROUND(+$J5*(VLOOKUP($I5,cngded,6,FALSE())),0)</f>
        <v>324</v>
      </c>
      <c r="P5" s="30" t="n">
        <f aca="false">K5-ROUND(+$K5*(VLOOKUP($I5,cngded,6,FALSE())),0)</f>
        <v>361</v>
      </c>
      <c r="Q5" s="23" t="str">
        <f aca="false">IF(ISNA(VLOOKUP(C5,INCNG,1,FALSE())),"--","Y")</f>
        <v>Y</v>
      </c>
      <c r="R5" s="23" t="n">
        <f aca="false">IF(ISNA(VLOOKUP(C5,INCNG,10,FALSE())),0,VLOOKUP(C5,INCNG,10,FALSE()))</f>
        <v>324</v>
      </c>
      <c r="S5" s="0" t="n">
        <f aca="false">+K5-R5</f>
        <v>92</v>
      </c>
      <c r="T5" s="31" t="n">
        <f aca="false">+P5-R5</f>
        <v>37</v>
      </c>
      <c r="U5" s="32" t="n">
        <f aca="false">ROUND(+$K5*(VLOOKUP($I5,Retention,2,FALSE())),0)</f>
        <v>9</v>
      </c>
      <c r="V5" s="32" t="n">
        <f aca="false">ROUND(+$K5*(VLOOKUP($I5,Retention,3,FALSE())),0)</f>
        <v>29</v>
      </c>
      <c r="W5" s="32" t="n">
        <f aca="false">ROUND(+$K5*(VLOOKUP($I5,Retention,4,FALSE())),0)</f>
        <v>12</v>
      </c>
      <c r="X5" s="32" t="n">
        <f aca="false">ROUND(+$K5*(VLOOKUP($I5,Retention,5,FALSE())),0)</f>
        <v>4</v>
      </c>
      <c r="Y5" s="31" t="n">
        <f aca="false">SUM(U5:X5)</f>
        <v>54</v>
      </c>
      <c r="AB5" s="33"/>
      <c r="AC5" s="33"/>
      <c r="AD5" s="0" t="e">
        <f aca="false">VLOOKUP(AB5,INCNG,3,FALSE())</f>
        <v>#N/A</v>
      </c>
    </row>
    <row r="6" customFormat="false" ht="12.75" hidden="false" customHeight="false" outlineLevel="0" collapsed="false">
      <c r="A6" s="0" t="s">
        <v>486</v>
      </c>
      <c r="B6" s="0" t="s">
        <v>136</v>
      </c>
      <c r="C6" s="0" t="s">
        <v>173</v>
      </c>
      <c r="D6" s="0" t="n">
        <v>1062901</v>
      </c>
      <c r="E6" s="0" t="s">
        <v>174</v>
      </c>
      <c r="F6" s="21" t="n">
        <v>37196</v>
      </c>
      <c r="G6" s="21"/>
      <c r="H6" s="21"/>
      <c r="I6" s="21" t="s">
        <v>451</v>
      </c>
      <c r="J6" s="0" t="n">
        <f aca="false">IF(ISNA(VLOOKUP(C6,CNGx,2,FALSE())),"na",(VLOOKUP(C6,CNGx,2,FALSE())))</f>
        <v>131</v>
      </c>
      <c r="K6" s="0" t="n">
        <f aca="false">IF(ISNA(VLOOKUP(C6,CNGx,3,0)),0,VLOOKUP(C6,CNGx,3,FALSE()))</f>
        <v>134</v>
      </c>
      <c r="L6" s="29" t="n">
        <f aca="false">VLOOKUP(I6,Retention,2,FALSE())</f>
        <v>0.0228</v>
      </c>
      <c r="M6" s="30" t="n">
        <f aca="false">IF(OR(I6="TD",I6="TW"),0,J6*0.0228)</f>
        <v>2.9868</v>
      </c>
      <c r="N6" s="30" t="n">
        <f aca="false">IF(OR(I6="TD",I6="TW"),0,K6*0.0228)</f>
        <v>3.0552</v>
      </c>
      <c r="O6" s="30" t="n">
        <f aca="false">J6-ROUND(+$J6*(VLOOKUP($I6,cngded,6,FALSE())),0)</f>
        <v>119</v>
      </c>
      <c r="P6" s="30" t="n">
        <f aca="false">K6-ROUND(+$K6*(VLOOKUP($I6,cngded,6,FALSE())),0)</f>
        <v>121</v>
      </c>
      <c r="Q6" s="23" t="str">
        <f aca="false">IF(ISNA(VLOOKUP(C6,INCNG,1,FALSE())),"--","Y")</f>
        <v>Y</v>
      </c>
      <c r="R6" s="23" t="n">
        <f aca="false">IF(ISNA(VLOOKUP(C6,INCNG,10,FALSE())),0,VLOOKUP(C6,INCNG,10,FALSE()))</f>
        <v>119</v>
      </c>
      <c r="S6" s="0" t="n">
        <f aca="false">+K6-R6</f>
        <v>15</v>
      </c>
      <c r="T6" s="31" t="n">
        <f aca="false">+P6-R6</f>
        <v>2</v>
      </c>
      <c r="U6" s="32" t="n">
        <f aca="false">ROUND(+$K6*(VLOOKUP($I6,Retention,2,FALSE())),0)</f>
        <v>3</v>
      </c>
      <c r="V6" s="32" t="n">
        <f aca="false">ROUND(+$K6*(VLOOKUP($I6,Retention,3,FALSE())),0)</f>
        <v>9</v>
      </c>
      <c r="W6" s="32" t="n">
        <f aca="false">ROUND(+$K6*(VLOOKUP($I6,Retention,4,FALSE())),0)</f>
        <v>0</v>
      </c>
      <c r="X6" s="32" t="n">
        <f aca="false">ROUND(+$K6*(VLOOKUP($I6,Retention,5,FALSE())),0)</f>
        <v>0</v>
      </c>
      <c r="Y6" s="31" t="n">
        <f aca="false">SUM(U6:X6)</f>
        <v>12</v>
      </c>
      <c r="AB6" s="33"/>
      <c r="AC6" s="33"/>
      <c r="AD6" s="0" t="e">
        <f aca="false">VLOOKUP(AB6,INCNG,3,FALSE())</f>
        <v>#N/A</v>
      </c>
    </row>
    <row r="7" customFormat="false" ht="12.75" hidden="false" customHeight="false" outlineLevel="0" collapsed="false">
      <c r="A7" s="0" t="s">
        <v>486</v>
      </c>
      <c r="B7" s="0" t="s">
        <v>136</v>
      </c>
      <c r="C7" s="0" t="s">
        <v>175</v>
      </c>
      <c r="D7" s="0" t="n">
        <v>1063001</v>
      </c>
      <c r="E7" s="0" t="s">
        <v>174</v>
      </c>
      <c r="F7" s="21" t="n">
        <v>37196</v>
      </c>
      <c r="G7" s="21"/>
      <c r="H7" s="21"/>
      <c r="I7" s="21" t="s">
        <v>451</v>
      </c>
      <c r="J7" s="0" t="n">
        <f aca="false">IF(ISNA(VLOOKUP(C7,CNGx,2,FALSE())),"na",(VLOOKUP(C7,CNGx,2,FALSE())))</f>
        <v>26</v>
      </c>
      <c r="K7" s="0" t="n">
        <f aca="false">IF(ISNA(VLOOKUP(C7,CNGx,3,0)),0,VLOOKUP(C7,CNGx,3,FALSE()))</f>
        <v>27</v>
      </c>
      <c r="L7" s="29" t="n">
        <f aca="false">VLOOKUP(I7,Retention,2,FALSE())</f>
        <v>0.0228</v>
      </c>
      <c r="M7" s="30" t="n">
        <f aca="false">IF(OR(I7="TD",I7="TW"),0,J7*0.0228)</f>
        <v>0.5928</v>
      </c>
      <c r="N7" s="30" t="n">
        <f aca="false">IF(OR(I7="TD",I7="TW"),0,K7*0.0228)</f>
        <v>0.6156</v>
      </c>
      <c r="O7" s="30" t="n">
        <f aca="false">J7-ROUND(+$J7*(VLOOKUP($I7,cngded,6,FALSE())),0)</f>
        <v>24</v>
      </c>
      <c r="P7" s="30" t="n">
        <f aca="false">K7-ROUND(+$K7*(VLOOKUP($I7,cngded,6,FALSE())),0)</f>
        <v>24</v>
      </c>
      <c r="Q7" s="23" t="str">
        <f aca="false">IF(ISNA(VLOOKUP(C7,INCNG,1,FALSE())),"--","Y")</f>
        <v>Y</v>
      </c>
      <c r="R7" s="23" t="n">
        <f aca="false">IF(ISNA(VLOOKUP(C7,INCNG,10,FALSE())),0,VLOOKUP(C7,INCNG,10,FALSE()))</f>
        <v>24</v>
      </c>
      <c r="S7" s="0" t="n">
        <f aca="false">+K7-R7</f>
        <v>3</v>
      </c>
      <c r="T7" s="31" t="n">
        <f aca="false">+P7-R7</f>
        <v>0</v>
      </c>
      <c r="U7" s="32" t="n">
        <f aca="false">ROUND(+$K7*(VLOOKUP($I7,Retention,2,FALSE())),0)</f>
        <v>1</v>
      </c>
      <c r="V7" s="32" t="n">
        <f aca="false">ROUND(+$K7*(VLOOKUP($I7,Retention,3,FALSE())),0)</f>
        <v>2</v>
      </c>
      <c r="W7" s="32" t="n">
        <f aca="false">ROUND(+$K7*(VLOOKUP($I7,Retention,4,FALSE())),0)</f>
        <v>0</v>
      </c>
      <c r="X7" s="32" t="n">
        <f aca="false">ROUND(+$K7*(VLOOKUP($I7,Retention,5,FALSE())),0)</f>
        <v>0</v>
      </c>
      <c r="Y7" s="31" t="n">
        <f aca="false">SUM(U7:X7)</f>
        <v>3</v>
      </c>
      <c r="AB7" s="33"/>
      <c r="AC7" s="33"/>
      <c r="AD7" s="0" t="e">
        <f aca="false">VLOOKUP(AB7,INCNG,3,FALSE())</f>
        <v>#N/A</v>
      </c>
    </row>
    <row r="8" customFormat="false" ht="12.75" hidden="false" customHeight="false" outlineLevel="0" collapsed="false">
      <c r="A8" s="0" t="s">
        <v>486</v>
      </c>
      <c r="B8" s="0" t="s">
        <v>273</v>
      </c>
      <c r="C8" s="0" t="s">
        <v>49</v>
      </c>
      <c r="D8" s="0" t="n">
        <v>1063501</v>
      </c>
      <c r="E8" s="0" t="s">
        <v>46</v>
      </c>
      <c r="F8" s="21" t="n">
        <v>37196</v>
      </c>
      <c r="G8" s="21"/>
      <c r="H8" s="21"/>
      <c r="I8" s="21" t="s">
        <v>450</v>
      </c>
      <c r="J8" s="0" t="n">
        <f aca="false">IF(ISNA(VLOOKUP(C8,CNGx,2,FALSE())),"na",(VLOOKUP(C8,CNGx,2,FALSE())))</f>
        <v>0</v>
      </c>
      <c r="K8" s="0" t="n">
        <f aca="false">IF(ISNA(VLOOKUP(C8,CNGx,3,0)),0,VLOOKUP(C8,CNGx,3,FALSE()))</f>
        <v>0</v>
      </c>
      <c r="L8" s="29" t="n">
        <f aca="false">VLOOKUP(I8,Retention,2,FALSE())</f>
        <v>0.0228</v>
      </c>
      <c r="M8" s="30" t="n">
        <f aca="false">IF(OR(I8="TD",I8="TW"),0,J8*0.0228)</f>
        <v>0</v>
      </c>
      <c r="N8" s="30" t="n">
        <f aca="false">IF(OR(I8="TD",I8="TW"),0,K8*0.0228)</f>
        <v>0</v>
      </c>
      <c r="O8" s="30" t="n">
        <f aca="false">J8-ROUND(+$J8*(VLOOKUP($I8,cngded,6,FALSE())),0)</f>
        <v>0</v>
      </c>
      <c r="P8" s="30" t="n">
        <f aca="false">K8-ROUND(+$K8*(VLOOKUP($I8,cngded,6,FALSE())),0)</f>
        <v>0</v>
      </c>
      <c r="Q8" s="23" t="str">
        <f aca="false">IF(ISNA(VLOOKUP(C8,INCNG,1,FALSE())),"--","Y")</f>
        <v>Y</v>
      </c>
      <c r="R8" s="23" t="n">
        <f aca="false">IF(ISNA(VLOOKUP(C8,INCNG,10,FALSE())),0,VLOOKUP(C8,INCNG,10,FALSE()))</f>
        <v>0</v>
      </c>
      <c r="S8" s="0" t="n">
        <f aca="false">+K8-R8</f>
        <v>0</v>
      </c>
      <c r="T8" s="31" t="n">
        <f aca="false">+P8-R8</f>
        <v>0</v>
      </c>
      <c r="U8" s="32" t="n">
        <f aca="false">ROUND(+$K8*(VLOOKUP($I8,Retention,2,FALSE())),0)</f>
        <v>0</v>
      </c>
      <c r="V8" s="32" t="n">
        <f aca="false">ROUND(+$K8*(VLOOKUP($I8,Retention,3,FALSE())),0)</f>
        <v>0</v>
      </c>
      <c r="W8" s="32" t="n">
        <f aca="false">ROUND(+$K8*(VLOOKUP($I8,Retention,4,FALSE())),0)</f>
        <v>0</v>
      </c>
      <c r="X8" s="32" t="n">
        <f aca="false">ROUND(+$K8*(VLOOKUP($I8,Retention,5,FALSE())),0)</f>
        <v>0</v>
      </c>
      <c r="Y8" s="31" t="n">
        <f aca="false">SUM(U8:X8)</f>
        <v>0</v>
      </c>
      <c r="AB8" s="33"/>
      <c r="AC8" s="33"/>
      <c r="AD8" s="0" t="e">
        <f aca="false">VLOOKUP(AB8,INCNG,3,FALSE())</f>
        <v>#N/A</v>
      </c>
    </row>
    <row r="9" customFormat="false" ht="12.75" hidden="false" customHeight="false" outlineLevel="0" collapsed="false">
      <c r="A9" s="0" t="s">
        <v>486</v>
      </c>
      <c r="B9" s="0" t="s">
        <v>273</v>
      </c>
      <c r="C9" s="0" t="s">
        <v>191</v>
      </c>
      <c r="D9" s="0" t="n">
        <v>1078001</v>
      </c>
      <c r="E9" s="0" t="s">
        <v>457</v>
      </c>
      <c r="F9" s="21" t="n">
        <v>37196</v>
      </c>
      <c r="G9" s="21"/>
      <c r="H9" s="21"/>
      <c r="I9" s="21" t="s">
        <v>450</v>
      </c>
      <c r="J9" s="0" t="n">
        <f aca="false">IF(ISNA(VLOOKUP(C9,CNGx,2,FALSE())),"na",(VLOOKUP(C9,CNGx,2,FALSE())))</f>
        <v>0</v>
      </c>
      <c r="K9" s="0" t="n">
        <f aca="false">IF(ISNA(VLOOKUP(C9,CNGx,3,0)),0,VLOOKUP(C9,CNGx,3,FALSE()))</f>
        <v>0</v>
      </c>
      <c r="L9" s="29" t="n">
        <f aca="false">VLOOKUP(I9,Retention,2,FALSE())</f>
        <v>0.0228</v>
      </c>
      <c r="M9" s="30" t="n">
        <f aca="false">IF(OR(I9="TD",I9="TW"),0,J9*0.0228)</f>
        <v>0</v>
      </c>
      <c r="N9" s="30" t="n">
        <f aca="false">IF(OR(I9="TD",I9="TW"),0,K9*0.0228)</f>
        <v>0</v>
      </c>
      <c r="O9" s="30" t="n">
        <f aca="false">J9-ROUND(+$J9*(VLOOKUP($I9,cngded,6,FALSE())),0)</f>
        <v>0</v>
      </c>
      <c r="P9" s="30" t="n">
        <f aca="false">K9-ROUND(+$K9*(VLOOKUP($I9,cngded,6,FALSE())),0)</f>
        <v>0</v>
      </c>
      <c r="Q9" s="23" t="str">
        <f aca="false">IF(ISNA(VLOOKUP(C9,INCNG,1,FALSE())),"--","Y")</f>
        <v>Y</v>
      </c>
      <c r="R9" s="23" t="n">
        <f aca="false">IF(ISNA(VLOOKUP(C9,INCNG,10,FALSE())),0,VLOOKUP(C9,INCNG,10,FALSE()))</f>
        <v>0</v>
      </c>
      <c r="S9" s="0" t="n">
        <f aca="false">+K9-R9</f>
        <v>0</v>
      </c>
      <c r="T9" s="31" t="n">
        <f aca="false">+P9-R9</f>
        <v>0</v>
      </c>
      <c r="U9" s="32" t="n">
        <f aca="false">ROUND(+$K9*(VLOOKUP($I9,Retention,2,FALSE())),0)</f>
        <v>0</v>
      </c>
      <c r="V9" s="32" t="n">
        <f aca="false">ROUND(+$K9*(VLOOKUP($I9,Retention,3,FALSE())),0)</f>
        <v>0</v>
      </c>
      <c r="W9" s="32" t="n">
        <f aca="false">ROUND(+$K9*(VLOOKUP($I9,Retention,4,FALSE())),0)</f>
        <v>0</v>
      </c>
      <c r="X9" s="32" t="n">
        <f aca="false">ROUND(+$K9*(VLOOKUP($I9,Retention,5,FALSE())),0)</f>
        <v>0</v>
      </c>
      <c r="Y9" s="31" t="n">
        <f aca="false">SUM(U9:X9)</f>
        <v>0</v>
      </c>
      <c r="AB9" s="33"/>
      <c r="AC9" s="33"/>
      <c r="AD9" s="0" t="e">
        <f aca="false">VLOOKUP(AB9,INCNG,3,FALSE())</f>
        <v>#N/A</v>
      </c>
    </row>
    <row r="10" customFormat="false" ht="12.75" hidden="false" customHeight="false" outlineLevel="0" collapsed="false">
      <c r="A10" s="0" t="s">
        <v>486</v>
      </c>
      <c r="B10" s="0" t="s">
        <v>273</v>
      </c>
      <c r="C10" s="0" t="s">
        <v>193</v>
      </c>
      <c r="D10" s="0" t="n">
        <v>1091301</v>
      </c>
      <c r="E10" s="0" t="s">
        <v>457</v>
      </c>
      <c r="F10" s="21" t="n">
        <v>37196</v>
      </c>
      <c r="G10" s="21"/>
      <c r="H10" s="21"/>
      <c r="I10" s="21" t="s">
        <v>450</v>
      </c>
      <c r="J10" s="0" t="n">
        <f aca="false">IF(ISNA(VLOOKUP(C10,CNGx,2,FALSE())),"na",(VLOOKUP(C10,CNGx,2,FALSE())))</f>
        <v>4</v>
      </c>
      <c r="K10" s="0" t="n">
        <f aca="false">IF(ISNA(VLOOKUP(C10,CNGx,3,0)),0,VLOOKUP(C10,CNGx,3,FALSE()))</f>
        <v>5</v>
      </c>
      <c r="L10" s="29"/>
      <c r="M10" s="30"/>
      <c r="N10" s="30"/>
      <c r="O10" s="30"/>
      <c r="P10" s="30" t="n">
        <f aca="false">K10-ROUND(+$K10*(VLOOKUP($I10,cngded,6,FALSE())),0)</f>
        <v>4</v>
      </c>
      <c r="Q10" s="23" t="str">
        <f aca="false">IF(ISNA(VLOOKUP(C10,INCNG,1,FALSE())),"--","Y")</f>
        <v>Y</v>
      </c>
      <c r="R10" s="23" t="n">
        <f aca="false">IF(ISNA(VLOOKUP(C10,INCNG,10,FALSE())),0,VLOOKUP(C10,INCNG,10,FALSE()))</f>
        <v>0</v>
      </c>
      <c r="S10" s="0" t="n">
        <f aca="false">+K10-R10</f>
        <v>5</v>
      </c>
      <c r="T10" s="31" t="n">
        <f aca="false">+P10-R10</f>
        <v>4</v>
      </c>
      <c r="U10" s="32" t="n">
        <f aca="false">ROUND(+$K10*(VLOOKUP($I10,Retention,2,FALSE())),0)</f>
        <v>0</v>
      </c>
      <c r="V10" s="32" t="n">
        <f aca="false">ROUND(+$K10*(VLOOKUP($I10,Retention,3,FALSE())),0)</f>
        <v>0</v>
      </c>
      <c r="W10" s="32" t="n">
        <f aca="false">ROUND(+$K10*(VLOOKUP($I10,Retention,4,FALSE())),0)</f>
        <v>0</v>
      </c>
      <c r="X10" s="32" t="n">
        <f aca="false">ROUND(+$K10*(VLOOKUP($I10,Retention,5,FALSE())),0)</f>
        <v>0</v>
      </c>
      <c r="Y10" s="31" t="n">
        <f aca="false">SUM(U10:X10)</f>
        <v>0</v>
      </c>
      <c r="AB10" s="33"/>
      <c r="AC10" s="33"/>
    </row>
    <row r="11" customFormat="false" ht="12.75" hidden="false" customHeight="false" outlineLevel="0" collapsed="false">
      <c r="A11" s="0" t="s">
        <v>486</v>
      </c>
      <c r="B11" s="0" t="s">
        <v>136</v>
      </c>
      <c r="C11" s="0" t="s">
        <v>214</v>
      </c>
      <c r="D11" s="0" t="n">
        <v>2026901</v>
      </c>
      <c r="E11" s="0" t="s">
        <v>215</v>
      </c>
      <c r="F11" s="21" t="n">
        <v>37196</v>
      </c>
      <c r="G11" s="21"/>
      <c r="H11" s="21"/>
      <c r="I11" s="21" t="s">
        <v>451</v>
      </c>
      <c r="J11" s="0" t="n">
        <f aca="false">IF(ISNA(VLOOKUP(C11,CNGx,2,FALSE())),"na",(VLOOKUP(C11,CNGx,2,FALSE())))</f>
        <v>430</v>
      </c>
      <c r="K11" s="0" t="n">
        <f aca="false">IF(ISNA(VLOOKUP(C11,CNGx,3,0)),0,VLOOKUP(C11,CNGx,3,FALSE()))</f>
        <v>471</v>
      </c>
      <c r="L11" s="29"/>
      <c r="M11" s="30"/>
      <c r="N11" s="30"/>
      <c r="O11" s="30"/>
      <c r="P11" s="30" t="n">
        <f aca="false">K11-ROUND(+$K11*(VLOOKUP($I11,cngded,6,FALSE())),0)</f>
        <v>427</v>
      </c>
      <c r="Q11" s="23" t="str">
        <f aca="false">IF(ISNA(VLOOKUP(C11,INCNG,1,FALSE())),"--","Y")</f>
        <v>Y</v>
      </c>
      <c r="R11" s="23" t="n">
        <f aca="false">IF(ISNA(VLOOKUP(C11,INCNG,10,FALSE())),0,VLOOKUP(C11,INCNG,10,FALSE()))</f>
        <v>0</v>
      </c>
      <c r="S11" s="0" t="n">
        <f aca="false">+K11-R11</f>
        <v>471</v>
      </c>
      <c r="T11" s="31" t="n">
        <f aca="false">+P11-R11</f>
        <v>427</v>
      </c>
      <c r="U11" s="32" t="n">
        <f aca="false">ROUND(+$K11*(VLOOKUP($I11,Retention,2,FALSE())),0)</f>
        <v>11</v>
      </c>
      <c r="V11" s="32" t="n">
        <f aca="false">ROUND(+$K11*(VLOOKUP($I11,Retention,3,FALSE())),0)</f>
        <v>33</v>
      </c>
      <c r="W11" s="32" t="n">
        <f aca="false">ROUND(+$K11*(VLOOKUP($I11,Retention,4,FALSE())),0)</f>
        <v>0</v>
      </c>
      <c r="X11" s="32" t="n">
        <f aca="false">ROUND(+$K11*(VLOOKUP($I11,Retention,5,FALSE())),0)</f>
        <v>0</v>
      </c>
      <c r="Y11" s="31" t="n">
        <f aca="false">SUM(U11:X11)</f>
        <v>44</v>
      </c>
      <c r="AB11" s="33"/>
      <c r="AC11" s="33"/>
    </row>
    <row r="12" customFormat="false" ht="12.75" hidden="false" customHeight="false" outlineLevel="0" collapsed="false">
      <c r="A12" s="0" t="s">
        <v>486</v>
      </c>
      <c r="B12" s="0" t="s">
        <v>273</v>
      </c>
      <c r="C12" s="0" t="s">
        <v>259</v>
      </c>
      <c r="D12" s="0" t="n">
        <v>2038501</v>
      </c>
      <c r="E12" s="0" t="s">
        <v>260</v>
      </c>
      <c r="F12" s="21" t="n">
        <v>37196</v>
      </c>
      <c r="G12" s="21"/>
      <c r="H12" s="21"/>
      <c r="I12" s="21" t="s">
        <v>450</v>
      </c>
      <c r="J12" s="0" t="n">
        <f aca="false">IF(ISNA(VLOOKUP(C12,CNGx,2,FALSE())),"na",(VLOOKUP(C12,CNGx,2,FALSE())))</f>
        <v>478</v>
      </c>
      <c r="K12" s="0" t="n">
        <f aca="false">IF(ISNA(VLOOKUP(C12,CNGx,3,0)),0,VLOOKUP(C12,CNGx,3,FALSE()))</f>
        <v>607</v>
      </c>
      <c r="L12" s="29"/>
      <c r="M12" s="30"/>
      <c r="N12" s="30"/>
      <c r="O12" s="30"/>
      <c r="P12" s="30" t="n">
        <f aca="false">K12-ROUND(+$K12*(VLOOKUP($I12,cngded,6,FALSE())),0)</f>
        <v>527</v>
      </c>
      <c r="Q12" s="23" t="str">
        <f aca="false">IF(ISNA(VLOOKUP(C12,INCNG,1,FALSE())),"--","Y")</f>
        <v>Y</v>
      </c>
      <c r="R12" s="23" t="n">
        <f aca="false">IF(ISNA(VLOOKUP(C12,INCNG,10,FALSE())),0,VLOOKUP(C12,INCNG,10,FALSE()))</f>
        <v>0</v>
      </c>
      <c r="S12" s="0" t="n">
        <f aca="false">+K12-R12</f>
        <v>607</v>
      </c>
      <c r="T12" s="31" t="n">
        <f aca="false">+P12-R12</f>
        <v>527</v>
      </c>
      <c r="U12" s="32" t="n">
        <f aca="false">ROUND(+$K12*(VLOOKUP($I12,Retention,2,FALSE())),0)</f>
        <v>14</v>
      </c>
      <c r="V12" s="32" t="n">
        <f aca="false">ROUND(+$K12*(VLOOKUP($I12,Retention,3,FALSE())),0)</f>
        <v>43</v>
      </c>
      <c r="W12" s="32" t="n">
        <f aca="false">ROUND(+$K12*(VLOOKUP($I12,Retention,4,FALSE())),0)</f>
        <v>18</v>
      </c>
      <c r="X12" s="32" t="n">
        <f aca="false">ROUND(+$K12*(VLOOKUP($I12,Retention,5,FALSE())),0)</f>
        <v>6</v>
      </c>
      <c r="Y12" s="31" t="n">
        <f aca="false">SUM(U12:X12)</f>
        <v>81</v>
      </c>
      <c r="AB12" s="33"/>
      <c r="AC12" s="33"/>
    </row>
    <row r="13" customFormat="false" ht="12.75" hidden="false" customHeight="false" outlineLevel="0" collapsed="false">
      <c r="A13" s="0" t="s">
        <v>486</v>
      </c>
      <c r="B13" s="0" t="s">
        <v>273</v>
      </c>
      <c r="C13" s="0" t="s">
        <v>166</v>
      </c>
      <c r="D13" s="0" t="n">
        <v>2041001</v>
      </c>
      <c r="E13" s="0" t="s">
        <v>167</v>
      </c>
      <c r="F13" s="21" t="n">
        <v>37196</v>
      </c>
      <c r="G13" s="21"/>
      <c r="H13" s="21"/>
      <c r="I13" s="21" t="s">
        <v>450</v>
      </c>
      <c r="J13" s="0" t="n">
        <f aca="false">IF(ISNA(VLOOKUP(C13,CNGx,2,FALSE())),"na",(VLOOKUP(C13,CNGx,2,FALSE())))</f>
        <v>513</v>
      </c>
      <c r="K13" s="0" t="n">
        <f aca="false">IF(ISNA(VLOOKUP(C13,CNGx,3,0)),0,VLOOKUP(C13,CNGx,3,FALSE()))</f>
        <v>639</v>
      </c>
      <c r="L13" s="29"/>
      <c r="M13" s="30"/>
      <c r="N13" s="30"/>
      <c r="O13" s="30"/>
      <c r="P13" s="30" t="n">
        <f aca="false">K13-ROUND(+$K13*(VLOOKUP($I13,cngded,6,FALSE())),0)</f>
        <v>554</v>
      </c>
      <c r="Q13" s="23" t="str">
        <f aca="false">IF(ISNA(VLOOKUP(C13,INCNG,1,FALSE())),"--","Y")</f>
        <v>Y</v>
      </c>
      <c r="R13" s="23" t="n">
        <f aca="false">IF(ISNA(VLOOKUP(C13,INCNG,10,FALSE())),0,VLOOKUP(C13,INCNG,10,FALSE()))</f>
        <v>0</v>
      </c>
      <c r="S13" s="0" t="n">
        <f aca="false">+K13-R13</f>
        <v>639</v>
      </c>
      <c r="T13" s="31" t="n">
        <f aca="false">+P13-R13</f>
        <v>554</v>
      </c>
      <c r="U13" s="32" t="n">
        <f aca="false">ROUND(+$K13*(VLOOKUP($I13,Retention,2,FALSE())),0)</f>
        <v>15</v>
      </c>
      <c r="V13" s="32" t="n">
        <f aca="false">ROUND(+$K13*(VLOOKUP($I13,Retention,3,FALSE())),0)</f>
        <v>45</v>
      </c>
      <c r="W13" s="32" t="n">
        <f aca="false">ROUND(+$K13*(VLOOKUP($I13,Retention,4,FALSE())),0)</f>
        <v>19</v>
      </c>
      <c r="X13" s="32" t="n">
        <f aca="false">ROUND(+$K13*(VLOOKUP($I13,Retention,5,FALSE())),0)</f>
        <v>6</v>
      </c>
      <c r="Y13" s="31" t="n">
        <f aca="false">SUM(U13:X13)</f>
        <v>85</v>
      </c>
      <c r="AB13" s="33"/>
      <c r="AC13" s="33"/>
    </row>
    <row r="14" customFormat="false" ht="12.75" hidden="false" customHeight="false" outlineLevel="0" collapsed="false">
      <c r="A14" s="0" t="s">
        <v>486</v>
      </c>
      <c r="B14" s="0" t="s">
        <v>136</v>
      </c>
      <c r="C14" s="0" t="s">
        <v>176</v>
      </c>
      <c r="D14" s="0" t="n">
        <v>2052901</v>
      </c>
      <c r="E14" s="0" t="s">
        <v>174</v>
      </c>
      <c r="F14" s="21" t="n">
        <v>37196</v>
      </c>
      <c r="G14" s="21"/>
      <c r="H14" s="21"/>
      <c r="I14" s="21" t="s">
        <v>451</v>
      </c>
      <c r="J14" s="0" t="n">
        <f aca="false">IF(ISNA(VLOOKUP(C14,CNGx,2,FALSE())),"na",(VLOOKUP(C14,CNGx,2,FALSE())))</f>
        <v>0</v>
      </c>
      <c r="K14" s="0" t="n">
        <f aca="false">IF(ISNA(VLOOKUP(C14,CNGx,3,0)),0,VLOOKUP(C14,CNGx,3,FALSE()))</f>
        <v>0</v>
      </c>
      <c r="L14" s="29"/>
      <c r="M14" s="30"/>
      <c r="N14" s="30"/>
      <c r="O14" s="30"/>
      <c r="P14" s="30" t="n">
        <f aca="false">K14-ROUND(+$K14*(VLOOKUP($I14,cngded,6,FALSE())),0)</f>
        <v>0</v>
      </c>
      <c r="Q14" s="23" t="str">
        <f aca="false">IF(ISNA(VLOOKUP(C14,INCNG,1,FALSE())),"--","Y")</f>
        <v>Y</v>
      </c>
      <c r="R14" s="23" t="n">
        <f aca="false">IF(ISNA(VLOOKUP(C14,INCNG,10,FALSE())),0,VLOOKUP(C14,INCNG,10,FALSE()))</f>
        <v>0</v>
      </c>
      <c r="S14" s="0" t="n">
        <f aca="false">+K14-R14</f>
        <v>0</v>
      </c>
      <c r="T14" s="31" t="n">
        <f aca="false">+P14-R14</f>
        <v>0</v>
      </c>
      <c r="U14" s="32" t="n">
        <f aca="false">ROUND(+$K14*(VLOOKUP($I14,Retention,2,FALSE())),0)</f>
        <v>0</v>
      </c>
      <c r="V14" s="32" t="n">
        <f aca="false">ROUND(+$K14*(VLOOKUP($I14,Retention,3,FALSE())),0)</f>
        <v>0</v>
      </c>
      <c r="W14" s="32" t="n">
        <f aca="false">ROUND(+$K14*(VLOOKUP($I14,Retention,4,FALSE())),0)</f>
        <v>0</v>
      </c>
      <c r="X14" s="32" t="n">
        <f aca="false">ROUND(+$K14*(VLOOKUP($I14,Retention,5,FALSE())),0)</f>
        <v>0</v>
      </c>
      <c r="Y14" s="31" t="n">
        <f aca="false">SUM(U14:X14)</f>
        <v>0</v>
      </c>
      <c r="AB14" s="33"/>
      <c r="AC14" s="33"/>
    </row>
    <row r="15" customFormat="false" ht="12.75" hidden="false" customHeight="false" outlineLevel="0" collapsed="false">
      <c r="A15" s="0" t="s">
        <v>486</v>
      </c>
      <c r="B15" s="0" t="s">
        <v>136</v>
      </c>
      <c r="C15" s="0" t="s">
        <v>177</v>
      </c>
      <c r="D15" s="0" t="n">
        <v>2053201</v>
      </c>
      <c r="E15" s="0" t="s">
        <v>174</v>
      </c>
      <c r="F15" s="21" t="n">
        <v>37196</v>
      </c>
      <c r="G15" s="21"/>
      <c r="H15" s="21"/>
      <c r="I15" s="21" t="s">
        <v>451</v>
      </c>
      <c r="J15" s="0" t="n">
        <f aca="false">IF(ISNA(VLOOKUP(C15,CNGx,2,FALSE())),"na",(VLOOKUP(C15,CNGx,2,FALSE())))</f>
        <v>0</v>
      </c>
      <c r="K15" s="0" t="n">
        <f aca="false">IF(ISNA(VLOOKUP(C15,CNGx,3,0)),0,VLOOKUP(C15,CNGx,3,FALSE()))</f>
        <v>0</v>
      </c>
      <c r="L15" s="29"/>
      <c r="M15" s="30"/>
      <c r="N15" s="30"/>
      <c r="O15" s="30"/>
      <c r="P15" s="30" t="n">
        <f aca="false">K15-ROUND(+$K15*(VLOOKUP($I15,cngded,6,FALSE())),0)</f>
        <v>0</v>
      </c>
      <c r="Q15" s="23" t="str">
        <f aca="false">IF(ISNA(VLOOKUP(C15,INCNG,1,FALSE())),"--","Y")</f>
        <v>Y</v>
      </c>
      <c r="R15" s="23" t="n">
        <f aca="false">IF(ISNA(VLOOKUP(C15,INCNG,10,FALSE())),0,VLOOKUP(C15,INCNG,10,FALSE()))</f>
        <v>0</v>
      </c>
      <c r="S15" s="0" t="n">
        <f aca="false">+K15-R15</f>
        <v>0</v>
      </c>
      <c r="T15" s="31" t="n">
        <f aca="false">+P15-R15</f>
        <v>0</v>
      </c>
      <c r="U15" s="32" t="n">
        <f aca="false">ROUND(+$K15*(VLOOKUP($I15,Retention,2,FALSE())),0)</f>
        <v>0</v>
      </c>
      <c r="V15" s="32" t="n">
        <f aca="false">ROUND(+$K15*(VLOOKUP($I15,Retention,3,FALSE())),0)</f>
        <v>0</v>
      </c>
      <c r="W15" s="32" t="n">
        <f aca="false">ROUND(+$K15*(VLOOKUP($I15,Retention,4,FALSE())),0)</f>
        <v>0</v>
      </c>
      <c r="X15" s="32" t="n">
        <f aca="false">ROUND(+$K15*(VLOOKUP($I15,Retention,5,FALSE())),0)</f>
        <v>0</v>
      </c>
      <c r="Y15" s="31" t="n">
        <f aca="false">SUM(U15:X15)</f>
        <v>0</v>
      </c>
      <c r="AB15" s="33"/>
      <c r="AC15" s="33"/>
    </row>
    <row r="16" customFormat="false" ht="12.75" hidden="false" customHeight="false" outlineLevel="0" collapsed="false">
      <c r="A16" s="0" t="s">
        <v>486</v>
      </c>
      <c r="B16" s="0" t="s">
        <v>136</v>
      </c>
      <c r="C16" s="0" t="s">
        <v>437</v>
      </c>
      <c r="D16" s="0" t="n">
        <v>2062201</v>
      </c>
      <c r="E16" s="0" t="s">
        <v>438</v>
      </c>
      <c r="F16" s="21" t="n">
        <v>37196</v>
      </c>
      <c r="G16" s="21"/>
      <c r="H16" s="21"/>
      <c r="I16" s="21" t="s">
        <v>451</v>
      </c>
      <c r="J16" s="0" t="n">
        <f aca="false">IF(ISNA(VLOOKUP(C16,CNGx,2,FALSE())),"na",(VLOOKUP(C16,CNGx,2,FALSE())))</f>
        <v>310</v>
      </c>
      <c r="K16" s="0" t="n">
        <f aca="false">IF(ISNA(VLOOKUP(C16,CNGx,3,0)),0,VLOOKUP(C16,CNGx,3,FALSE()))</f>
        <v>320</v>
      </c>
      <c r="L16" s="29"/>
      <c r="M16" s="30"/>
      <c r="N16" s="30"/>
      <c r="O16" s="30"/>
      <c r="P16" s="30" t="n">
        <f aca="false">K16-ROUND(+$K16*(VLOOKUP($I16,cngded,6,FALSE())),0)</f>
        <v>290</v>
      </c>
      <c r="Q16" s="23" t="str">
        <f aca="false">IF(ISNA(VLOOKUP(C16,INCNG,1,FALSE())),"--","Y")</f>
        <v>Y</v>
      </c>
      <c r="R16" s="23" t="n">
        <f aca="false">IF(ISNA(VLOOKUP(C16,INCNG,10,FALSE())),0,VLOOKUP(C16,INCNG,10,FALSE()))</f>
        <v>0</v>
      </c>
      <c r="S16" s="0" t="n">
        <f aca="false">+K16-R16</f>
        <v>320</v>
      </c>
      <c r="T16" s="31" t="n">
        <f aca="false">+P16-R16</f>
        <v>290</v>
      </c>
      <c r="U16" s="32" t="n">
        <f aca="false">ROUND(+$K16*(VLOOKUP($I16,Retention,2,FALSE())),0)</f>
        <v>7</v>
      </c>
      <c r="V16" s="32" t="n">
        <f aca="false">ROUND(+$K16*(VLOOKUP($I16,Retention,3,FALSE())),0)</f>
        <v>23</v>
      </c>
      <c r="W16" s="32" t="n">
        <f aca="false">ROUND(+$K16*(VLOOKUP($I16,Retention,4,FALSE())),0)</f>
        <v>0</v>
      </c>
      <c r="X16" s="32" t="n">
        <f aca="false">ROUND(+$K16*(VLOOKUP($I16,Retention,5,FALSE())),0)</f>
        <v>0</v>
      </c>
      <c r="Y16" s="31" t="n">
        <f aca="false">SUM(U16:X16)</f>
        <v>30</v>
      </c>
      <c r="AB16" s="33"/>
      <c r="AC16" s="33"/>
    </row>
    <row r="17" customFormat="false" ht="12.75" hidden="false" customHeight="false" outlineLevel="0" collapsed="false">
      <c r="A17" s="0" t="s">
        <v>486</v>
      </c>
      <c r="B17" s="0" t="s">
        <v>136</v>
      </c>
      <c r="C17" s="0" t="s">
        <v>216</v>
      </c>
      <c r="D17" s="0" t="n">
        <v>2075601</v>
      </c>
      <c r="E17" s="0" t="s">
        <v>452</v>
      </c>
      <c r="F17" s="21" t="n">
        <v>37196</v>
      </c>
      <c r="G17" s="21"/>
      <c r="H17" s="21"/>
      <c r="I17" s="21" t="s">
        <v>451</v>
      </c>
      <c r="J17" s="0" t="n">
        <f aca="false">IF(ISNA(VLOOKUP(C17,CNGx,2,FALSE())),"na",(VLOOKUP(C17,CNGx,2,FALSE())))</f>
        <v>715</v>
      </c>
      <c r="K17" s="0" t="n">
        <f aca="false">IF(ISNA(VLOOKUP(C17,CNGx,3,0)),0,VLOOKUP(C17,CNGx,3,FALSE()))</f>
        <v>730</v>
      </c>
      <c r="L17" s="29"/>
      <c r="M17" s="30"/>
      <c r="N17" s="30"/>
      <c r="O17" s="30"/>
      <c r="P17" s="30" t="n">
        <f aca="false">K17-ROUND(+$K17*(VLOOKUP($I17,cngded,6,FALSE())),0)</f>
        <v>662</v>
      </c>
      <c r="Q17" s="23" t="str">
        <f aca="false">IF(ISNA(VLOOKUP(C17,INCNG,1,FALSE())),"--","Y")</f>
        <v>Y</v>
      </c>
      <c r="R17" s="23" t="n">
        <f aca="false">IF(ISNA(VLOOKUP(C17,INCNG,10,FALSE())),0,VLOOKUP(C17,INCNG,10,FALSE()))</f>
        <v>0</v>
      </c>
      <c r="S17" s="0" t="n">
        <f aca="false">+K17-R17</f>
        <v>730</v>
      </c>
      <c r="T17" s="31" t="n">
        <f aca="false">+P17-R17</f>
        <v>662</v>
      </c>
      <c r="U17" s="32" t="n">
        <f aca="false">ROUND(+$K17*(VLOOKUP($I17,Retention,2,FALSE())),0)</f>
        <v>17</v>
      </c>
      <c r="V17" s="32" t="n">
        <f aca="false">ROUND(+$K17*(VLOOKUP($I17,Retention,3,FALSE())),0)</f>
        <v>52</v>
      </c>
      <c r="W17" s="32" t="n">
        <f aca="false">ROUND(+$K17*(VLOOKUP($I17,Retention,4,FALSE())),0)</f>
        <v>0</v>
      </c>
      <c r="X17" s="32" t="n">
        <f aca="false">ROUND(+$K17*(VLOOKUP($I17,Retention,5,FALSE())),0)</f>
        <v>0</v>
      </c>
      <c r="Y17" s="31" t="n">
        <f aca="false">SUM(U17:X17)</f>
        <v>69</v>
      </c>
      <c r="AB17" s="33"/>
      <c r="AC17" s="33"/>
    </row>
    <row r="18" customFormat="false" ht="12.75" hidden="false" customHeight="false" outlineLevel="0" collapsed="false">
      <c r="A18" s="0" t="s">
        <v>486</v>
      </c>
      <c r="B18" s="0" t="s">
        <v>136</v>
      </c>
      <c r="C18" s="0" t="s">
        <v>395</v>
      </c>
      <c r="D18" s="0" t="n">
        <v>2095501</v>
      </c>
      <c r="E18" s="0" t="s">
        <v>473</v>
      </c>
      <c r="F18" s="21" t="n">
        <v>37196</v>
      </c>
      <c r="G18" s="21"/>
      <c r="H18" s="21"/>
      <c r="I18" s="21" t="s">
        <v>451</v>
      </c>
      <c r="J18" s="0" t="n">
        <f aca="false">IF(ISNA(VLOOKUP(C18,CNGx,2,FALSE())),"na",(VLOOKUP(C18,CNGx,2,FALSE())))</f>
        <v>98</v>
      </c>
      <c r="K18" s="0" t="n">
        <f aca="false">IF(ISNA(VLOOKUP(C18,CNGx,3,0)),0,VLOOKUP(C18,CNGx,3,FALSE()))</f>
        <v>101</v>
      </c>
      <c r="L18" s="29"/>
      <c r="M18" s="30"/>
      <c r="N18" s="30"/>
      <c r="O18" s="30"/>
      <c r="P18" s="30" t="n">
        <f aca="false">K18-ROUND(+$K18*(VLOOKUP($I18,cngded,6,FALSE())),0)</f>
        <v>92</v>
      </c>
      <c r="Q18" s="23" t="str">
        <f aca="false">IF(ISNA(VLOOKUP(C18,INCNG,1,FALSE())),"--","Y")</f>
        <v>Y</v>
      </c>
      <c r="R18" s="23" t="n">
        <f aca="false">IF(ISNA(VLOOKUP(C18,INCNG,10,FALSE())),0,VLOOKUP(C18,INCNG,10,FALSE()))</f>
        <v>0</v>
      </c>
      <c r="S18" s="0" t="n">
        <f aca="false">+K18-R18</f>
        <v>101</v>
      </c>
      <c r="T18" s="31" t="n">
        <f aca="false">+P18-R18</f>
        <v>92</v>
      </c>
      <c r="U18" s="32" t="n">
        <f aca="false">ROUND(+$K18*(VLOOKUP($I18,Retention,2,FALSE())),0)</f>
        <v>2</v>
      </c>
      <c r="V18" s="32" t="n">
        <f aca="false">ROUND(+$K18*(VLOOKUP($I18,Retention,3,FALSE())),0)</f>
        <v>7</v>
      </c>
      <c r="W18" s="32" t="n">
        <f aca="false">ROUND(+$K18*(VLOOKUP($I18,Retention,4,FALSE())),0)</f>
        <v>0</v>
      </c>
      <c r="X18" s="32" t="n">
        <f aca="false">ROUND(+$K18*(VLOOKUP($I18,Retention,5,FALSE())),0)</f>
        <v>0</v>
      </c>
      <c r="Y18" s="31" t="n">
        <f aca="false">SUM(U18:X18)</f>
        <v>9</v>
      </c>
      <c r="AB18" s="33"/>
      <c r="AC18" s="33"/>
    </row>
    <row r="19" customFormat="false" ht="12.75" hidden="false" customHeight="false" outlineLevel="0" collapsed="false">
      <c r="A19" s="0" t="s">
        <v>486</v>
      </c>
      <c r="B19" s="0" t="s">
        <v>136</v>
      </c>
      <c r="C19" s="0" t="s">
        <v>113</v>
      </c>
      <c r="D19" s="0" t="n">
        <v>2096101</v>
      </c>
      <c r="E19" s="0" t="s">
        <v>114</v>
      </c>
      <c r="F19" s="21" t="n">
        <v>37196</v>
      </c>
      <c r="G19" s="21"/>
      <c r="H19" s="21"/>
      <c r="I19" s="21" t="s">
        <v>451</v>
      </c>
      <c r="J19" s="0" t="n">
        <f aca="false">IF(ISNA(VLOOKUP(C19,CNGx,2,FALSE())),"na",(VLOOKUP(C19,CNGx,2,FALSE())))</f>
        <v>0</v>
      </c>
      <c r="K19" s="0" t="n">
        <f aca="false">IF(ISNA(VLOOKUP(C19,CNGx,3,0)),0,VLOOKUP(C19,CNGx,3,FALSE()))</f>
        <v>0</v>
      </c>
      <c r="L19" s="29"/>
      <c r="M19" s="30"/>
      <c r="N19" s="30"/>
      <c r="O19" s="30"/>
      <c r="P19" s="30" t="n">
        <f aca="false">K19-ROUND(+$K19*(VLOOKUP($I19,cngded,6,FALSE())),0)</f>
        <v>0</v>
      </c>
      <c r="Q19" s="23" t="str">
        <f aca="false">IF(ISNA(VLOOKUP(C19,INCNG,1,FALSE())),"--","Y")</f>
        <v>Y</v>
      </c>
      <c r="R19" s="23" t="n">
        <f aca="false">IF(ISNA(VLOOKUP(C19,INCNG,10,FALSE())),0,VLOOKUP(C19,INCNG,10,FALSE()))</f>
        <v>0</v>
      </c>
      <c r="S19" s="0" t="n">
        <f aca="false">+K19-R19</f>
        <v>0</v>
      </c>
      <c r="T19" s="31" t="n">
        <f aca="false">+P19-R19</f>
        <v>0</v>
      </c>
      <c r="U19" s="32" t="n">
        <f aca="false">ROUND(+$K19*(VLOOKUP($I19,Retention,2,FALSE())),0)</f>
        <v>0</v>
      </c>
      <c r="V19" s="32" t="n">
        <f aca="false">ROUND(+$K19*(VLOOKUP($I19,Retention,3,FALSE())),0)</f>
        <v>0</v>
      </c>
      <c r="W19" s="32" t="n">
        <f aca="false">ROUND(+$K19*(VLOOKUP($I19,Retention,4,FALSE())),0)</f>
        <v>0</v>
      </c>
      <c r="X19" s="32" t="n">
        <f aca="false">ROUND(+$K19*(VLOOKUP($I19,Retention,5,FALSE())),0)</f>
        <v>0</v>
      </c>
      <c r="Y19" s="31" t="n">
        <f aca="false">SUM(U19:X19)</f>
        <v>0</v>
      </c>
      <c r="AB19" s="33"/>
      <c r="AC19" s="33"/>
    </row>
    <row r="20" customFormat="false" ht="12.75" hidden="false" customHeight="false" outlineLevel="0" collapsed="false">
      <c r="A20" s="0" t="s">
        <v>486</v>
      </c>
      <c r="B20" s="0" t="s">
        <v>273</v>
      </c>
      <c r="C20" s="0" t="s">
        <v>89</v>
      </c>
      <c r="D20" s="0" t="n">
        <v>2150501</v>
      </c>
      <c r="E20" s="0" t="s">
        <v>90</v>
      </c>
      <c r="F20" s="21" t="n">
        <v>37196</v>
      </c>
      <c r="G20" s="21"/>
      <c r="H20" s="21"/>
      <c r="I20" s="21" t="s">
        <v>450</v>
      </c>
      <c r="J20" s="0" t="n">
        <f aca="false">IF(ISNA(VLOOKUP(C20,CNGx,2,FALSE())),"na",(VLOOKUP(C20,CNGx,2,FALSE())))</f>
        <v>514</v>
      </c>
      <c r="K20" s="0" t="n">
        <f aca="false">IF(ISNA(VLOOKUP(C20,CNGx,3,0)),0,VLOOKUP(C20,CNGx,3,FALSE()))</f>
        <v>654</v>
      </c>
      <c r="L20" s="29"/>
      <c r="M20" s="30"/>
      <c r="N20" s="30"/>
      <c r="O20" s="30"/>
      <c r="P20" s="30" t="n">
        <f aca="false">K20-ROUND(+$K20*(VLOOKUP($I20,cngded,6,FALSE())),0)</f>
        <v>567</v>
      </c>
      <c r="Q20" s="23" t="str">
        <f aca="false">IF(ISNA(VLOOKUP(C20,INCNG,1,FALSE())),"--","Y")</f>
        <v>Y</v>
      </c>
      <c r="R20" s="23" t="n">
        <f aca="false">IF(ISNA(VLOOKUP(C20,INCNG,10,FALSE())),0,VLOOKUP(C20,INCNG,10,FALSE()))</f>
        <v>0</v>
      </c>
      <c r="S20" s="0" t="n">
        <f aca="false">+K20-R20</f>
        <v>654</v>
      </c>
      <c r="T20" s="31" t="n">
        <f aca="false">+P20-R20</f>
        <v>567</v>
      </c>
      <c r="U20" s="32" t="n">
        <f aca="false">ROUND(+$K20*(VLOOKUP($I20,Retention,2,FALSE())),0)</f>
        <v>15</v>
      </c>
      <c r="V20" s="32" t="n">
        <f aca="false">ROUND(+$K20*(VLOOKUP($I20,Retention,3,FALSE())),0)</f>
        <v>46</v>
      </c>
      <c r="W20" s="32" t="n">
        <f aca="false">ROUND(+$K20*(VLOOKUP($I20,Retention,4,FALSE())),0)</f>
        <v>20</v>
      </c>
      <c r="X20" s="32" t="n">
        <f aca="false">ROUND(+$K20*(VLOOKUP($I20,Retention,5,FALSE())),0)</f>
        <v>6</v>
      </c>
      <c r="Y20" s="31" t="n">
        <f aca="false">SUM(U20:X20)</f>
        <v>87</v>
      </c>
      <c r="AB20" s="33"/>
      <c r="AC20" s="33"/>
    </row>
    <row r="21" customFormat="false" ht="12.75" hidden="false" customHeight="false" outlineLevel="0" collapsed="false">
      <c r="A21" s="0" t="s">
        <v>486</v>
      </c>
      <c r="B21" s="0" t="s">
        <v>136</v>
      </c>
      <c r="C21" s="0" t="s">
        <v>178</v>
      </c>
      <c r="D21" s="0" t="n">
        <v>2151401</v>
      </c>
      <c r="E21" s="0" t="s">
        <v>174</v>
      </c>
      <c r="F21" s="21" t="n">
        <v>37196</v>
      </c>
      <c r="G21" s="21"/>
      <c r="H21" s="21"/>
      <c r="I21" s="21" t="s">
        <v>451</v>
      </c>
      <c r="J21" s="0" t="n">
        <f aca="false">IF(ISNA(VLOOKUP(C21,CNGx,2,FALSE())),"na",(VLOOKUP(C21,CNGx,2,FALSE())))</f>
        <v>610</v>
      </c>
      <c r="K21" s="0" t="n">
        <f aca="false">IF(ISNA(VLOOKUP(C21,CNGx,3,0)),0,VLOOKUP(C21,CNGx,3,FALSE()))</f>
        <v>627</v>
      </c>
      <c r="L21" s="29"/>
      <c r="M21" s="30"/>
      <c r="N21" s="30"/>
      <c r="O21" s="30"/>
      <c r="P21" s="30" t="n">
        <f aca="false">K21-ROUND(+$K21*(VLOOKUP($I21,cngded,6,FALSE())),0)</f>
        <v>568</v>
      </c>
      <c r="Q21" s="23" t="str">
        <f aca="false">IF(ISNA(VLOOKUP(C21,INCNG,1,FALSE())),"--","Y")</f>
        <v>Y</v>
      </c>
      <c r="R21" s="23" t="n">
        <f aca="false">IF(ISNA(VLOOKUP(C21,INCNG,10,FALSE())),0,VLOOKUP(C21,INCNG,10,FALSE()))</f>
        <v>0</v>
      </c>
      <c r="S21" s="0" t="n">
        <f aca="false">+K21-R21</f>
        <v>627</v>
      </c>
      <c r="T21" s="31" t="n">
        <f aca="false">+P21-R21</f>
        <v>568</v>
      </c>
      <c r="U21" s="32" t="n">
        <f aca="false">ROUND(+$K21*(VLOOKUP($I21,Retention,2,FALSE())),0)</f>
        <v>14</v>
      </c>
      <c r="V21" s="32" t="n">
        <f aca="false">ROUND(+$K21*(VLOOKUP($I21,Retention,3,FALSE())),0)</f>
        <v>44</v>
      </c>
      <c r="W21" s="32" t="n">
        <f aca="false">ROUND(+$K21*(VLOOKUP($I21,Retention,4,FALSE())),0)</f>
        <v>0</v>
      </c>
      <c r="X21" s="32" t="n">
        <f aca="false">ROUND(+$K21*(VLOOKUP($I21,Retention,5,FALSE())),0)</f>
        <v>0</v>
      </c>
      <c r="Y21" s="31" t="n">
        <f aca="false">SUM(U21:X21)</f>
        <v>58</v>
      </c>
      <c r="AB21" s="33"/>
      <c r="AC21" s="33"/>
    </row>
    <row r="22" customFormat="false" ht="12.75" hidden="false" customHeight="false" outlineLevel="0" collapsed="false">
      <c r="A22" s="0" t="s">
        <v>486</v>
      </c>
      <c r="B22" s="0" t="s">
        <v>273</v>
      </c>
      <c r="C22" s="0" t="s">
        <v>218</v>
      </c>
      <c r="D22" s="0" t="n">
        <v>2152501</v>
      </c>
      <c r="E22" s="0" t="s">
        <v>452</v>
      </c>
      <c r="F22" s="21" t="n">
        <v>37196</v>
      </c>
      <c r="G22" s="21"/>
      <c r="H22" s="21"/>
      <c r="I22" s="21" t="s">
        <v>450</v>
      </c>
      <c r="J22" s="0" t="n">
        <f aca="false">IF(ISNA(VLOOKUP(C22,CNGx,2,FALSE())),"na",(VLOOKUP(C22,CNGx,2,FALSE())))</f>
        <v>19</v>
      </c>
      <c r="K22" s="0" t="n">
        <f aca="false">IF(ISNA(VLOOKUP(C22,CNGx,3,0)),0,VLOOKUP(C22,CNGx,3,FALSE()))</f>
        <v>23</v>
      </c>
      <c r="L22" s="29"/>
      <c r="M22" s="30"/>
      <c r="N22" s="30"/>
      <c r="O22" s="30"/>
      <c r="P22" s="30" t="n">
        <f aca="false">K22-ROUND(+$K22*(VLOOKUP($I22,cngded,6,FALSE())),0)</f>
        <v>20</v>
      </c>
      <c r="Q22" s="23" t="str">
        <f aca="false">IF(ISNA(VLOOKUP(C22,INCNG,1,FALSE())),"--","Y")</f>
        <v>Y</v>
      </c>
      <c r="R22" s="23" t="n">
        <f aca="false">IF(ISNA(VLOOKUP(C22,INCNG,10,FALSE())),0,VLOOKUP(C22,INCNG,10,FALSE()))</f>
        <v>0</v>
      </c>
      <c r="S22" s="0" t="n">
        <f aca="false">+K22-R22</f>
        <v>23</v>
      </c>
      <c r="T22" s="31" t="n">
        <f aca="false">+P22-R22</f>
        <v>20</v>
      </c>
      <c r="U22" s="32" t="n">
        <f aca="false">ROUND(+$K22*(VLOOKUP($I22,Retention,2,FALSE())),0)</f>
        <v>1</v>
      </c>
      <c r="V22" s="32" t="n">
        <f aca="false">ROUND(+$K22*(VLOOKUP($I22,Retention,3,FALSE())),0)</f>
        <v>2</v>
      </c>
      <c r="W22" s="32" t="n">
        <f aca="false">ROUND(+$K22*(VLOOKUP($I22,Retention,4,FALSE())),0)</f>
        <v>1</v>
      </c>
      <c r="X22" s="32" t="n">
        <f aca="false">ROUND(+$K22*(VLOOKUP($I22,Retention,5,FALSE())),0)</f>
        <v>0</v>
      </c>
      <c r="Y22" s="31" t="n">
        <f aca="false">SUM(U22:X22)</f>
        <v>4</v>
      </c>
      <c r="AB22" s="33"/>
      <c r="AC22" s="33"/>
    </row>
    <row r="23" customFormat="false" ht="12.75" hidden="false" customHeight="false" outlineLevel="0" collapsed="false">
      <c r="A23" s="0" t="s">
        <v>486</v>
      </c>
      <c r="B23" s="0" t="s">
        <v>136</v>
      </c>
      <c r="C23" s="0" t="s">
        <v>115</v>
      </c>
      <c r="D23" s="0" t="n">
        <v>2159601</v>
      </c>
      <c r="E23" s="0" t="s">
        <v>114</v>
      </c>
      <c r="F23" s="21" t="n">
        <v>37196</v>
      </c>
      <c r="G23" s="21"/>
      <c r="H23" s="21"/>
      <c r="I23" s="21" t="s">
        <v>451</v>
      </c>
      <c r="J23" s="0" t="n">
        <f aca="false">IF(ISNA(VLOOKUP(C23,CNGx,2,FALSE())),"na",(VLOOKUP(C23,CNGx,2,FALSE())))</f>
        <v>97</v>
      </c>
      <c r="K23" s="0" t="n">
        <f aca="false">IF(ISNA(VLOOKUP(C23,CNGx,3,0)),0,VLOOKUP(C23,CNGx,3,FALSE()))</f>
        <v>107</v>
      </c>
      <c r="L23" s="29"/>
      <c r="M23" s="30"/>
      <c r="N23" s="30"/>
      <c r="O23" s="30"/>
      <c r="P23" s="30" t="n">
        <f aca="false">K23-ROUND(+$K23*(VLOOKUP($I23,cngded,6,FALSE())),0)</f>
        <v>97</v>
      </c>
      <c r="Q23" s="23" t="str">
        <f aca="false">IF(ISNA(VLOOKUP(C23,INCNG,1,FALSE())),"--","Y")</f>
        <v>Y</v>
      </c>
      <c r="R23" s="23" t="n">
        <f aca="false">IF(ISNA(VLOOKUP(C23,INCNG,10,FALSE())),0,VLOOKUP(C23,INCNG,10,FALSE()))</f>
        <v>0</v>
      </c>
      <c r="S23" s="0" t="n">
        <f aca="false">+K23-R23</f>
        <v>107</v>
      </c>
      <c r="T23" s="31" t="n">
        <f aca="false">+P23-R23</f>
        <v>97</v>
      </c>
      <c r="U23" s="32" t="n">
        <f aca="false">ROUND(+$K23*(VLOOKUP($I23,Retention,2,FALSE())),0)</f>
        <v>2</v>
      </c>
      <c r="V23" s="32" t="n">
        <f aca="false">ROUND(+$K23*(VLOOKUP($I23,Retention,3,FALSE())),0)</f>
        <v>8</v>
      </c>
      <c r="W23" s="32" t="n">
        <f aca="false">ROUND(+$K23*(VLOOKUP($I23,Retention,4,FALSE())),0)</f>
        <v>0</v>
      </c>
      <c r="X23" s="32" t="n">
        <f aca="false">ROUND(+$K23*(VLOOKUP($I23,Retention,5,FALSE())),0)</f>
        <v>0</v>
      </c>
      <c r="Y23" s="31" t="n">
        <f aca="false">SUM(U23:X23)</f>
        <v>10</v>
      </c>
      <c r="AB23" s="33"/>
      <c r="AC23" s="33"/>
    </row>
    <row r="24" customFormat="false" ht="12.75" hidden="false" customHeight="false" outlineLevel="0" collapsed="false">
      <c r="A24" s="0" t="s">
        <v>486</v>
      </c>
      <c r="B24" s="0" t="s">
        <v>273</v>
      </c>
      <c r="C24" s="0" t="s">
        <v>350</v>
      </c>
      <c r="D24" s="0" t="n">
        <v>3001401</v>
      </c>
      <c r="E24" s="0" t="s">
        <v>470</v>
      </c>
      <c r="F24" s="21" t="n">
        <v>37196</v>
      </c>
      <c r="G24" s="21"/>
      <c r="H24" s="21"/>
      <c r="I24" s="21" t="s">
        <v>450</v>
      </c>
      <c r="J24" s="0" t="n">
        <f aca="false">IF(ISNA(VLOOKUP(C24,CNGx,2,FALSE())),"na",(VLOOKUP(C24,CNGx,2,FALSE())))</f>
        <v>316</v>
      </c>
      <c r="K24" s="0" t="n">
        <f aca="false">IF(ISNA(VLOOKUP(C24,CNGx,3,0)),0,VLOOKUP(C24,CNGx,3,FALSE()))</f>
        <v>500</v>
      </c>
      <c r="L24" s="29"/>
      <c r="M24" s="30"/>
      <c r="N24" s="30"/>
      <c r="O24" s="30"/>
      <c r="P24" s="30" t="n">
        <f aca="false">K24-ROUND(+$K24*(VLOOKUP($I24,cngded,6,FALSE())),0)</f>
        <v>434</v>
      </c>
      <c r="Q24" s="23" t="str">
        <f aca="false">IF(ISNA(VLOOKUP(C24,INCNG,1,FALSE())),"--","Y")</f>
        <v>Y</v>
      </c>
      <c r="R24" s="23" t="n">
        <f aca="false">IF(ISNA(VLOOKUP(C24,INCNG,10,FALSE())),0,VLOOKUP(C24,INCNG,10,FALSE()))</f>
        <v>0</v>
      </c>
      <c r="S24" s="0" t="n">
        <f aca="false">+K24-R24</f>
        <v>500</v>
      </c>
      <c r="T24" s="31" t="n">
        <f aca="false">+P24-R24</f>
        <v>434</v>
      </c>
      <c r="U24" s="32" t="n">
        <f aca="false">ROUND(+$K24*(VLOOKUP($I24,Retention,2,FALSE())),0)</f>
        <v>11</v>
      </c>
      <c r="V24" s="32" t="n">
        <f aca="false">ROUND(+$K24*(VLOOKUP($I24,Retention,3,FALSE())),0)</f>
        <v>35</v>
      </c>
      <c r="W24" s="32" t="n">
        <f aca="false">ROUND(+$K24*(VLOOKUP($I24,Retention,4,FALSE())),0)</f>
        <v>15</v>
      </c>
      <c r="X24" s="32" t="n">
        <f aca="false">ROUND(+$K24*(VLOOKUP($I24,Retention,5,FALSE())),0)</f>
        <v>5</v>
      </c>
      <c r="Y24" s="31" t="n">
        <f aca="false">SUM(U24:X24)</f>
        <v>66</v>
      </c>
      <c r="AB24" s="33"/>
      <c r="AC24" s="33"/>
    </row>
    <row r="25" customFormat="false" ht="12.75" hidden="false" customHeight="false" outlineLevel="0" collapsed="false">
      <c r="A25" s="0" t="s">
        <v>486</v>
      </c>
      <c r="B25" s="0" t="s">
        <v>273</v>
      </c>
      <c r="C25" s="0" t="s">
        <v>352</v>
      </c>
      <c r="D25" s="0" t="n">
        <v>3001601</v>
      </c>
      <c r="E25" s="0" t="s">
        <v>470</v>
      </c>
      <c r="F25" s="21" t="n">
        <v>37196</v>
      </c>
      <c r="G25" s="21"/>
      <c r="H25" s="21"/>
      <c r="I25" s="21" t="s">
        <v>450</v>
      </c>
      <c r="J25" s="0" t="n">
        <f aca="false">IF(ISNA(VLOOKUP(C25,CNGx,2,FALSE())),"na",(VLOOKUP(C25,CNGx,2,FALSE())))</f>
        <v>134</v>
      </c>
      <c r="K25" s="0" t="n">
        <f aca="false">IF(ISNA(VLOOKUP(C25,CNGx,3,0)),0,VLOOKUP(C25,CNGx,3,FALSE()))</f>
        <v>246</v>
      </c>
      <c r="L25" s="29"/>
      <c r="M25" s="30"/>
      <c r="N25" s="30"/>
      <c r="O25" s="30"/>
      <c r="P25" s="30" t="n">
        <f aca="false">K25-ROUND(+$K25*(VLOOKUP($I25,cngded,6,FALSE())),0)</f>
        <v>213</v>
      </c>
      <c r="Q25" s="23" t="str">
        <f aca="false">IF(ISNA(VLOOKUP(C25,INCNG,1,FALSE())),"--","Y")</f>
        <v>Y</v>
      </c>
      <c r="R25" s="23" t="n">
        <f aca="false">IF(ISNA(VLOOKUP(C25,INCNG,10,FALSE())),0,VLOOKUP(C25,INCNG,10,FALSE()))</f>
        <v>0</v>
      </c>
      <c r="S25" s="0" t="n">
        <f aca="false">+K25-R25</f>
        <v>246</v>
      </c>
      <c r="T25" s="31" t="n">
        <f aca="false">+P25-R25</f>
        <v>213</v>
      </c>
      <c r="U25" s="32" t="n">
        <f aca="false">ROUND(+$K25*(VLOOKUP($I25,Retention,2,FALSE())),0)</f>
        <v>6</v>
      </c>
      <c r="V25" s="32" t="n">
        <f aca="false">ROUND(+$K25*(VLOOKUP($I25,Retention,3,FALSE())),0)</f>
        <v>17</v>
      </c>
      <c r="W25" s="32" t="n">
        <f aca="false">ROUND(+$K25*(VLOOKUP($I25,Retention,4,FALSE())),0)</f>
        <v>7</v>
      </c>
      <c r="X25" s="32" t="n">
        <f aca="false">ROUND(+$K25*(VLOOKUP($I25,Retention,5,FALSE())),0)</f>
        <v>2</v>
      </c>
      <c r="Y25" s="31" t="n">
        <f aca="false">SUM(U25:X25)</f>
        <v>32</v>
      </c>
      <c r="AB25" s="33"/>
      <c r="AC25" s="33"/>
    </row>
    <row r="26" customFormat="false" ht="12.75" hidden="false" customHeight="false" outlineLevel="0" collapsed="false">
      <c r="A26" s="0" t="s">
        <v>486</v>
      </c>
      <c r="B26" s="0" t="s">
        <v>273</v>
      </c>
      <c r="C26" s="0" t="s">
        <v>405</v>
      </c>
      <c r="D26" s="0" t="n">
        <v>3007601</v>
      </c>
      <c r="E26" s="0" t="s">
        <v>406</v>
      </c>
      <c r="F26" s="21" t="n">
        <v>37196</v>
      </c>
      <c r="G26" s="21"/>
      <c r="H26" s="21"/>
      <c r="I26" s="21" t="s">
        <v>450</v>
      </c>
      <c r="J26" s="0" t="n">
        <f aca="false">IF(ISNA(VLOOKUP(C26,CNGx,2,FALSE())),"na",(VLOOKUP(C26,CNGx,2,FALSE())))</f>
        <v>48</v>
      </c>
      <c r="K26" s="0" t="n">
        <f aca="false">IF(ISNA(VLOOKUP(C26,CNGx,3,0)),0,VLOOKUP(C26,CNGx,3,FALSE()))</f>
        <v>56</v>
      </c>
      <c r="L26" s="29"/>
      <c r="M26" s="30"/>
      <c r="N26" s="30"/>
      <c r="O26" s="30"/>
      <c r="P26" s="30" t="n">
        <f aca="false">K26-ROUND(+$K26*(VLOOKUP($I26,cngded,6,FALSE())),0)</f>
        <v>49</v>
      </c>
      <c r="Q26" s="23" t="str">
        <f aca="false">IF(ISNA(VLOOKUP(C26,INCNG,1,FALSE())),"--","Y")</f>
        <v>Y</v>
      </c>
      <c r="R26" s="23" t="n">
        <f aca="false">IF(ISNA(VLOOKUP(C26,INCNG,10,FALSE())),0,VLOOKUP(C26,INCNG,10,FALSE()))</f>
        <v>0</v>
      </c>
      <c r="S26" s="0" t="n">
        <f aca="false">+K26-R26</f>
        <v>56</v>
      </c>
      <c r="T26" s="31" t="n">
        <f aca="false">+P26-R26</f>
        <v>49</v>
      </c>
      <c r="U26" s="32" t="n">
        <f aca="false">ROUND(+$K26*(VLOOKUP($I26,Retention,2,FALSE())),0)</f>
        <v>1</v>
      </c>
      <c r="V26" s="32" t="n">
        <f aca="false">ROUND(+$K26*(VLOOKUP($I26,Retention,3,FALSE())),0)</f>
        <v>4</v>
      </c>
      <c r="W26" s="32" t="n">
        <f aca="false">ROUND(+$K26*(VLOOKUP($I26,Retention,4,FALSE())),0)</f>
        <v>2</v>
      </c>
      <c r="X26" s="32" t="n">
        <f aca="false">ROUND(+$K26*(VLOOKUP($I26,Retention,5,FALSE())),0)</f>
        <v>1</v>
      </c>
      <c r="Y26" s="31" t="n">
        <f aca="false">SUM(U26:X26)</f>
        <v>8</v>
      </c>
      <c r="AB26" s="33"/>
      <c r="AC26" s="33"/>
    </row>
    <row r="27" customFormat="false" ht="12.75" hidden="false" customHeight="false" outlineLevel="0" collapsed="false">
      <c r="A27" s="0" t="s">
        <v>486</v>
      </c>
      <c r="B27" s="0" t="s">
        <v>273</v>
      </c>
      <c r="C27" s="0" t="s">
        <v>29</v>
      </c>
      <c r="D27" s="0" t="n">
        <v>3008001</v>
      </c>
      <c r="E27" s="0" t="s">
        <v>472</v>
      </c>
      <c r="F27" s="21" t="n">
        <v>37196</v>
      </c>
      <c r="G27" s="21"/>
      <c r="H27" s="21"/>
      <c r="I27" s="21" t="s">
        <v>450</v>
      </c>
      <c r="J27" s="0" t="n">
        <f aca="false">IF(ISNA(VLOOKUP(C27,CNGx,2,FALSE())),"na",(VLOOKUP(C27,CNGx,2,FALSE())))</f>
        <v>476</v>
      </c>
      <c r="K27" s="0" t="n">
        <f aca="false">IF(ISNA(VLOOKUP(C27,CNGx,3,0)),0,VLOOKUP(C27,CNGx,3,FALSE()))</f>
        <v>594</v>
      </c>
      <c r="L27" s="29"/>
      <c r="M27" s="30"/>
      <c r="N27" s="30"/>
      <c r="O27" s="30"/>
      <c r="P27" s="30" t="n">
        <f aca="false">K27-ROUND(+$K27*(VLOOKUP($I27,cngded,6,FALSE())),0)</f>
        <v>515</v>
      </c>
      <c r="Q27" s="23" t="str">
        <f aca="false">IF(ISNA(VLOOKUP(C27,INCNG,1,FALSE())),"--","Y")</f>
        <v>Y</v>
      </c>
      <c r="R27" s="23" t="n">
        <f aca="false">IF(ISNA(VLOOKUP(C27,INCNG,10,FALSE())),0,VLOOKUP(C27,INCNG,10,FALSE()))</f>
        <v>0</v>
      </c>
      <c r="S27" s="0" t="n">
        <f aca="false">+K27-R27</f>
        <v>594</v>
      </c>
      <c r="T27" s="31" t="n">
        <f aca="false">+P27-R27</f>
        <v>515</v>
      </c>
      <c r="U27" s="32" t="n">
        <f aca="false">ROUND(+$K27*(VLOOKUP($I27,Retention,2,FALSE())),0)</f>
        <v>14</v>
      </c>
      <c r="V27" s="32" t="n">
        <f aca="false">ROUND(+$K27*(VLOOKUP($I27,Retention,3,FALSE())),0)</f>
        <v>42</v>
      </c>
      <c r="W27" s="32" t="n">
        <f aca="false">ROUND(+$K27*(VLOOKUP($I27,Retention,4,FALSE())),0)</f>
        <v>18</v>
      </c>
      <c r="X27" s="32" t="n">
        <f aca="false">ROUND(+$K27*(VLOOKUP($I27,Retention,5,FALSE())),0)</f>
        <v>5</v>
      </c>
      <c r="Y27" s="31" t="n">
        <f aca="false">SUM(U27:X27)</f>
        <v>79</v>
      </c>
      <c r="AB27" s="33"/>
      <c r="AC27" s="33"/>
    </row>
    <row r="28" customFormat="false" ht="12.75" hidden="false" customHeight="false" outlineLevel="0" collapsed="false">
      <c r="A28" s="0" t="s">
        <v>486</v>
      </c>
      <c r="B28" s="0" t="s">
        <v>273</v>
      </c>
      <c r="C28" s="0" t="s">
        <v>76</v>
      </c>
      <c r="D28" s="0" t="n">
        <v>3013701</v>
      </c>
      <c r="E28" s="0" t="s">
        <v>454</v>
      </c>
      <c r="F28" s="21" t="n">
        <v>37196</v>
      </c>
      <c r="G28" s="21"/>
      <c r="H28" s="21"/>
      <c r="I28" s="21" t="s">
        <v>450</v>
      </c>
      <c r="J28" s="0" t="n">
        <f aca="false">IF(ISNA(VLOOKUP(C28,CNGx,2,FALSE())),"na",(VLOOKUP(C28,CNGx,2,FALSE())))</f>
        <v>31</v>
      </c>
      <c r="K28" s="0" t="n">
        <f aca="false">IF(ISNA(VLOOKUP(C28,CNGx,3,0)),0,VLOOKUP(C28,CNGx,3,FALSE()))</f>
        <v>51</v>
      </c>
      <c r="L28" s="29"/>
      <c r="M28" s="30"/>
      <c r="N28" s="30"/>
      <c r="O28" s="30"/>
      <c r="P28" s="30" t="n">
        <f aca="false">K28-ROUND(+$K28*(VLOOKUP($I28,cngded,6,FALSE())),0)</f>
        <v>44</v>
      </c>
      <c r="Q28" s="23" t="str">
        <f aca="false">IF(ISNA(VLOOKUP(C28,INCNG,1,FALSE())),"--","Y")</f>
        <v>Y</v>
      </c>
      <c r="R28" s="23" t="n">
        <f aca="false">IF(ISNA(VLOOKUP(C28,INCNG,10,FALSE())),0,VLOOKUP(C28,INCNG,10,FALSE()))</f>
        <v>0</v>
      </c>
      <c r="S28" s="0" t="n">
        <f aca="false">+K28-R28</f>
        <v>51</v>
      </c>
      <c r="T28" s="31" t="n">
        <f aca="false">+P28-R28</f>
        <v>44</v>
      </c>
      <c r="U28" s="32" t="n">
        <f aca="false">ROUND(+$K28*(VLOOKUP($I28,Retention,2,FALSE())),0)</f>
        <v>1</v>
      </c>
      <c r="V28" s="32" t="n">
        <f aca="false">ROUND(+$K28*(VLOOKUP($I28,Retention,3,FALSE())),0)</f>
        <v>4</v>
      </c>
      <c r="W28" s="32" t="n">
        <f aca="false">ROUND(+$K28*(VLOOKUP($I28,Retention,4,FALSE())),0)</f>
        <v>2</v>
      </c>
      <c r="X28" s="32" t="n">
        <f aca="false">ROUND(+$K28*(VLOOKUP($I28,Retention,5,FALSE())),0)</f>
        <v>0</v>
      </c>
      <c r="Y28" s="31" t="n">
        <f aca="false">SUM(U28:X28)</f>
        <v>7</v>
      </c>
      <c r="AB28" s="33"/>
      <c r="AC28" s="33"/>
    </row>
    <row r="29" customFormat="false" ht="12.75" hidden="false" customHeight="false" outlineLevel="0" collapsed="false">
      <c r="A29" s="0" t="s">
        <v>486</v>
      </c>
      <c r="B29" s="0" t="s">
        <v>273</v>
      </c>
      <c r="C29" s="0" t="s">
        <v>50</v>
      </c>
      <c r="D29" s="0" t="n">
        <v>3014901</v>
      </c>
      <c r="E29" s="0" t="s">
        <v>46</v>
      </c>
      <c r="F29" s="21" t="n">
        <v>37196</v>
      </c>
      <c r="G29" s="21"/>
      <c r="H29" s="21"/>
      <c r="I29" s="21" t="s">
        <v>450</v>
      </c>
      <c r="J29" s="0" t="n">
        <f aca="false">IF(ISNA(VLOOKUP(C29,CNGx,2,FALSE())),"na",(VLOOKUP(C29,CNGx,2,FALSE())))</f>
        <v>0</v>
      </c>
      <c r="K29" s="0" t="n">
        <f aca="false">IF(ISNA(VLOOKUP(C29,CNGx,3,0)),0,VLOOKUP(C29,CNGx,3,FALSE()))</f>
        <v>0</v>
      </c>
      <c r="L29" s="29"/>
      <c r="M29" s="30"/>
      <c r="N29" s="30"/>
      <c r="O29" s="30"/>
      <c r="P29" s="30" t="n">
        <f aca="false">K29-ROUND(+$K29*(VLOOKUP($I29,cngded,6,FALSE())),0)</f>
        <v>0</v>
      </c>
      <c r="Q29" s="23" t="str">
        <f aca="false">IF(ISNA(VLOOKUP(C29,INCNG,1,FALSE())),"--","Y")</f>
        <v>Y</v>
      </c>
      <c r="R29" s="23" t="n">
        <f aca="false">IF(ISNA(VLOOKUP(C29,INCNG,10,FALSE())),0,VLOOKUP(C29,INCNG,10,FALSE()))</f>
        <v>0</v>
      </c>
      <c r="S29" s="0" t="n">
        <f aca="false">+K29-R29</f>
        <v>0</v>
      </c>
      <c r="T29" s="31" t="n">
        <f aca="false">+P29-R29</f>
        <v>0</v>
      </c>
      <c r="U29" s="32" t="n">
        <f aca="false">ROUND(+$K29*(VLOOKUP($I29,Retention,2,FALSE())),0)</f>
        <v>0</v>
      </c>
      <c r="V29" s="32" t="n">
        <f aca="false">ROUND(+$K29*(VLOOKUP($I29,Retention,3,FALSE())),0)</f>
        <v>0</v>
      </c>
      <c r="W29" s="32" t="n">
        <f aca="false">ROUND(+$K29*(VLOOKUP($I29,Retention,4,FALSE())),0)</f>
        <v>0</v>
      </c>
      <c r="X29" s="32" t="n">
        <f aca="false">ROUND(+$K29*(VLOOKUP($I29,Retention,5,FALSE())),0)</f>
        <v>0</v>
      </c>
      <c r="Y29" s="31" t="n">
        <f aca="false">SUM(U29:X29)</f>
        <v>0</v>
      </c>
      <c r="AB29" s="33"/>
      <c r="AC29" s="33"/>
    </row>
    <row r="30" customFormat="false" ht="12.75" hidden="false" customHeight="false" outlineLevel="0" collapsed="false">
      <c r="A30" s="0" t="s">
        <v>486</v>
      </c>
      <c r="B30" s="0" t="s">
        <v>273</v>
      </c>
      <c r="C30" s="0" t="s">
        <v>31</v>
      </c>
      <c r="D30" s="0" t="n">
        <v>3015901</v>
      </c>
      <c r="E30" s="0" t="s">
        <v>472</v>
      </c>
      <c r="F30" s="21" t="n">
        <v>37196</v>
      </c>
      <c r="G30" s="21"/>
      <c r="H30" s="21"/>
      <c r="I30" s="21" t="s">
        <v>450</v>
      </c>
      <c r="J30" s="0" t="n">
        <f aca="false">IF(ISNA(VLOOKUP(C30,CNGx,2,FALSE())),"na",(VLOOKUP(C30,CNGx,2,FALSE())))</f>
        <v>762</v>
      </c>
      <c r="K30" s="0" t="n">
        <f aca="false">IF(ISNA(VLOOKUP(C30,CNGx,3,0)),0,VLOOKUP(C30,CNGx,3,FALSE()))</f>
        <v>959</v>
      </c>
      <c r="L30" s="29"/>
      <c r="M30" s="30"/>
      <c r="N30" s="30"/>
      <c r="O30" s="30"/>
      <c r="P30" s="30" t="n">
        <f aca="false">K30-ROUND(+$K30*(VLOOKUP($I30,cngded,6,FALSE())),0)</f>
        <v>832</v>
      </c>
      <c r="Q30" s="23" t="str">
        <f aca="false">IF(ISNA(VLOOKUP(C30,INCNG,1,FALSE())),"--","Y")</f>
        <v>Y</v>
      </c>
      <c r="R30" s="23" t="n">
        <f aca="false">IF(ISNA(VLOOKUP(C30,INCNG,10,FALSE())),0,VLOOKUP(C30,INCNG,10,FALSE()))</f>
        <v>0</v>
      </c>
      <c r="S30" s="0" t="n">
        <f aca="false">+K30-R30</f>
        <v>959</v>
      </c>
      <c r="T30" s="31" t="n">
        <f aca="false">+P30-R30</f>
        <v>832</v>
      </c>
      <c r="U30" s="32" t="n">
        <f aca="false">ROUND(+$K30*(VLOOKUP($I30,Retention,2,FALSE())),0)</f>
        <v>22</v>
      </c>
      <c r="V30" s="32" t="n">
        <f aca="false">ROUND(+$K30*(VLOOKUP($I30,Retention,3,FALSE())),0)</f>
        <v>68</v>
      </c>
      <c r="W30" s="32" t="n">
        <f aca="false">ROUND(+$K30*(VLOOKUP($I30,Retention,4,FALSE())),0)</f>
        <v>29</v>
      </c>
      <c r="X30" s="32" t="n">
        <f aca="false">ROUND(+$K30*(VLOOKUP($I30,Retention,5,FALSE())),0)</f>
        <v>9</v>
      </c>
      <c r="Y30" s="31" t="n">
        <f aca="false">SUM(U30:X30)</f>
        <v>128</v>
      </c>
      <c r="AB30" s="33"/>
      <c r="AC30" s="33"/>
    </row>
    <row r="31" customFormat="false" ht="12.75" hidden="false" customHeight="false" outlineLevel="0" collapsed="false">
      <c r="A31" s="0" t="s">
        <v>486</v>
      </c>
      <c r="B31" s="0" t="s">
        <v>273</v>
      </c>
      <c r="C31" s="0" t="s">
        <v>277</v>
      </c>
      <c r="D31" s="0" t="n">
        <v>3016301</v>
      </c>
      <c r="E31" s="0" t="s">
        <v>278</v>
      </c>
      <c r="F31" s="21" t="n">
        <v>37196</v>
      </c>
      <c r="G31" s="21"/>
      <c r="H31" s="21"/>
      <c r="I31" s="21" t="s">
        <v>450</v>
      </c>
      <c r="J31" s="0" t="n">
        <f aca="false">IF(ISNA(VLOOKUP(C31,CNGx,2,FALSE())),"na",(VLOOKUP(C31,CNGx,2,FALSE())))</f>
        <v>2192</v>
      </c>
      <c r="K31" s="0" t="n">
        <f aca="false">IF(ISNA(VLOOKUP(C31,CNGx,3,0)),0,VLOOKUP(C31,CNGx,3,FALSE()))</f>
        <v>3355</v>
      </c>
      <c r="L31" s="29"/>
      <c r="M31" s="30"/>
      <c r="N31" s="30"/>
      <c r="O31" s="30"/>
      <c r="P31" s="30" t="n">
        <f aca="false">K31-ROUND(+$K31*(VLOOKUP($I31,cngded,6,FALSE())),0)</f>
        <v>2910</v>
      </c>
      <c r="Q31" s="23" t="str">
        <f aca="false">IF(ISNA(VLOOKUP(C31,INCNG,1,FALSE())),"--","Y")</f>
        <v>Y</v>
      </c>
      <c r="R31" s="23" t="n">
        <f aca="false">IF(ISNA(VLOOKUP(C31,INCNG,10,FALSE())),0,VLOOKUP(C31,INCNG,10,FALSE()))</f>
        <v>0</v>
      </c>
      <c r="S31" s="0" t="n">
        <f aca="false">+K31-R31</f>
        <v>3355</v>
      </c>
      <c r="T31" s="31" t="n">
        <f aca="false">+P31-R31</f>
        <v>2910</v>
      </c>
      <c r="U31" s="32" t="n">
        <f aca="false">ROUND(+$K31*(VLOOKUP($I31,Retention,2,FALSE())),0)</f>
        <v>76</v>
      </c>
      <c r="V31" s="32" t="n">
        <f aca="false">ROUND(+$K31*(VLOOKUP($I31,Retention,3,FALSE())),0)</f>
        <v>237</v>
      </c>
      <c r="W31" s="32" t="n">
        <f aca="false">ROUND(+$K31*(VLOOKUP($I31,Retention,4,FALSE())),0)</f>
        <v>101</v>
      </c>
      <c r="X31" s="32" t="n">
        <f aca="false">ROUND(+$K31*(VLOOKUP($I31,Retention,5,FALSE())),0)</f>
        <v>31</v>
      </c>
      <c r="Y31" s="31" t="n">
        <f aca="false">SUM(U31:X31)</f>
        <v>445</v>
      </c>
      <c r="AB31" s="33"/>
      <c r="AC31" s="33"/>
    </row>
    <row r="32" customFormat="false" ht="12.75" hidden="false" customHeight="false" outlineLevel="0" collapsed="false">
      <c r="A32" s="0" t="s">
        <v>486</v>
      </c>
      <c r="B32" s="0" t="s">
        <v>273</v>
      </c>
      <c r="C32" s="0" t="s">
        <v>119</v>
      </c>
      <c r="D32" s="0" t="n">
        <v>3017201</v>
      </c>
      <c r="E32" s="0" t="s">
        <v>120</v>
      </c>
      <c r="F32" s="21" t="n">
        <v>37196</v>
      </c>
      <c r="G32" s="21"/>
      <c r="H32" s="21"/>
      <c r="I32" s="21" t="s">
        <v>450</v>
      </c>
      <c r="J32" s="0" t="n">
        <f aca="false">IF(ISNA(VLOOKUP(C32,CNGx,2,FALSE())),"na",(VLOOKUP(C32,CNGx,2,FALSE())))</f>
        <v>169</v>
      </c>
      <c r="K32" s="0" t="n">
        <f aca="false">IF(ISNA(VLOOKUP(C32,CNGx,3,0)),0,VLOOKUP(C32,CNGx,3,FALSE()))</f>
        <v>208</v>
      </c>
      <c r="L32" s="29"/>
      <c r="M32" s="30"/>
      <c r="N32" s="30"/>
      <c r="O32" s="30"/>
      <c r="P32" s="30" t="n">
        <f aca="false">K32-ROUND(+$K32*(VLOOKUP($I32,cngded,6,FALSE())),0)</f>
        <v>180</v>
      </c>
      <c r="Q32" s="23" t="str">
        <f aca="false">IF(ISNA(VLOOKUP(C32,INCNG,1,FALSE())),"--","Y")</f>
        <v>Y</v>
      </c>
      <c r="R32" s="23" t="n">
        <f aca="false">IF(ISNA(VLOOKUP(C32,INCNG,10,FALSE())),0,VLOOKUP(C32,INCNG,10,FALSE()))</f>
        <v>0</v>
      </c>
      <c r="S32" s="0" t="n">
        <f aca="false">+K32-R32</f>
        <v>208</v>
      </c>
      <c r="T32" s="31" t="n">
        <f aca="false">+P32-R32</f>
        <v>180</v>
      </c>
      <c r="U32" s="32" t="n">
        <f aca="false">ROUND(+$K32*(VLOOKUP($I32,Retention,2,FALSE())),0)</f>
        <v>5</v>
      </c>
      <c r="V32" s="32" t="n">
        <f aca="false">ROUND(+$K32*(VLOOKUP($I32,Retention,3,FALSE())),0)</f>
        <v>15</v>
      </c>
      <c r="W32" s="32" t="n">
        <f aca="false">ROUND(+$K32*(VLOOKUP($I32,Retention,4,FALSE())),0)</f>
        <v>6</v>
      </c>
      <c r="X32" s="32" t="n">
        <f aca="false">ROUND(+$K32*(VLOOKUP($I32,Retention,5,FALSE())),0)</f>
        <v>2</v>
      </c>
      <c r="Y32" s="31" t="n">
        <f aca="false">SUM(U32:X32)</f>
        <v>28</v>
      </c>
      <c r="AB32" s="33"/>
      <c r="AC32" s="33"/>
    </row>
    <row r="33" customFormat="false" ht="12.75" hidden="false" customHeight="false" outlineLevel="0" collapsed="false">
      <c r="A33" s="0" t="s">
        <v>486</v>
      </c>
      <c r="B33" s="0" t="s">
        <v>487</v>
      </c>
      <c r="C33" s="0" t="s">
        <v>52</v>
      </c>
      <c r="D33" s="0" t="n">
        <v>3021701</v>
      </c>
      <c r="E33" s="0" t="s">
        <v>46</v>
      </c>
      <c r="F33" s="21" t="n">
        <v>37196</v>
      </c>
      <c r="G33" s="21"/>
      <c r="H33" s="21"/>
      <c r="I33" s="21" t="s">
        <v>446</v>
      </c>
      <c r="J33" s="0" t="n">
        <f aca="false">IF(ISNA(VLOOKUP(C33,CNGx,2,FALSE())),"na",(VLOOKUP(C33,CNGx,2,FALSE())))</f>
        <v>0</v>
      </c>
      <c r="K33" s="0" t="n">
        <f aca="false">IF(ISNA(VLOOKUP(C33,CNGx,3,0)),0,VLOOKUP(C33,CNGx,3,FALSE()))</f>
        <v>0</v>
      </c>
      <c r="L33" s="29"/>
      <c r="M33" s="30"/>
      <c r="N33" s="30"/>
      <c r="O33" s="30"/>
      <c r="P33" s="30" t="n">
        <f aca="false">K33-ROUND(+$K33*(VLOOKUP($I33,cngded,6,FALSE())),0)</f>
        <v>0</v>
      </c>
      <c r="Q33" s="23" t="str">
        <f aca="false">IF(ISNA(VLOOKUP(C33,INCNG,1,FALSE())),"--","Y")</f>
        <v>Y</v>
      </c>
      <c r="R33" s="23" t="n">
        <f aca="false">IF(ISNA(VLOOKUP(C33,INCNG,10,FALSE())),0,VLOOKUP(C33,INCNG,10,FALSE()))</f>
        <v>0</v>
      </c>
      <c r="S33" s="0" t="n">
        <f aca="false">+K33-R33</f>
        <v>0</v>
      </c>
      <c r="T33" s="31" t="n">
        <f aca="false">+P33-R33</f>
        <v>0</v>
      </c>
      <c r="U33" s="32" t="n">
        <f aca="false">ROUND(+$K33*(VLOOKUP($I33,Retention,2,FALSE())),0)</f>
        <v>0</v>
      </c>
      <c r="V33" s="32" t="n">
        <f aca="false">ROUND(+$K33*(VLOOKUP($I33,Retention,3,FALSE())),0)</f>
        <v>0</v>
      </c>
      <c r="W33" s="32" t="n">
        <f aca="false">ROUND(+$K33*(VLOOKUP($I33,Retention,4,FALSE())),0)</f>
        <v>0</v>
      </c>
      <c r="X33" s="32" t="n">
        <f aca="false">ROUND(+$K33*(VLOOKUP($I33,Retention,5,FALSE())),0)</f>
        <v>0</v>
      </c>
      <c r="Y33" s="31" t="n">
        <f aca="false">SUM(U33:X33)</f>
        <v>0</v>
      </c>
      <c r="AB33" s="33"/>
      <c r="AC33" s="33"/>
    </row>
    <row r="34" customFormat="false" ht="12.75" hidden="false" customHeight="false" outlineLevel="0" collapsed="false">
      <c r="A34" s="0" t="s">
        <v>486</v>
      </c>
      <c r="B34" s="0" t="s">
        <v>487</v>
      </c>
      <c r="C34" s="0" t="s">
        <v>53</v>
      </c>
      <c r="D34" s="0" t="n">
        <v>3023201</v>
      </c>
      <c r="E34" s="0" t="s">
        <v>46</v>
      </c>
      <c r="F34" s="21" t="n">
        <v>37196</v>
      </c>
      <c r="G34" s="21"/>
      <c r="H34" s="21"/>
      <c r="I34" s="21" t="s">
        <v>446</v>
      </c>
      <c r="J34" s="0" t="n">
        <f aca="false">IF(ISNA(VLOOKUP(C34,CNGx,2,FALSE())),"na",(VLOOKUP(C34,CNGx,2,FALSE())))</f>
        <v>0</v>
      </c>
      <c r="K34" s="0" t="n">
        <f aca="false">IF(ISNA(VLOOKUP(C34,CNGx,3,0)),0,VLOOKUP(C34,CNGx,3,FALSE()))</f>
        <v>0</v>
      </c>
      <c r="L34" s="29"/>
      <c r="M34" s="30"/>
      <c r="N34" s="30"/>
      <c r="O34" s="30"/>
      <c r="P34" s="30" t="n">
        <f aca="false">K34-ROUND(+$K34*(VLOOKUP($I34,cngded,6,FALSE())),0)</f>
        <v>0</v>
      </c>
      <c r="Q34" s="23" t="str">
        <f aca="false">IF(ISNA(VLOOKUP(C34,INCNG,1,FALSE())),"--","Y")</f>
        <v>Y</v>
      </c>
      <c r="R34" s="23" t="n">
        <f aca="false">IF(ISNA(VLOOKUP(C34,INCNG,10,FALSE())),0,VLOOKUP(C34,INCNG,10,FALSE()))</f>
        <v>0</v>
      </c>
      <c r="S34" s="0" t="n">
        <f aca="false">+K34-R34</f>
        <v>0</v>
      </c>
      <c r="T34" s="31" t="n">
        <f aca="false">+P34-R34</f>
        <v>0</v>
      </c>
      <c r="U34" s="32" t="n">
        <f aca="false">ROUND(+$K34*(VLOOKUP($I34,Retention,2,FALSE())),0)</f>
        <v>0</v>
      </c>
      <c r="V34" s="32" t="n">
        <f aca="false">ROUND(+$K34*(VLOOKUP($I34,Retention,3,FALSE())),0)</f>
        <v>0</v>
      </c>
      <c r="W34" s="32" t="n">
        <f aca="false">ROUND(+$K34*(VLOOKUP($I34,Retention,4,FALSE())),0)</f>
        <v>0</v>
      </c>
      <c r="X34" s="32" t="n">
        <f aca="false">ROUND(+$K34*(VLOOKUP($I34,Retention,5,FALSE())),0)</f>
        <v>0</v>
      </c>
      <c r="Y34" s="31" t="n">
        <f aca="false">SUM(U34:X34)</f>
        <v>0</v>
      </c>
      <c r="AB34" s="33"/>
      <c r="AC34" s="33"/>
    </row>
    <row r="35" customFormat="false" ht="12.75" hidden="false" customHeight="false" outlineLevel="0" collapsed="false">
      <c r="A35" s="0" t="s">
        <v>486</v>
      </c>
      <c r="B35" s="0" t="s">
        <v>273</v>
      </c>
      <c r="C35" s="0" t="s">
        <v>54</v>
      </c>
      <c r="D35" s="0" t="n">
        <v>3023401</v>
      </c>
      <c r="E35" s="0" t="s">
        <v>46</v>
      </c>
      <c r="F35" s="21" t="n">
        <v>37196</v>
      </c>
      <c r="G35" s="21"/>
      <c r="H35" s="21"/>
      <c r="I35" s="21" t="s">
        <v>450</v>
      </c>
      <c r="J35" s="0" t="str">
        <f aca="false">IF(ISNA(VLOOKUP(C35,CNGx,2,FALSE())),"na",(VLOOKUP(C35,CNGx,2,FALSE())))</f>
        <v>na</v>
      </c>
      <c r="K35" s="0" t="n">
        <f aca="false">IF(ISNA(VLOOKUP(C35,CNGx,3,0)),0,VLOOKUP(C35,CNGx,3,FALSE()))</f>
        <v>0</v>
      </c>
      <c r="L35" s="29"/>
      <c r="M35" s="30"/>
      <c r="N35" s="30"/>
      <c r="O35" s="30"/>
      <c r="P35" s="30" t="n">
        <f aca="false">K35-ROUND(+$K35*(VLOOKUP($I35,cngded,6,FALSE())),0)</f>
        <v>0</v>
      </c>
      <c r="Q35" s="23" t="str">
        <f aca="false">IF(ISNA(VLOOKUP(C35,INCNG,1,FALSE())),"--","Y")</f>
        <v>Y</v>
      </c>
      <c r="R35" s="23" t="n">
        <f aca="false">IF(ISNA(VLOOKUP(C35,INCNG,10,FALSE())),0,VLOOKUP(C35,INCNG,10,FALSE()))</f>
        <v>0</v>
      </c>
      <c r="S35" s="0" t="n">
        <f aca="false">+K35-R35</f>
        <v>0</v>
      </c>
      <c r="T35" s="31" t="n">
        <f aca="false">+P35-R35</f>
        <v>0</v>
      </c>
      <c r="U35" s="32" t="n">
        <f aca="false">ROUND(+$K35*(VLOOKUP($I35,Retention,2,FALSE())),0)</f>
        <v>0</v>
      </c>
      <c r="V35" s="32" t="n">
        <f aca="false">ROUND(+$K35*(VLOOKUP($I35,Retention,3,FALSE())),0)</f>
        <v>0</v>
      </c>
      <c r="W35" s="32" t="n">
        <f aca="false">ROUND(+$K35*(VLOOKUP($I35,Retention,4,FALSE())),0)</f>
        <v>0</v>
      </c>
      <c r="X35" s="32" t="n">
        <f aca="false">ROUND(+$K35*(VLOOKUP($I35,Retention,5,FALSE())),0)</f>
        <v>0</v>
      </c>
      <c r="Y35" s="31" t="n">
        <f aca="false">SUM(U35:X35)</f>
        <v>0</v>
      </c>
      <c r="AB35" s="33"/>
      <c r="AC35" s="33"/>
    </row>
    <row r="36" customFormat="false" ht="12.75" hidden="false" customHeight="false" outlineLevel="0" collapsed="false">
      <c r="A36" s="0" t="s">
        <v>486</v>
      </c>
      <c r="B36" s="0" t="s">
        <v>273</v>
      </c>
      <c r="C36" s="0" t="s">
        <v>55</v>
      </c>
      <c r="D36" s="0" t="n">
        <v>3024701</v>
      </c>
      <c r="E36" s="0" t="s">
        <v>46</v>
      </c>
      <c r="F36" s="21" t="n">
        <v>37196</v>
      </c>
      <c r="G36" s="21"/>
      <c r="H36" s="21"/>
      <c r="I36" s="21" t="s">
        <v>450</v>
      </c>
      <c r="J36" s="0" t="n">
        <f aca="false">IF(ISNA(VLOOKUP(C36,CNGx,2,FALSE())),"na",(VLOOKUP(C36,CNGx,2,FALSE())))</f>
        <v>10</v>
      </c>
      <c r="K36" s="0" t="n">
        <f aca="false">IF(ISNA(VLOOKUP(C36,CNGx,3,0)),0,VLOOKUP(C36,CNGx,3,FALSE()))</f>
        <v>10</v>
      </c>
      <c r="L36" s="29"/>
      <c r="M36" s="30"/>
      <c r="N36" s="30"/>
      <c r="O36" s="30"/>
      <c r="P36" s="30" t="n">
        <f aca="false">K36-ROUND(+$K36*(VLOOKUP($I36,cngded,6,FALSE())),0)</f>
        <v>9</v>
      </c>
      <c r="Q36" s="23" t="str">
        <f aca="false">IF(ISNA(VLOOKUP(C36,INCNG,1,FALSE())),"--","Y")</f>
        <v>Y</v>
      </c>
      <c r="R36" s="23" t="n">
        <f aca="false">IF(ISNA(VLOOKUP(C36,INCNG,10,FALSE())),0,VLOOKUP(C36,INCNG,10,FALSE()))</f>
        <v>0</v>
      </c>
      <c r="S36" s="0" t="n">
        <f aca="false">+K36-R36</f>
        <v>10</v>
      </c>
      <c r="T36" s="31" t="n">
        <f aca="false">+P36-R36</f>
        <v>9</v>
      </c>
      <c r="U36" s="32" t="n">
        <f aca="false">ROUND(+$K36*(VLOOKUP($I36,Retention,2,FALSE())),0)</f>
        <v>0</v>
      </c>
      <c r="V36" s="32" t="n">
        <f aca="false">ROUND(+$K36*(VLOOKUP($I36,Retention,3,FALSE())),0)</f>
        <v>1</v>
      </c>
      <c r="W36" s="32" t="n">
        <f aca="false">ROUND(+$K36*(VLOOKUP($I36,Retention,4,FALSE())),0)</f>
        <v>0</v>
      </c>
      <c r="X36" s="32" t="n">
        <f aca="false">ROUND(+$K36*(VLOOKUP($I36,Retention,5,FALSE())),0)</f>
        <v>0</v>
      </c>
      <c r="Y36" s="31" t="n">
        <f aca="false">SUM(U36:X36)</f>
        <v>1</v>
      </c>
      <c r="AB36" s="33"/>
      <c r="AC36" s="33"/>
    </row>
    <row r="37" customFormat="false" ht="12.75" hidden="false" customHeight="false" outlineLevel="0" collapsed="false">
      <c r="A37" s="0" t="s">
        <v>486</v>
      </c>
      <c r="B37" s="0" t="s">
        <v>273</v>
      </c>
      <c r="C37" s="0" t="s">
        <v>56</v>
      </c>
      <c r="D37" s="0" t="n">
        <v>3024901</v>
      </c>
      <c r="E37" s="0" t="s">
        <v>46</v>
      </c>
      <c r="F37" s="21" t="n">
        <v>37196</v>
      </c>
      <c r="G37" s="21"/>
      <c r="H37" s="21"/>
      <c r="I37" s="21" t="s">
        <v>450</v>
      </c>
      <c r="J37" s="0" t="n">
        <f aca="false">IF(ISNA(VLOOKUP(C37,CNGx,2,FALSE())),"na",(VLOOKUP(C37,CNGx,2,FALSE())))</f>
        <v>0</v>
      </c>
      <c r="K37" s="0" t="n">
        <f aca="false">IF(ISNA(VLOOKUP(C37,CNGx,3,0)),0,VLOOKUP(C37,CNGx,3,FALSE()))</f>
        <v>0</v>
      </c>
      <c r="L37" s="29"/>
      <c r="M37" s="30"/>
      <c r="N37" s="30"/>
      <c r="O37" s="30"/>
      <c r="P37" s="30" t="n">
        <f aca="false">K37-ROUND(+$K37*(VLOOKUP($I37,cngded,6,FALSE())),0)</f>
        <v>0</v>
      </c>
      <c r="Q37" s="23" t="str">
        <f aca="false">IF(ISNA(VLOOKUP(C37,INCNG,1,FALSE())),"--","Y")</f>
        <v>Y</v>
      </c>
      <c r="R37" s="23" t="n">
        <f aca="false">IF(ISNA(VLOOKUP(C37,INCNG,10,FALSE())),0,VLOOKUP(C37,INCNG,10,FALSE()))</f>
        <v>0</v>
      </c>
      <c r="S37" s="0" t="n">
        <f aca="false">+K37-R37</f>
        <v>0</v>
      </c>
      <c r="T37" s="31" t="n">
        <f aca="false">+P37-R37</f>
        <v>0</v>
      </c>
      <c r="U37" s="32" t="n">
        <f aca="false">ROUND(+$K37*(VLOOKUP($I37,Retention,2,FALSE())),0)</f>
        <v>0</v>
      </c>
      <c r="V37" s="32" t="n">
        <f aca="false">ROUND(+$K37*(VLOOKUP($I37,Retention,3,FALSE())),0)</f>
        <v>0</v>
      </c>
      <c r="W37" s="32" t="n">
        <f aca="false">ROUND(+$K37*(VLOOKUP($I37,Retention,4,FALSE())),0)</f>
        <v>0</v>
      </c>
      <c r="X37" s="32" t="n">
        <f aca="false">ROUND(+$K37*(VLOOKUP($I37,Retention,5,FALSE())),0)</f>
        <v>0</v>
      </c>
      <c r="Y37" s="31" t="n">
        <f aca="false">SUM(U37:X37)</f>
        <v>0</v>
      </c>
      <c r="AB37" s="33"/>
      <c r="AC37" s="33"/>
    </row>
    <row r="38" customFormat="false" ht="12.75" hidden="false" customHeight="false" outlineLevel="0" collapsed="false">
      <c r="A38" s="0" t="s">
        <v>486</v>
      </c>
      <c r="B38" s="0" t="s">
        <v>273</v>
      </c>
      <c r="C38" s="0" t="s">
        <v>57</v>
      </c>
      <c r="D38" s="0" t="n">
        <v>3025701</v>
      </c>
      <c r="E38" s="0" t="s">
        <v>46</v>
      </c>
      <c r="F38" s="21" t="n">
        <v>37196</v>
      </c>
      <c r="G38" s="21"/>
      <c r="H38" s="21"/>
      <c r="I38" s="21" t="s">
        <v>450</v>
      </c>
      <c r="J38" s="0" t="n">
        <f aca="false">IF(ISNA(VLOOKUP(C38,CNGx,2,FALSE())),"na",(VLOOKUP(C38,CNGx,2,FALSE())))</f>
        <v>117</v>
      </c>
      <c r="K38" s="0" t="n">
        <f aca="false">IF(ISNA(VLOOKUP(C38,CNGx,3,0)),0,VLOOKUP(C38,CNGx,3,FALSE()))</f>
        <v>131</v>
      </c>
      <c r="L38" s="29"/>
      <c r="M38" s="30"/>
      <c r="N38" s="30"/>
      <c r="O38" s="30"/>
      <c r="P38" s="30" t="n">
        <f aca="false">K38-ROUND(+$K38*(VLOOKUP($I38,cngded,6,FALSE())),0)</f>
        <v>114</v>
      </c>
      <c r="Q38" s="23" t="str">
        <f aca="false">IF(ISNA(VLOOKUP(C38,INCNG,1,FALSE())),"--","Y")</f>
        <v>Y</v>
      </c>
      <c r="R38" s="23" t="n">
        <f aca="false">IF(ISNA(VLOOKUP(C38,INCNG,10,FALSE())),0,VLOOKUP(C38,INCNG,10,FALSE()))</f>
        <v>0</v>
      </c>
      <c r="S38" s="0" t="n">
        <f aca="false">+K38-R38</f>
        <v>131</v>
      </c>
      <c r="T38" s="31" t="n">
        <f aca="false">+P38-R38</f>
        <v>114</v>
      </c>
      <c r="U38" s="32" t="n">
        <f aca="false">ROUND(+$K38*(VLOOKUP($I38,Retention,2,FALSE())),0)</f>
        <v>3</v>
      </c>
      <c r="V38" s="32" t="n">
        <f aca="false">ROUND(+$K38*(VLOOKUP($I38,Retention,3,FALSE())),0)</f>
        <v>9</v>
      </c>
      <c r="W38" s="32" t="n">
        <f aca="false">ROUND(+$K38*(VLOOKUP($I38,Retention,4,FALSE())),0)</f>
        <v>4</v>
      </c>
      <c r="X38" s="32" t="n">
        <f aca="false">ROUND(+$K38*(VLOOKUP($I38,Retention,5,FALSE())),0)</f>
        <v>1</v>
      </c>
      <c r="Y38" s="31" t="n">
        <f aca="false">SUM(U38:X38)</f>
        <v>17</v>
      </c>
      <c r="AB38" s="33"/>
      <c r="AC38" s="33"/>
    </row>
    <row r="39" customFormat="false" ht="12.75" hidden="false" customHeight="false" outlineLevel="0" collapsed="false">
      <c r="A39" s="0" t="s">
        <v>486</v>
      </c>
      <c r="B39" s="0" t="s">
        <v>273</v>
      </c>
      <c r="C39" s="0" t="s">
        <v>58</v>
      </c>
      <c r="D39" s="0" t="n">
        <v>3026101</v>
      </c>
      <c r="E39" s="0" t="s">
        <v>46</v>
      </c>
      <c r="F39" s="21" t="n">
        <v>37196</v>
      </c>
      <c r="G39" s="21"/>
      <c r="H39" s="21"/>
      <c r="I39" s="21" t="s">
        <v>450</v>
      </c>
      <c r="J39" s="0" t="n">
        <f aca="false">IF(ISNA(VLOOKUP(C39,CNGx,2,FALSE())),"na",(VLOOKUP(C39,CNGx,2,FALSE())))</f>
        <v>0</v>
      </c>
      <c r="K39" s="0" t="n">
        <f aca="false">IF(ISNA(VLOOKUP(C39,CNGx,3,0)),0,VLOOKUP(C39,CNGx,3,FALSE()))</f>
        <v>0</v>
      </c>
      <c r="L39" s="29"/>
      <c r="M39" s="30"/>
      <c r="N39" s="30"/>
      <c r="O39" s="30"/>
      <c r="P39" s="30" t="n">
        <f aca="false">K39-ROUND(+$K39*(VLOOKUP($I39,cngded,6,FALSE())),0)</f>
        <v>0</v>
      </c>
      <c r="Q39" s="23" t="str">
        <f aca="false">IF(ISNA(VLOOKUP(C39,INCNG,1,FALSE())),"--","Y")</f>
        <v>Y</v>
      </c>
      <c r="R39" s="23" t="n">
        <f aca="false">IF(ISNA(VLOOKUP(C39,INCNG,10,FALSE())),0,VLOOKUP(C39,INCNG,10,FALSE()))</f>
        <v>0</v>
      </c>
      <c r="S39" s="0" t="n">
        <f aca="false">+K39-R39</f>
        <v>0</v>
      </c>
      <c r="T39" s="31" t="n">
        <f aca="false">+P39-R39</f>
        <v>0</v>
      </c>
      <c r="U39" s="32" t="n">
        <f aca="false">ROUND(+$K39*(VLOOKUP($I39,Retention,2,FALSE())),0)</f>
        <v>0</v>
      </c>
      <c r="V39" s="32" t="n">
        <f aca="false">ROUND(+$K39*(VLOOKUP($I39,Retention,3,FALSE())),0)</f>
        <v>0</v>
      </c>
      <c r="W39" s="32" t="n">
        <f aca="false">ROUND(+$K39*(VLOOKUP($I39,Retention,4,FALSE())),0)</f>
        <v>0</v>
      </c>
      <c r="X39" s="32" t="n">
        <f aca="false">ROUND(+$K39*(VLOOKUP($I39,Retention,5,FALSE())),0)</f>
        <v>0</v>
      </c>
      <c r="Y39" s="31" t="n">
        <f aca="false">SUM(U39:X39)</f>
        <v>0</v>
      </c>
      <c r="AB39" s="33"/>
      <c r="AC39" s="33"/>
    </row>
    <row r="40" customFormat="false" ht="12.75" hidden="false" customHeight="false" outlineLevel="0" collapsed="false">
      <c r="A40" s="0" t="s">
        <v>486</v>
      </c>
      <c r="B40" s="0" t="s">
        <v>273</v>
      </c>
      <c r="C40" s="0" t="s">
        <v>59</v>
      </c>
      <c r="D40" s="0" t="n">
        <v>3026401</v>
      </c>
      <c r="E40" s="0" t="s">
        <v>46</v>
      </c>
      <c r="F40" s="21" t="n">
        <v>37196</v>
      </c>
      <c r="G40" s="21"/>
      <c r="H40" s="21"/>
      <c r="I40" s="21" t="s">
        <v>450</v>
      </c>
      <c r="J40" s="0" t="n">
        <f aca="false">IF(ISNA(VLOOKUP(C40,CNGx,2,FALSE())),"na",(VLOOKUP(C40,CNGx,2,FALSE())))</f>
        <v>0</v>
      </c>
      <c r="K40" s="0" t="n">
        <f aca="false">IF(ISNA(VLOOKUP(C40,CNGx,3,0)),0,VLOOKUP(C40,CNGx,3,FALSE()))</f>
        <v>0</v>
      </c>
      <c r="L40" s="29"/>
      <c r="M40" s="30"/>
      <c r="N40" s="30"/>
      <c r="O40" s="30"/>
      <c r="P40" s="30" t="n">
        <f aca="false">K40-ROUND(+$K40*(VLOOKUP($I40,cngded,6,FALSE())),0)</f>
        <v>0</v>
      </c>
      <c r="Q40" s="23" t="str">
        <f aca="false">IF(ISNA(VLOOKUP(C40,INCNG,1,FALSE())),"--","Y")</f>
        <v>Y</v>
      </c>
      <c r="R40" s="23" t="n">
        <f aca="false">IF(ISNA(VLOOKUP(C40,INCNG,10,FALSE())),0,VLOOKUP(C40,INCNG,10,FALSE()))</f>
        <v>0</v>
      </c>
      <c r="S40" s="0" t="n">
        <f aca="false">+K40-R40</f>
        <v>0</v>
      </c>
      <c r="T40" s="31" t="n">
        <f aca="false">+P40-R40</f>
        <v>0</v>
      </c>
      <c r="U40" s="32" t="n">
        <f aca="false">ROUND(+$K40*(VLOOKUP($I40,Retention,2,FALSE())),0)</f>
        <v>0</v>
      </c>
      <c r="V40" s="32" t="n">
        <f aca="false">ROUND(+$K40*(VLOOKUP($I40,Retention,3,FALSE())),0)</f>
        <v>0</v>
      </c>
      <c r="W40" s="32" t="n">
        <f aca="false">ROUND(+$K40*(VLOOKUP($I40,Retention,4,FALSE())),0)</f>
        <v>0</v>
      </c>
      <c r="X40" s="32" t="n">
        <f aca="false">ROUND(+$K40*(VLOOKUP($I40,Retention,5,FALSE())),0)</f>
        <v>0</v>
      </c>
      <c r="Y40" s="31" t="n">
        <f aca="false">SUM(U40:X40)</f>
        <v>0</v>
      </c>
      <c r="AB40" s="33"/>
      <c r="AC40" s="33"/>
    </row>
    <row r="41" customFormat="false" ht="12.75" hidden="false" customHeight="false" outlineLevel="0" collapsed="false">
      <c r="A41" s="0" t="s">
        <v>486</v>
      </c>
      <c r="B41" s="0" t="s">
        <v>273</v>
      </c>
      <c r="C41" s="0" t="s">
        <v>60</v>
      </c>
      <c r="D41" s="0" t="n">
        <v>3026601</v>
      </c>
      <c r="E41" s="0" t="s">
        <v>46</v>
      </c>
      <c r="F41" s="21" t="n">
        <v>37196</v>
      </c>
      <c r="G41" s="21"/>
      <c r="H41" s="21"/>
      <c r="I41" s="21" t="s">
        <v>450</v>
      </c>
      <c r="J41" s="0" t="n">
        <f aca="false">IF(ISNA(VLOOKUP(C41,CNGx,2,FALSE())),"na",(VLOOKUP(C41,CNGx,2,FALSE())))</f>
        <v>0</v>
      </c>
      <c r="K41" s="0" t="n">
        <f aca="false">IF(ISNA(VLOOKUP(C41,CNGx,3,0)),0,VLOOKUP(C41,CNGx,3,FALSE()))</f>
        <v>0</v>
      </c>
      <c r="L41" s="29" t="n">
        <f aca="false">VLOOKUP(I41,Retention,2,FALSE())</f>
        <v>0.0228</v>
      </c>
      <c r="M41" s="30" t="n">
        <f aca="false">IF(OR(I41="TD",I41="TW"),0,J41*0.0228)</f>
        <v>0</v>
      </c>
      <c r="N41" s="30" t="n">
        <f aca="false">IF(OR(I41="TD",I41="TW"),0,K41*0.0228)</f>
        <v>0</v>
      </c>
      <c r="O41" s="30" t="n">
        <f aca="false">J41-ROUND(+$J41*(VLOOKUP($I41,cngded,6,FALSE())),0)</f>
        <v>0</v>
      </c>
      <c r="P41" s="30" t="n">
        <f aca="false">K41-ROUND(+$K41*(VLOOKUP($I41,cngded,6,FALSE())),0)</f>
        <v>0</v>
      </c>
      <c r="Q41" s="23" t="str">
        <f aca="false">IF(ISNA(VLOOKUP(C41,INCNG,1,FALSE())),"--","Y")</f>
        <v>Y</v>
      </c>
      <c r="R41" s="23" t="n">
        <f aca="false">IF(ISNA(VLOOKUP(C41,INCNG,10,FALSE())),0,VLOOKUP(C41,INCNG,10,FALSE()))</f>
        <v>0</v>
      </c>
      <c r="S41" s="0" t="n">
        <f aca="false">+K41-R41</f>
        <v>0</v>
      </c>
      <c r="T41" s="31" t="n">
        <f aca="false">+P41-R41</f>
        <v>0</v>
      </c>
      <c r="U41" s="32" t="n">
        <f aca="false">ROUND(+$K41*(VLOOKUP($I41,Retention,2,FALSE())),0)</f>
        <v>0</v>
      </c>
      <c r="V41" s="32" t="n">
        <f aca="false">ROUND(+$K41*(VLOOKUP($I41,Retention,3,FALSE())),0)</f>
        <v>0</v>
      </c>
      <c r="W41" s="32" t="n">
        <f aca="false">ROUND(+$K41*(VLOOKUP($I41,Retention,4,FALSE())),0)</f>
        <v>0</v>
      </c>
      <c r="X41" s="32" t="n">
        <f aca="false">ROUND(+$K41*(VLOOKUP($I41,Retention,5,FALSE())),0)</f>
        <v>0</v>
      </c>
      <c r="Y41" s="31" t="n">
        <f aca="false">SUM(U41:X41)</f>
        <v>0</v>
      </c>
      <c r="AB41" s="33"/>
      <c r="AC41" s="33"/>
      <c r="AD41" s="0" t="e">
        <f aca="false">VLOOKUP(AB41,INCNG,3,FALSE())</f>
        <v>#N/A</v>
      </c>
    </row>
    <row r="42" customFormat="false" ht="12.75" hidden="false" customHeight="false" outlineLevel="0" collapsed="false">
      <c r="A42" s="0" t="s">
        <v>486</v>
      </c>
      <c r="B42" s="0" t="s">
        <v>273</v>
      </c>
      <c r="C42" s="0" t="s">
        <v>61</v>
      </c>
      <c r="D42" s="0" t="n">
        <v>3029601</v>
      </c>
      <c r="E42" s="0" t="s">
        <v>46</v>
      </c>
      <c r="F42" s="21" t="n">
        <v>37196</v>
      </c>
      <c r="G42" s="21"/>
      <c r="H42" s="21"/>
      <c r="I42" s="21" t="s">
        <v>450</v>
      </c>
      <c r="J42" s="0" t="n">
        <f aca="false">IF(ISNA(VLOOKUP(C42,CNGx,2,FALSE())),"na",(VLOOKUP(C42,CNGx,2,FALSE())))</f>
        <v>0</v>
      </c>
      <c r="K42" s="0" t="n">
        <f aca="false">IF(ISNA(VLOOKUP(C42,CNGx,3,0)),0,VLOOKUP(C42,CNGx,3,FALSE()))</f>
        <v>0</v>
      </c>
      <c r="L42" s="29" t="n">
        <f aca="false">VLOOKUP(I42,Retention,2,FALSE())</f>
        <v>0.0228</v>
      </c>
      <c r="M42" s="30" t="n">
        <f aca="false">IF(OR(I42="TD",I42="TW"),0,J42*0.0228)</f>
        <v>0</v>
      </c>
      <c r="N42" s="30" t="n">
        <f aca="false">IF(OR(I42="TD",I42="TW"),0,K42*0.0228)</f>
        <v>0</v>
      </c>
      <c r="O42" s="30" t="n">
        <f aca="false">J42-ROUND(+$J42*(VLOOKUP($I42,cngded,6,FALSE())),0)</f>
        <v>0</v>
      </c>
      <c r="P42" s="30" t="n">
        <f aca="false">K42-ROUND(+$K42*(VLOOKUP($I42,cngded,6,FALSE())),0)</f>
        <v>0</v>
      </c>
      <c r="Q42" s="23" t="str">
        <f aca="false">IF(ISNA(VLOOKUP(C42,INCNG,1,FALSE())),"--","Y")</f>
        <v>Y</v>
      </c>
      <c r="R42" s="23" t="n">
        <f aca="false">IF(ISNA(VLOOKUP(C42,INCNG,10,FALSE())),0,VLOOKUP(C42,INCNG,10,FALSE()))</f>
        <v>0</v>
      </c>
      <c r="S42" s="0" t="n">
        <f aca="false">+K42-R42</f>
        <v>0</v>
      </c>
      <c r="T42" s="31" t="n">
        <f aca="false">+P42-R42</f>
        <v>0</v>
      </c>
      <c r="U42" s="32" t="n">
        <f aca="false">ROUND(+$K42*(VLOOKUP($I42,Retention,2,FALSE())),0)</f>
        <v>0</v>
      </c>
      <c r="V42" s="32" t="n">
        <f aca="false">ROUND(+$K42*(VLOOKUP($I42,Retention,3,FALSE())),0)</f>
        <v>0</v>
      </c>
      <c r="W42" s="32" t="n">
        <f aca="false">ROUND(+$K42*(VLOOKUP($I42,Retention,4,FALSE())),0)</f>
        <v>0</v>
      </c>
      <c r="X42" s="32" t="n">
        <f aca="false">ROUND(+$K42*(VLOOKUP($I42,Retention,5,FALSE())),0)</f>
        <v>0</v>
      </c>
      <c r="Y42" s="31" t="n">
        <f aca="false">SUM(U42:X42)</f>
        <v>0</v>
      </c>
      <c r="AB42" s="33"/>
      <c r="AC42" s="33"/>
      <c r="AD42" s="0" t="e">
        <f aca="false">VLOOKUP(AB42,INCNG,3,FALSE())</f>
        <v>#N/A</v>
      </c>
    </row>
    <row r="43" customFormat="false" ht="12.75" hidden="false" customHeight="false" outlineLevel="0" collapsed="false">
      <c r="A43" s="0" t="s">
        <v>486</v>
      </c>
      <c r="B43" s="0" t="s">
        <v>273</v>
      </c>
      <c r="C43" s="0" t="s">
        <v>62</v>
      </c>
      <c r="D43" s="0" t="n">
        <v>3029801</v>
      </c>
      <c r="E43" s="0" t="s">
        <v>46</v>
      </c>
      <c r="F43" s="21" t="n">
        <v>37196</v>
      </c>
      <c r="G43" s="21"/>
      <c r="H43" s="21"/>
      <c r="I43" s="21" t="s">
        <v>450</v>
      </c>
      <c r="J43" s="0" t="n">
        <f aca="false">IF(ISNA(VLOOKUP(C43,CNGx,2,FALSE())),"na",(VLOOKUP(C43,CNGx,2,FALSE())))</f>
        <v>0</v>
      </c>
      <c r="K43" s="0" t="n">
        <f aca="false">IF(ISNA(VLOOKUP(C43,CNGx,3,0)),0,VLOOKUP(C43,CNGx,3,FALSE()))</f>
        <v>0</v>
      </c>
      <c r="L43" s="29" t="n">
        <f aca="false">VLOOKUP(I43,Retention,2,FALSE())</f>
        <v>0.0228</v>
      </c>
      <c r="M43" s="30" t="n">
        <f aca="false">IF(OR(I43="TD",I43="TW"),0,J43*0.0228)</f>
        <v>0</v>
      </c>
      <c r="N43" s="30" t="n">
        <f aca="false">IF(OR(I43="TD",I43="TW"),0,K43*0.0228)</f>
        <v>0</v>
      </c>
      <c r="O43" s="30" t="n">
        <f aca="false">J43-ROUND(+$J43*(VLOOKUP($I43,cngded,6,FALSE())),0)</f>
        <v>0</v>
      </c>
      <c r="P43" s="30" t="n">
        <f aca="false">K43-ROUND(+$K43*(VLOOKUP($I43,cngded,6,FALSE())),0)</f>
        <v>0</v>
      </c>
      <c r="Q43" s="23" t="str">
        <f aca="false">IF(ISNA(VLOOKUP(C43,INCNG,1,FALSE())),"--","Y")</f>
        <v>Y</v>
      </c>
      <c r="R43" s="23" t="n">
        <f aca="false">IF(ISNA(VLOOKUP(C43,INCNG,10,FALSE())),0,VLOOKUP(C43,INCNG,10,FALSE()))</f>
        <v>0</v>
      </c>
      <c r="S43" s="0" t="n">
        <f aca="false">+K43-R43</f>
        <v>0</v>
      </c>
      <c r="T43" s="31" t="n">
        <f aca="false">+P43-R43</f>
        <v>0</v>
      </c>
      <c r="U43" s="32" t="n">
        <f aca="false">ROUND(+$K43*(VLOOKUP($I43,Retention,2,FALSE())),0)</f>
        <v>0</v>
      </c>
      <c r="V43" s="32" t="n">
        <f aca="false">ROUND(+$K43*(VLOOKUP($I43,Retention,3,FALSE())),0)</f>
        <v>0</v>
      </c>
      <c r="W43" s="32" t="n">
        <f aca="false">ROUND(+$K43*(VLOOKUP($I43,Retention,4,FALSE())),0)</f>
        <v>0</v>
      </c>
      <c r="X43" s="32" t="n">
        <f aca="false">ROUND(+$K43*(VLOOKUP($I43,Retention,5,FALSE())),0)</f>
        <v>0</v>
      </c>
      <c r="Y43" s="31" t="n">
        <f aca="false">SUM(U43:X43)</f>
        <v>0</v>
      </c>
      <c r="AB43" s="33"/>
      <c r="AC43" s="33"/>
      <c r="AD43" s="0" t="e">
        <f aca="false">VLOOKUP(AB43,INCNG,3,FALSE())</f>
        <v>#N/A</v>
      </c>
    </row>
    <row r="44" customFormat="false" ht="12.75" hidden="false" customHeight="false" outlineLevel="0" collapsed="false">
      <c r="A44" s="0" t="s">
        <v>486</v>
      </c>
      <c r="B44" s="0" t="s">
        <v>273</v>
      </c>
      <c r="C44" s="0" t="s">
        <v>63</v>
      </c>
      <c r="D44" s="0" t="n">
        <v>3031301</v>
      </c>
      <c r="E44" s="0" t="s">
        <v>46</v>
      </c>
      <c r="F44" s="21" t="n">
        <v>37196</v>
      </c>
      <c r="G44" s="21"/>
      <c r="H44" s="21"/>
      <c r="I44" s="21" t="s">
        <v>450</v>
      </c>
      <c r="J44" s="0" t="n">
        <f aca="false">IF(ISNA(VLOOKUP(C44,CNGx,2,FALSE())),"na",(VLOOKUP(C44,CNGx,2,FALSE())))</f>
        <v>281</v>
      </c>
      <c r="K44" s="0" t="n">
        <f aca="false">IF(ISNA(VLOOKUP(C44,CNGx,3,0)),0,VLOOKUP(C44,CNGx,3,FALSE()))</f>
        <v>311</v>
      </c>
      <c r="L44" s="29" t="n">
        <f aca="false">VLOOKUP(I44,Retention,2,FALSE())</f>
        <v>0.0228</v>
      </c>
      <c r="M44" s="30" t="n">
        <f aca="false">IF(OR(I44="TD",I44="TW"),0,J44*0.0228)</f>
        <v>6.4068</v>
      </c>
      <c r="N44" s="30" t="n">
        <f aca="false">IF(OR(I44="TD",I44="TW"),0,K44*0.0228)</f>
        <v>7.0908</v>
      </c>
      <c r="O44" s="30" t="n">
        <f aca="false">J44-ROUND(+$J44*(VLOOKUP($I44,cngded,6,FALSE())),0)</f>
        <v>244</v>
      </c>
      <c r="P44" s="30" t="n">
        <f aca="false">K44-ROUND(+$K44*(VLOOKUP($I44,cngded,6,FALSE())),0)</f>
        <v>270</v>
      </c>
      <c r="Q44" s="23" t="str">
        <f aca="false">IF(ISNA(VLOOKUP(C44,INCNG,1,FALSE())),"--","Y")</f>
        <v>Y</v>
      </c>
      <c r="R44" s="23" t="n">
        <f aca="false">IF(ISNA(VLOOKUP(C44,INCNG,10,FALSE())),0,VLOOKUP(C44,INCNG,10,FALSE()))</f>
        <v>244</v>
      </c>
      <c r="S44" s="0" t="n">
        <f aca="false">+K44-R44</f>
        <v>67</v>
      </c>
      <c r="T44" s="31" t="n">
        <f aca="false">+P44-R44</f>
        <v>26</v>
      </c>
      <c r="U44" s="32" t="n">
        <f aca="false">ROUND(+$K44*(VLOOKUP($I44,Retention,2,FALSE())),0)</f>
        <v>7</v>
      </c>
      <c r="V44" s="32" t="n">
        <f aca="false">ROUND(+$K44*(VLOOKUP($I44,Retention,3,FALSE())),0)</f>
        <v>22</v>
      </c>
      <c r="W44" s="32" t="n">
        <f aca="false">ROUND(+$K44*(VLOOKUP($I44,Retention,4,FALSE())),0)</f>
        <v>9</v>
      </c>
      <c r="X44" s="32" t="n">
        <f aca="false">ROUND(+$K44*(VLOOKUP($I44,Retention,5,FALSE())),0)</f>
        <v>3</v>
      </c>
      <c r="Y44" s="31" t="n">
        <f aca="false">SUM(U44:X44)</f>
        <v>41</v>
      </c>
      <c r="AB44" s="33"/>
      <c r="AC44" s="33"/>
      <c r="AD44" s="0" t="e">
        <f aca="false">VLOOKUP(AB44,INCNG,3,FALSE())</f>
        <v>#N/A</v>
      </c>
    </row>
    <row r="45" customFormat="false" ht="12.75" hidden="false" customHeight="false" outlineLevel="0" collapsed="false">
      <c r="A45" s="0" t="s">
        <v>486</v>
      </c>
      <c r="B45" s="0" t="s">
        <v>273</v>
      </c>
      <c r="C45" s="0" t="s">
        <v>64</v>
      </c>
      <c r="D45" s="0" t="n">
        <v>3031701</v>
      </c>
      <c r="E45" s="0" t="s">
        <v>46</v>
      </c>
      <c r="F45" s="21" t="n">
        <v>37196</v>
      </c>
      <c r="G45" s="21"/>
      <c r="H45" s="21"/>
      <c r="I45" s="21" t="s">
        <v>450</v>
      </c>
      <c r="J45" s="0" t="n">
        <f aca="false">IF(ISNA(VLOOKUP(C45,CNGx,2,FALSE())),"na",(VLOOKUP(C45,CNGx,2,FALSE())))</f>
        <v>0</v>
      </c>
      <c r="K45" s="0" t="n">
        <f aca="false">IF(ISNA(VLOOKUP(C45,CNGx,3,0)),0,VLOOKUP(C45,CNGx,3,FALSE()))</f>
        <v>0</v>
      </c>
      <c r="L45" s="29" t="n">
        <f aca="false">VLOOKUP(I45,Retention,2,FALSE())</f>
        <v>0.0228</v>
      </c>
      <c r="M45" s="30" t="n">
        <f aca="false">IF(OR(I45="TD",I45="TW"),0,J45*0.0228)</f>
        <v>0</v>
      </c>
      <c r="N45" s="30" t="n">
        <f aca="false">IF(OR(I45="TD",I45="TW"),0,K45*0.0228)</f>
        <v>0</v>
      </c>
      <c r="O45" s="30" t="n">
        <f aca="false">J45-ROUND(+$J45*(VLOOKUP($I45,cngded,6,FALSE())),0)</f>
        <v>0</v>
      </c>
      <c r="P45" s="30" t="n">
        <f aca="false">K45-ROUND(+$K45*(VLOOKUP($I45,cngded,6,FALSE())),0)</f>
        <v>0</v>
      </c>
      <c r="Q45" s="23" t="str">
        <f aca="false">IF(ISNA(VLOOKUP(C45,INCNG,1,FALSE())),"--","Y")</f>
        <v>Y</v>
      </c>
      <c r="R45" s="23" t="n">
        <f aca="false">IF(ISNA(VLOOKUP(C45,INCNG,10,FALSE())),0,VLOOKUP(C45,INCNG,10,FALSE()))</f>
        <v>0</v>
      </c>
      <c r="S45" s="0" t="n">
        <f aca="false">+K45-R45</f>
        <v>0</v>
      </c>
      <c r="T45" s="31" t="n">
        <f aca="false">+P45-R45</f>
        <v>0</v>
      </c>
      <c r="U45" s="32" t="n">
        <f aca="false">ROUND(+$K45*(VLOOKUP($I45,Retention,2,FALSE())),0)</f>
        <v>0</v>
      </c>
      <c r="V45" s="32" t="n">
        <f aca="false">ROUND(+$K45*(VLOOKUP($I45,Retention,3,FALSE())),0)</f>
        <v>0</v>
      </c>
      <c r="W45" s="32" t="n">
        <f aca="false">ROUND(+$K45*(VLOOKUP($I45,Retention,4,FALSE())),0)</f>
        <v>0</v>
      </c>
      <c r="X45" s="32" t="n">
        <f aca="false">ROUND(+$K45*(VLOOKUP($I45,Retention,5,FALSE())),0)</f>
        <v>0</v>
      </c>
      <c r="Y45" s="31" t="n">
        <f aca="false">SUM(U45:X45)</f>
        <v>0</v>
      </c>
      <c r="AB45" s="33"/>
      <c r="AC45" s="33"/>
      <c r="AD45" s="0" t="e">
        <f aca="false">VLOOKUP(AB45,INCNG,3,FALSE())</f>
        <v>#N/A</v>
      </c>
    </row>
    <row r="46" customFormat="false" ht="12.75" hidden="false" customHeight="false" outlineLevel="0" collapsed="false">
      <c r="A46" s="0" t="s">
        <v>486</v>
      </c>
      <c r="B46" s="0" t="s">
        <v>273</v>
      </c>
      <c r="C46" s="0" t="s">
        <v>65</v>
      </c>
      <c r="D46" s="0" t="n">
        <v>3033601</v>
      </c>
      <c r="E46" s="0" t="s">
        <v>46</v>
      </c>
      <c r="F46" s="21" t="n">
        <v>37196</v>
      </c>
      <c r="G46" s="21"/>
      <c r="H46" s="21"/>
      <c r="I46" s="21" t="s">
        <v>450</v>
      </c>
      <c r="J46" s="0" t="n">
        <f aca="false">IF(ISNA(VLOOKUP(C46,CNGx,2,FALSE())),"na",(VLOOKUP(C46,CNGx,2,FALSE())))</f>
        <v>0</v>
      </c>
      <c r="K46" s="0" t="n">
        <f aca="false">IF(ISNA(VLOOKUP(C46,CNGx,3,0)),0,VLOOKUP(C46,CNGx,3,FALSE()))</f>
        <v>0</v>
      </c>
      <c r="L46" s="29" t="n">
        <f aca="false">VLOOKUP(I46,Retention,2,FALSE())</f>
        <v>0.0228</v>
      </c>
      <c r="M46" s="30" t="n">
        <f aca="false">IF(OR(I46="TD",I46="TW"),0,J46*0.0228)</f>
        <v>0</v>
      </c>
      <c r="N46" s="30" t="n">
        <f aca="false">IF(OR(I46="TD",I46="TW"),0,K46*0.0228)</f>
        <v>0</v>
      </c>
      <c r="O46" s="30" t="n">
        <f aca="false">J46-ROUND(+$J46*(VLOOKUP($I46,cngded,6,FALSE())),0)</f>
        <v>0</v>
      </c>
      <c r="P46" s="30" t="n">
        <f aca="false">K46-ROUND(+$K46*(VLOOKUP($I46,cngded,6,FALSE())),0)</f>
        <v>0</v>
      </c>
      <c r="Q46" s="23" t="str">
        <f aca="false">IF(ISNA(VLOOKUP(C46,INCNG,1,FALSE())),"--","Y")</f>
        <v>Y</v>
      </c>
      <c r="R46" s="23" t="n">
        <f aca="false">IF(ISNA(VLOOKUP(C46,INCNG,10,FALSE())),0,VLOOKUP(C46,INCNG,10,FALSE()))</f>
        <v>0</v>
      </c>
      <c r="S46" s="0" t="n">
        <f aca="false">+K46-R46</f>
        <v>0</v>
      </c>
      <c r="T46" s="31" t="n">
        <f aca="false">+P46-R46</f>
        <v>0</v>
      </c>
      <c r="U46" s="32" t="n">
        <f aca="false">ROUND(+$K46*(VLOOKUP($I46,Retention,2,FALSE())),0)</f>
        <v>0</v>
      </c>
      <c r="V46" s="32" t="n">
        <f aca="false">ROUND(+$K46*(VLOOKUP($I46,Retention,3,FALSE())),0)</f>
        <v>0</v>
      </c>
      <c r="W46" s="32" t="n">
        <f aca="false">ROUND(+$K46*(VLOOKUP($I46,Retention,4,FALSE())),0)</f>
        <v>0</v>
      </c>
      <c r="X46" s="32" t="n">
        <f aca="false">ROUND(+$K46*(VLOOKUP($I46,Retention,5,FALSE())),0)</f>
        <v>0</v>
      </c>
      <c r="Y46" s="31" t="n">
        <f aca="false">SUM(U46:X46)</f>
        <v>0</v>
      </c>
      <c r="AB46" s="33"/>
      <c r="AC46" s="33"/>
      <c r="AD46" s="0" t="e">
        <f aca="false">VLOOKUP(AB46,INCNG,3,FALSE())</f>
        <v>#N/A</v>
      </c>
    </row>
    <row r="47" customFormat="false" ht="12.75" hidden="false" customHeight="false" outlineLevel="0" collapsed="false">
      <c r="A47" s="0" t="s">
        <v>486</v>
      </c>
      <c r="B47" s="0" t="s">
        <v>273</v>
      </c>
      <c r="C47" s="0" t="s">
        <v>66</v>
      </c>
      <c r="D47" s="0" t="n">
        <v>3034501</v>
      </c>
      <c r="E47" s="0" t="s">
        <v>46</v>
      </c>
      <c r="F47" s="21" t="n">
        <v>37196</v>
      </c>
      <c r="G47" s="21"/>
      <c r="H47" s="21"/>
      <c r="I47" s="21" t="s">
        <v>450</v>
      </c>
      <c r="J47" s="0" t="n">
        <f aca="false">IF(ISNA(VLOOKUP(C47,CNGx,2,FALSE())),"na",(VLOOKUP(C47,CNGx,2,FALSE())))</f>
        <v>0</v>
      </c>
      <c r="K47" s="0" t="n">
        <f aca="false">IF(ISNA(VLOOKUP(C47,CNGx,3,0)),0,VLOOKUP(C47,CNGx,3,FALSE()))</f>
        <v>0</v>
      </c>
      <c r="L47" s="29" t="n">
        <f aca="false">VLOOKUP(I47,Retention,2,FALSE())</f>
        <v>0.0228</v>
      </c>
      <c r="M47" s="30" t="n">
        <f aca="false">IF(OR(I47="TD",I47="TW"),0,J47*0.0228)</f>
        <v>0</v>
      </c>
      <c r="N47" s="30" t="n">
        <f aca="false">IF(OR(I47="TD",I47="TW"),0,K47*0.0228)</f>
        <v>0</v>
      </c>
      <c r="O47" s="30" t="n">
        <f aca="false">J47-ROUND(+$J47*(VLOOKUP($I47,cngded,6,FALSE())),0)</f>
        <v>0</v>
      </c>
      <c r="P47" s="30" t="n">
        <f aca="false">K47-ROUND(+$K47*(VLOOKUP($I47,cngded,6,FALSE())),0)</f>
        <v>0</v>
      </c>
      <c r="Q47" s="23" t="str">
        <f aca="false">IF(ISNA(VLOOKUP(C47,INCNG,1,FALSE())),"--","Y")</f>
        <v>Y</v>
      </c>
      <c r="R47" s="23" t="n">
        <f aca="false">IF(ISNA(VLOOKUP(C47,INCNG,10,FALSE())),0,VLOOKUP(C47,INCNG,10,FALSE()))</f>
        <v>0</v>
      </c>
      <c r="S47" s="0" t="n">
        <f aca="false">+K47-R47</f>
        <v>0</v>
      </c>
      <c r="T47" s="31" t="n">
        <f aca="false">+P47-R47</f>
        <v>0</v>
      </c>
      <c r="U47" s="32" t="n">
        <f aca="false">ROUND(+$K47*(VLOOKUP($I47,Retention,2,FALSE())),0)</f>
        <v>0</v>
      </c>
      <c r="V47" s="32" t="n">
        <f aca="false">ROUND(+$K47*(VLOOKUP($I47,Retention,3,FALSE())),0)</f>
        <v>0</v>
      </c>
      <c r="W47" s="32" t="n">
        <f aca="false">ROUND(+$K47*(VLOOKUP($I47,Retention,4,FALSE())),0)</f>
        <v>0</v>
      </c>
      <c r="X47" s="32" t="n">
        <f aca="false">ROUND(+$K47*(VLOOKUP($I47,Retention,5,FALSE())),0)</f>
        <v>0</v>
      </c>
      <c r="Y47" s="31" t="n">
        <f aca="false">SUM(U47:X47)</f>
        <v>0</v>
      </c>
      <c r="AB47" s="33"/>
      <c r="AC47" s="33"/>
      <c r="AD47" s="0" t="e">
        <f aca="false">VLOOKUP(AB47,INCNG,3,FALSE())</f>
        <v>#N/A</v>
      </c>
    </row>
    <row r="48" customFormat="false" ht="12.75" hidden="false" customHeight="false" outlineLevel="0" collapsed="false">
      <c r="A48" s="0" t="s">
        <v>486</v>
      </c>
      <c r="B48" s="0" t="s">
        <v>273</v>
      </c>
      <c r="C48" s="0" t="s">
        <v>67</v>
      </c>
      <c r="D48" s="0" t="n">
        <v>3038001</v>
      </c>
      <c r="E48" s="0" t="s">
        <v>46</v>
      </c>
      <c r="F48" s="21" t="n">
        <v>37196</v>
      </c>
      <c r="G48" s="21"/>
      <c r="H48" s="21"/>
      <c r="I48" s="21" t="s">
        <v>450</v>
      </c>
      <c r="J48" s="0" t="n">
        <f aca="false">IF(ISNA(VLOOKUP(C48,CNGx,2,FALSE())),"na",(VLOOKUP(C48,CNGx,2,FALSE())))</f>
        <v>0</v>
      </c>
      <c r="K48" s="0" t="n">
        <f aca="false">IF(ISNA(VLOOKUP(C48,CNGx,3,0)),0,VLOOKUP(C48,CNGx,3,FALSE()))</f>
        <v>0</v>
      </c>
      <c r="L48" s="29" t="n">
        <f aca="false">VLOOKUP(I48,Retention,2,FALSE())</f>
        <v>0.0228</v>
      </c>
      <c r="M48" s="30" t="n">
        <f aca="false">IF(OR(I48="TD",I48="TW"),0,J48*0.0228)</f>
        <v>0</v>
      </c>
      <c r="N48" s="30" t="n">
        <f aca="false">IF(OR(I48="TD",I48="TW"),0,K48*0.0228)</f>
        <v>0</v>
      </c>
      <c r="O48" s="30" t="n">
        <f aca="false">J48-ROUND(+$J48*(VLOOKUP($I48,cngded,6,FALSE())),0)</f>
        <v>0</v>
      </c>
      <c r="P48" s="30" t="n">
        <f aca="false">K48-ROUND(+$K48*(VLOOKUP($I48,cngded,6,FALSE())),0)</f>
        <v>0</v>
      </c>
      <c r="Q48" s="23" t="str">
        <f aca="false">IF(ISNA(VLOOKUP(C48,INCNG,1,FALSE())),"--","Y")</f>
        <v>Y</v>
      </c>
      <c r="R48" s="23" t="n">
        <f aca="false">IF(ISNA(VLOOKUP(C48,INCNG,10,FALSE())),0,VLOOKUP(C48,INCNG,10,FALSE()))</f>
        <v>0</v>
      </c>
      <c r="S48" s="0" t="n">
        <f aca="false">+K48-R48</f>
        <v>0</v>
      </c>
      <c r="T48" s="31" t="n">
        <f aca="false">+P48-R48</f>
        <v>0</v>
      </c>
      <c r="U48" s="32" t="n">
        <f aca="false">ROUND(+$K48*(VLOOKUP($I48,Retention,2,FALSE())),0)</f>
        <v>0</v>
      </c>
      <c r="V48" s="32" t="n">
        <f aca="false">ROUND(+$K48*(VLOOKUP($I48,Retention,3,FALSE())),0)</f>
        <v>0</v>
      </c>
      <c r="W48" s="32" t="n">
        <f aca="false">ROUND(+$K48*(VLOOKUP($I48,Retention,4,FALSE())),0)</f>
        <v>0</v>
      </c>
      <c r="X48" s="32" t="n">
        <f aca="false">ROUND(+$K48*(VLOOKUP($I48,Retention,5,FALSE())),0)</f>
        <v>0</v>
      </c>
      <c r="Y48" s="31" t="n">
        <f aca="false">SUM(U48:X48)</f>
        <v>0</v>
      </c>
      <c r="AB48" s="33"/>
      <c r="AC48" s="33"/>
      <c r="AD48" s="0" t="e">
        <f aca="false">VLOOKUP(AB48,INCNG,3,FALSE())</f>
        <v>#N/A</v>
      </c>
    </row>
    <row r="49" customFormat="false" ht="12.75" hidden="false" customHeight="false" outlineLevel="0" collapsed="false">
      <c r="A49" s="0" t="s">
        <v>486</v>
      </c>
      <c r="B49" s="0" t="s">
        <v>273</v>
      </c>
      <c r="C49" s="0" t="s">
        <v>353</v>
      </c>
      <c r="D49" s="0" t="n">
        <v>3038201</v>
      </c>
      <c r="E49" s="0" t="s">
        <v>470</v>
      </c>
      <c r="F49" s="21" t="n">
        <v>37196</v>
      </c>
      <c r="G49" s="21"/>
      <c r="H49" s="21"/>
      <c r="I49" s="21" t="s">
        <v>450</v>
      </c>
      <c r="J49" s="0" t="n">
        <f aca="false">IF(ISNA(VLOOKUP(C49,CNGx,2,FALSE())),"na",(VLOOKUP(C49,CNGx,2,FALSE())))</f>
        <v>299</v>
      </c>
      <c r="K49" s="0" t="n">
        <f aca="false">IF(ISNA(VLOOKUP(C49,CNGx,3,0)),0,VLOOKUP(C49,CNGx,3,FALSE()))</f>
        <v>519</v>
      </c>
      <c r="L49" s="29" t="n">
        <f aca="false">VLOOKUP(I49,Retention,2,FALSE())</f>
        <v>0.0228</v>
      </c>
      <c r="M49" s="30" t="n">
        <f aca="false">IF(OR(I49="TD",I49="TW"),0,J49*0.0228)</f>
        <v>6.8172</v>
      </c>
      <c r="N49" s="30" t="n">
        <f aca="false">IF(OR(I49="TD",I49="TW"),0,K49*0.0228)</f>
        <v>11.8332</v>
      </c>
      <c r="O49" s="30" t="n">
        <f aca="false">J49-ROUND(+$J49*(VLOOKUP($I49,cngded,6,FALSE())),0)</f>
        <v>259</v>
      </c>
      <c r="P49" s="30" t="n">
        <f aca="false">K49-ROUND(+$K49*(VLOOKUP($I49,cngded,6,FALSE())),0)</f>
        <v>450</v>
      </c>
      <c r="Q49" s="23" t="str">
        <f aca="false">IF(ISNA(VLOOKUP(C49,INCNG,1,FALSE())),"--","Y")</f>
        <v>Y</v>
      </c>
      <c r="R49" s="23" t="n">
        <f aca="false">IF(ISNA(VLOOKUP(C49,INCNG,10,FALSE())),0,VLOOKUP(C49,INCNG,10,FALSE()))</f>
        <v>259</v>
      </c>
      <c r="S49" s="0" t="n">
        <f aca="false">+K49-R49</f>
        <v>260</v>
      </c>
      <c r="T49" s="31" t="n">
        <f aca="false">+P49-R49</f>
        <v>191</v>
      </c>
      <c r="U49" s="32" t="n">
        <f aca="false">ROUND(+$K49*(VLOOKUP($I49,Retention,2,FALSE())),0)</f>
        <v>12</v>
      </c>
      <c r="V49" s="32" t="n">
        <f aca="false">ROUND(+$K49*(VLOOKUP($I49,Retention,3,FALSE())),0)</f>
        <v>37</v>
      </c>
      <c r="W49" s="32" t="n">
        <f aca="false">ROUND(+$K49*(VLOOKUP($I49,Retention,4,FALSE())),0)</f>
        <v>16</v>
      </c>
      <c r="X49" s="32" t="n">
        <f aca="false">ROUND(+$K49*(VLOOKUP($I49,Retention,5,FALSE())),0)</f>
        <v>5</v>
      </c>
      <c r="Y49" s="31" t="n">
        <f aca="false">SUM(U49:X49)</f>
        <v>70</v>
      </c>
      <c r="AB49" s="33"/>
      <c r="AC49" s="33"/>
      <c r="AD49" s="0" t="e">
        <f aca="false">VLOOKUP(AB49,INCNG,3,FALSE())</f>
        <v>#N/A</v>
      </c>
    </row>
    <row r="50" customFormat="false" ht="12.75" hidden="false" customHeight="false" outlineLevel="0" collapsed="false">
      <c r="A50" s="0" t="s">
        <v>486</v>
      </c>
      <c r="B50" s="0" t="s">
        <v>273</v>
      </c>
      <c r="C50" s="0" t="s">
        <v>282</v>
      </c>
      <c r="D50" s="0" t="n">
        <v>3038601</v>
      </c>
      <c r="E50" s="0" t="s">
        <v>283</v>
      </c>
      <c r="F50" s="21" t="n">
        <v>37196</v>
      </c>
      <c r="G50" s="21"/>
      <c r="H50" s="21"/>
      <c r="I50" s="21" t="s">
        <v>450</v>
      </c>
      <c r="J50" s="0" t="n">
        <f aca="false">IF(ISNA(VLOOKUP(C50,CNGx,2,FALSE())),"na",(VLOOKUP(C50,CNGx,2,FALSE())))</f>
        <v>8149</v>
      </c>
      <c r="K50" s="0" t="n">
        <f aca="false">IF(ISNA(VLOOKUP(C50,CNGx,3,0)),0,VLOOKUP(C50,CNGx,3,FALSE()))</f>
        <v>11105</v>
      </c>
      <c r="L50" s="29" t="n">
        <f aca="false">VLOOKUP(I50,Retention,2,FALSE())</f>
        <v>0.0228</v>
      </c>
      <c r="M50" s="30" t="n">
        <f aca="false">IF(OR(I50="TD",I50="TW"),0,J50*0.0228)</f>
        <v>185.7972</v>
      </c>
      <c r="N50" s="30" t="n">
        <f aca="false">IF(OR(I50="TD",I50="TW"),0,K50*0.0228)</f>
        <v>253.194</v>
      </c>
      <c r="O50" s="30" t="n">
        <f aca="false">J50-ROUND(+$J50*(VLOOKUP($I50,cngded,6,FALSE())),0)</f>
        <v>7069</v>
      </c>
      <c r="P50" s="30" t="n">
        <f aca="false">K50-ROUND(+$K50*(VLOOKUP($I50,cngded,6,FALSE())),0)</f>
        <v>9634</v>
      </c>
      <c r="Q50" s="23" t="str">
        <f aca="false">IF(ISNA(VLOOKUP(C50,INCNG,1,FALSE())),"--","Y")</f>
        <v>Y</v>
      </c>
      <c r="R50" s="23" t="n">
        <f aca="false">IF(ISNA(VLOOKUP(C50,INCNG,10,FALSE())),0,VLOOKUP(C50,INCNG,10,FALSE()))</f>
        <v>7069</v>
      </c>
      <c r="S50" s="0" t="n">
        <f aca="false">+K50-R50</f>
        <v>4036</v>
      </c>
      <c r="T50" s="31" t="n">
        <f aca="false">+P50-R50</f>
        <v>2565</v>
      </c>
      <c r="U50" s="32" t="n">
        <f aca="false">ROUND(+$K50*(VLOOKUP($I50,Retention,2,FALSE())),0)</f>
        <v>253</v>
      </c>
      <c r="V50" s="32" t="n">
        <f aca="false">ROUND(+$K50*(VLOOKUP($I50,Retention,3,FALSE())),0)</f>
        <v>784</v>
      </c>
      <c r="W50" s="32" t="n">
        <f aca="false">ROUND(+$K50*(VLOOKUP($I50,Retention,4,FALSE())),0)</f>
        <v>333</v>
      </c>
      <c r="X50" s="32" t="n">
        <f aca="false">ROUND(+$K50*(VLOOKUP($I50,Retention,5,FALSE())),0)</f>
        <v>101</v>
      </c>
      <c r="Y50" s="31" t="n">
        <f aca="false">SUM(U50:X50)</f>
        <v>1471</v>
      </c>
      <c r="AB50" s="33"/>
      <c r="AC50" s="33"/>
      <c r="AD50" s="0" t="e">
        <f aca="false">VLOOKUP(AB50,INCNG,3,FALSE())</f>
        <v>#N/A</v>
      </c>
    </row>
    <row r="51" customFormat="false" ht="12.75" hidden="false" customHeight="false" outlineLevel="0" collapsed="false">
      <c r="A51" s="0" t="s">
        <v>486</v>
      </c>
      <c r="B51" s="0" t="s">
        <v>273</v>
      </c>
      <c r="C51" s="0" t="s">
        <v>354</v>
      </c>
      <c r="D51" s="0" t="n">
        <v>3043201</v>
      </c>
      <c r="E51" s="0" t="s">
        <v>470</v>
      </c>
      <c r="F51" s="21" t="n">
        <v>37196</v>
      </c>
      <c r="G51" s="21"/>
      <c r="H51" s="21"/>
      <c r="I51" s="21" t="s">
        <v>450</v>
      </c>
      <c r="J51" s="0" t="n">
        <f aca="false">IF(ISNA(VLOOKUP(C51,CNGx,2,FALSE())),"na",(VLOOKUP(C51,CNGx,2,FALSE())))</f>
        <v>55</v>
      </c>
      <c r="K51" s="0" t="n">
        <f aca="false">IF(ISNA(VLOOKUP(C51,CNGx,3,0)),0,VLOOKUP(C51,CNGx,3,FALSE()))</f>
        <v>82</v>
      </c>
      <c r="L51" s="29" t="n">
        <f aca="false">VLOOKUP(I51,Retention,2,FALSE())</f>
        <v>0.0228</v>
      </c>
      <c r="M51" s="30" t="n">
        <f aca="false">IF(OR(I51="TD",I51="TW"),0,J51*0.0228)</f>
        <v>1.254</v>
      </c>
      <c r="N51" s="30" t="n">
        <f aca="false">IF(OR(I51="TD",I51="TW"),0,K51*0.0228)</f>
        <v>1.8696</v>
      </c>
      <c r="O51" s="30" t="n">
        <f aca="false">J51-ROUND(+$J51*(VLOOKUP($I51,cngded,6,FALSE())),0)</f>
        <v>48</v>
      </c>
      <c r="P51" s="30" t="n">
        <f aca="false">K51-ROUND(+$K51*(VLOOKUP($I51,cngded,6,FALSE())),0)</f>
        <v>71</v>
      </c>
      <c r="Q51" s="23" t="str">
        <f aca="false">IF(ISNA(VLOOKUP(C51,INCNG,1,FALSE())),"--","Y")</f>
        <v>Y</v>
      </c>
      <c r="R51" s="23" t="n">
        <f aca="false">IF(ISNA(VLOOKUP(C51,INCNG,10,FALSE())),0,VLOOKUP(C51,INCNG,10,FALSE()))</f>
        <v>48</v>
      </c>
      <c r="S51" s="0" t="n">
        <f aca="false">+K51-R51</f>
        <v>34</v>
      </c>
      <c r="T51" s="31" t="n">
        <f aca="false">+P51-R51</f>
        <v>23</v>
      </c>
      <c r="U51" s="32" t="n">
        <f aca="false">ROUND(+$K51*(VLOOKUP($I51,Retention,2,FALSE())),0)</f>
        <v>2</v>
      </c>
      <c r="V51" s="32" t="n">
        <f aca="false">ROUND(+$K51*(VLOOKUP($I51,Retention,3,FALSE())),0)</f>
        <v>6</v>
      </c>
      <c r="W51" s="32" t="n">
        <f aca="false">ROUND(+$K51*(VLOOKUP($I51,Retention,4,FALSE())),0)</f>
        <v>2</v>
      </c>
      <c r="X51" s="32" t="n">
        <f aca="false">ROUND(+$K51*(VLOOKUP($I51,Retention,5,FALSE())),0)</f>
        <v>1</v>
      </c>
      <c r="Y51" s="31" t="n">
        <f aca="false">SUM(U51:X51)</f>
        <v>11</v>
      </c>
      <c r="AB51" s="33"/>
      <c r="AC51" s="33"/>
      <c r="AD51" s="0" t="e">
        <f aca="false">VLOOKUP(AB51,INCNG,3,FALSE())</f>
        <v>#N/A</v>
      </c>
    </row>
    <row r="52" customFormat="false" ht="12.75" hidden="false" customHeight="false" outlineLevel="0" collapsed="false">
      <c r="A52" s="0" t="s">
        <v>486</v>
      </c>
      <c r="B52" s="0" t="s">
        <v>273</v>
      </c>
      <c r="C52" s="0" t="s">
        <v>355</v>
      </c>
      <c r="D52" s="0" t="n">
        <v>3043401</v>
      </c>
      <c r="E52" s="0" t="s">
        <v>470</v>
      </c>
      <c r="F52" s="21" t="n">
        <v>37196</v>
      </c>
      <c r="G52" s="21"/>
      <c r="H52" s="21"/>
      <c r="I52" s="21" t="s">
        <v>450</v>
      </c>
      <c r="J52" s="0" t="n">
        <f aca="false">IF(ISNA(VLOOKUP(C52,CNGx,2,FALSE())),"na",(VLOOKUP(C52,CNGx,2,FALSE())))</f>
        <v>0</v>
      </c>
      <c r="K52" s="0" t="n">
        <f aca="false">IF(ISNA(VLOOKUP(C52,CNGx,3,0)),0,VLOOKUP(C52,CNGx,3,FALSE()))</f>
        <v>0</v>
      </c>
      <c r="L52" s="29" t="n">
        <f aca="false">VLOOKUP(I52,Retention,2,FALSE())</f>
        <v>0.0228</v>
      </c>
      <c r="M52" s="30" t="n">
        <f aca="false">IF(OR(I52="TD",I52="TW"),0,J52*0.0228)</f>
        <v>0</v>
      </c>
      <c r="N52" s="30" t="n">
        <f aca="false">IF(OR(I52="TD",I52="TW"),0,K52*0.0228)</f>
        <v>0</v>
      </c>
      <c r="O52" s="30" t="n">
        <f aca="false">J52-ROUND(+$J52*(VLOOKUP($I52,cngded,6,FALSE())),0)</f>
        <v>0</v>
      </c>
      <c r="P52" s="30" t="n">
        <f aca="false">K52-ROUND(+$K52*(VLOOKUP($I52,cngded,6,FALSE())),0)</f>
        <v>0</v>
      </c>
      <c r="Q52" s="23" t="str">
        <f aca="false">IF(ISNA(VLOOKUP(C52,INCNG,1,FALSE())),"--","Y")</f>
        <v>Y</v>
      </c>
      <c r="R52" s="23" t="n">
        <f aca="false">IF(ISNA(VLOOKUP(C52,INCNG,10,FALSE())),0,VLOOKUP(C52,INCNG,10,FALSE()))</f>
        <v>0</v>
      </c>
      <c r="S52" s="0" t="n">
        <f aca="false">+K52-R52</f>
        <v>0</v>
      </c>
      <c r="T52" s="31" t="n">
        <f aca="false">+P52-R52</f>
        <v>0</v>
      </c>
      <c r="U52" s="32" t="n">
        <f aca="false">ROUND(+$K52*(VLOOKUP($I52,Retention,2,FALSE())),0)</f>
        <v>0</v>
      </c>
      <c r="V52" s="32" t="n">
        <f aca="false">ROUND(+$K52*(VLOOKUP($I52,Retention,3,FALSE())),0)</f>
        <v>0</v>
      </c>
      <c r="W52" s="32" t="n">
        <f aca="false">ROUND(+$K52*(VLOOKUP($I52,Retention,4,FALSE())),0)</f>
        <v>0</v>
      </c>
      <c r="X52" s="32" t="n">
        <f aca="false">ROUND(+$K52*(VLOOKUP($I52,Retention,5,FALSE())),0)</f>
        <v>0</v>
      </c>
      <c r="Y52" s="31" t="n">
        <f aca="false">SUM(U52:X52)</f>
        <v>0</v>
      </c>
      <c r="AB52" s="33"/>
      <c r="AC52" s="33"/>
      <c r="AD52" s="0" t="e">
        <f aca="false">VLOOKUP(AB52,INCNG,3,FALSE())</f>
        <v>#N/A</v>
      </c>
    </row>
    <row r="53" customFormat="false" ht="12.75" hidden="false" customHeight="false" outlineLevel="0" collapsed="false">
      <c r="A53" s="0" t="s">
        <v>486</v>
      </c>
      <c r="B53" s="0" t="s">
        <v>273</v>
      </c>
      <c r="C53" s="0" t="s">
        <v>245</v>
      </c>
      <c r="D53" s="0" t="n">
        <v>3046501</v>
      </c>
      <c r="E53" s="0" t="s">
        <v>459</v>
      </c>
      <c r="F53" s="21" t="n">
        <v>37196</v>
      </c>
      <c r="G53" s="21"/>
      <c r="H53" s="21"/>
      <c r="I53" s="21" t="s">
        <v>450</v>
      </c>
      <c r="J53" s="0" t="n">
        <f aca="false">IF(ISNA(VLOOKUP(C53,CNGx,2,FALSE())),"na",(VLOOKUP(C53,CNGx,2,FALSE())))</f>
        <v>150</v>
      </c>
      <c r="K53" s="0" t="n">
        <f aca="false">IF(ISNA(VLOOKUP(C53,CNGx,3,0)),0,VLOOKUP(C53,CNGx,3,FALSE()))</f>
        <v>214</v>
      </c>
      <c r="L53" s="29" t="n">
        <f aca="false">VLOOKUP(I53,Retention,2,FALSE())</f>
        <v>0.0228</v>
      </c>
      <c r="M53" s="30" t="n">
        <f aca="false">IF(OR(I53="TD",I53="TW"),0,J53*0.0228)</f>
        <v>3.42</v>
      </c>
      <c r="N53" s="30" t="n">
        <f aca="false">IF(OR(I53="TD",I53="TW"),0,K53*0.0228)</f>
        <v>4.8792</v>
      </c>
      <c r="O53" s="30" t="n">
        <f aca="false">J53-ROUND(+$J53*(VLOOKUP($I53,cngded,6,FALSE())),0)</f>
        <v>130</v>
      </c>
      <c r="P53" s="30" t="n">
        <f aca="false">K53-ROUND(+$K53*(VLOOKUP($I53,cngded,6,FALSE())),0)</f>
        <v>186</v>
      </c>
      <c r="Q53" s="23" t="str">
        <f aca="false">IF(ISNA(VLOOKUP(C53,INCNG,1,FALSE())),"--","Y")</f>
        <v>Y</v>
      </c>
      <c r="R53" s="23" t="n">
        <f aca="false">IF(ISNA(VLOOKUP(C53,INCNG,10,FALSE())),0,VLOOKUP(C53,INCNG,10,FALSE()))</f>
        <v>130</v>
      </c>
      <c r="S53" s="0" t="n">
        <f aca="false">+K53-R53</f>
        <v>84</v>
      </c>
      <c r="T53" s="31" t="n">
        <f aca="false">+P53-R53</f>
        <v>56</v>
      </c>
      <c r="U53" s="32" t="n">
        <f aca="false">ROUND(+$K53*(VLOOKUP($I53,Retention,2,FALSE())),0)</f>
        <v>5</v>
      </c>
      <c r="V53" s="32" t="n">
        <f aca="false">ROUND(+$K53*(VLOOKUP($I53,Retention,3,FALSE())),0)</f>
        <v>15</v>
      </c>
      <c r="W53" s="32" t="n">
        <f aca="false">ROUND(+$K53*(VLOOKUP($I53,Retention,4,FALSE())),0)</f>
        <v>6</v>
      </c>
      <c r="X53" s="32" t="n">
        <f aca="false">ROUND(+$K53*(VLOOKUP($I53,Retention,5,FALSE())),0)</f>
        <v>2</v>
      </c>
      <c r="Y53" s="31" t="n">
        <f aca="false">SUM(U53:X53)</f>
        <v>28</v>
      </c>
      <c r="AB53" s="33"/>
      <c r="AC53" s="33"/>
      <c r="AD53" s="0" t="e">
        <f aca="false">VLOOKUP(AB53,INCNG,3,FALSE())</f>
        <v>#N/A</v>
      </c>
    </row>
    <row r="54" customFormat="false" ht="12.75" hidden="false" customHeight="false" outlineLevel="0" collapsed="false">
      <c r="A54" s="0" t="s">
        <v>486</v>
      </c>
      <c r="B54" s="0" t="s">
        <v>273</v>
      </c>
      <c r="C54" s="0" t="s">
        <v>138</v>
      </c>
      <c r="D54" s="0" t="n">
        <v>3050201</v>
      </c>
      <c r="E54" s="0" t="s">
        <v>469</v>
      </c>
      <c r="F54" s="21" t="n">
        <v>37196</v>
      </c>
      <c r="G54" s="21"/>
      <c r="H54" s="21"/>
      <c r="I54" s="21" t="s">
        <v>450</v>
      </c>
      <c r="J54" s="0" t="n">
        <f aca="false">IF(ISNA(VLOOKUP(C54,CNGx,2,FALSE())),"na",(VLOOKUP(C54,CNGx,2,FALSE())))</f>
        <v>38</v>
      </c>
      <c r="K54" s="0" t="n">
        <f aca="false">IF(ISNA(VLOOKUP(C54,CNGx,3,0)),0,VLOOKUP(C54,CNGx,3,FALSE()))</f>
        <v>55</v>
      </c>
      <c r="L54" s="29" t="n">
        <f aca="false">VLOOKUP(I54,Retention,2,FALSE())</f>
        <v>0.0228</v>
      </c>
      <c r="M54" s="30" t="n">
        <f aca="false">IF(OR(I54="TD",I54="TW"),0,J54*0.0228)</f>
        <v>0.8664</v>
      </c>
      <c r="N54" s="30" t="n">
        <f aca="false">IF(OR(I54="TD",I54="TW"),0,K54*0.0228)</f>
        <v>1.254</v>
      </c>
      <c r="O54" s="30" t="n">
        <f aca="false">J54-ROUND(+$J54*(VLOOKUP($I54,cngded,6,FALSE())),0)</f>
        <v>33</v>
      </c>
      <c r="P54" s="30" t="n">
        <f aca="false">K54-ROUND(+$K54*(VLOOKUP($I54,cngded,6,FALSE())),0)</f>
        <v>48</v>
      </c>
      <c r="Q54" s="23" t="str">
        <f aca="false">IF(ISNA(VLOOKUP(C54,INCNG,1,FALSE())),"--","Y")</f>
        <v>Y</v>
      </c>
      <c r="R54" s="23" t="n">
        <f aca="false">IF(ISNA(VLOOKUP(C54,INCNG,10,FALSE())),0,VLOOKUP(C54,INCNG,10,FALSE()))</f>
        <v>33</v>
      </c>
      <c r="S54" s="0" t="n">
        <f aca="false">+K54-R54</f>
        <v>22</v>
      </c>
      <c r="T54" s="31" t="n">
        <f aca="false">+P54-R54</f>
        <v>15</v>
      </c>
      <c r="U54" s="32" t="n">
        <f aca="false">ROUND(+$K54*(VLOOKUP($I54,Retention,2,FALSE())),0)</f>
        <v>1</v>
      </c>
      <c r="V54" s="32" t="n">
        <f aca="false">ROUND(+$K54*(VLOOKUP($I54,Retention,3,FALSE())),0)</f>
        <v>4</v>
      </c>
      <c r="W54" s="32" t="n">
        <f aca="false">ROUND(+$K54*(VLOOKUP($I54,Retention,4,FALSE())),0)</f>
        <v>2</v>
      </c>
      <c r="X54" s="32" t="n">
        <f aca="false">ROUND(+$K54*(VLOOKUP($I54,Retention,5,FALSE())),0)</f>
        <v>1</v>
      </c>
      <c r="Y54" s="31" t="n">
        <f aca="false">SUM(U54:X54)</f>
        <v>8</v>
      </c>
      <c r="AB54" s="33"/>
      <c r="AC54" s="33"/>
      <c r="AD54" s="0" t="e">
        <f aca="false">VLOOKUP(AB54,INCNG,3,FALSE())</f>
        <v>#N/A</v>
      </c>
    </row>
    <row r="55" customFormat="false" ht="12.75" hidden="false" customHeight="false" outlineLevel="0" collapsed="false">
      <c r="A55" s="0" t="s">
        <v>486</v>
      </c>
      <c r="B55" s="0" t="s">
        <v>273</v>
      </c>
      <c r="C55" s="0" t="s">
        <v>140</v>
      </c>
      <c r="D55" s="0" t="n">
        <v>3053201</v>
      </c>
      <c r="E55" s="0" t="s">
        <v>469</v>
      </c>
      <c r="F55" s="21" t="n">
        <v>37196</v>
      </c>
      <c r="G55" s="21"/>
      <c r="H55" s="21"/>
      <c r="I55" s="21" t="s">
        <v>450</v>
      </c>
      <c r="J55" s="0" t="n">
        <f aca="false">IF(ISNA(VLOOKUP(C55,CNGx,2,FALSE())),"na",(VLOOKUP(C55,CNGx,2,FALSE())))</f>
        <v>162</v>
      </c>
      <c r="K55" s="0" t="n">
        <f aca="false">IF(ISNA(VLOOKUP(C55,CNGx,3,0)),0,VLOOKUP(C55,CNGx,3,FALSE()))</f>
        <v>246</v>
      </c>
      <c r="L55" s="29" t="n">
        <f aca="false">VLOOKUP(I55,Retention,2,FALSE())</f>
        <v>0.0228</v>
      </c>
      <c r="M55" s="30" t="n">
        <f aca="false">IF(OR(I55="TD",I55="TW"),0,J55*0.0228)</f>
        <v>3.6936</v>
      </c>
      <c r="N55" s="30" t="n">
        <f aca="false">IF(OR(I55="TD",I55="TW"),0,K55*0.0228)</f>
        <v>5.6088</v>
      </c>
      <c r="O55" s="30" t="n">
        <f aca="false">J55-ROUND(+$J55*(VLOOKUP($I55,cngded,6,FALSE())),0)</f>
        <v>141</v>
      </c>
      <c r="P55" s="30" t="n">
        <f aca="false">K55-ROUND(+$K55*(VLOOKUP($I55,cngded,6,FALSE())),0)</f>
        <v>213</v>
      </c>
      <c r="Q55" s="23" t="str">
        <f aca="false">IF(ISNA(VLOOKUP(C55,INCNG,1,FALSE())),"--","Y")</f>
        <v>Y</v>
      </c>
      <c r="R55" s="23" t="n">
        <f aca="false">IF(ISNA(VLOOKUP(C55,INCNG,10,FALSE())),0,VLOOKUP(C55,INCNG,10,FALSE()))</f>
        <v>141</v>
      </c>
      <c r="S55" s="0" t="n">
        <f aca="false">+K55-R55</f>
        <v>105</v>
      </c>
      <c r="T55" s="31" t="n">
        <f aca="false">+P55-R55</f>
        <v>72</v>
      </c>
      <c r="U55" s="32" t="n">
        <f aca="false">ROUND(+$K55*(VLOOKUP($I55,Retention,2,FALSE())),0)</f>
        <v>6</v>
      </c>
      <c r="V55" s="32" t="n">
        <f aca="false">ROUND(+$K55*(VLOOKUP($I55,Retention,3,FALSE())),0)</f>
        <v>17</v>
      </c>
      <c r="W55" s="32" t="n">
        <f aca="false">ROUND(+$K55*(VLOOKUP($I55,Retention,4,FALSE())),0)</f>
        <v>7</v>
      </c>
      <c r="X55" s="32" t="n">
        <f aca="false">ROUND(+$K55*(VLOOKUP($I55,Retention,5,FALSE())),0)</f>
        <v>2</v>
      </c>
      <c r="Y55" s="31" t="n">
        <f aca="false">SUM(U55:X55)</f>
        <v>32</v>
      </c>
      <c r="AB55" s="33"/>
      <c r="AC55" s="33"/>
      <c r="AD55" s="0" t="e">
        <f aca="false">VLOOKUP(AB55,INCNG,3,FALSE())</f>
        <v>#N/A</v>
      </c>
    </row>
    <row r="56" customFormat="false" ht="12.75" hidden="false" customHeight="false" outlineLevel="0" collapsed="false">
      <c r="A56" s="0" t="s">
        <v>486</v>
      </c>
      <c r="B56" s="0" t="s">
        <v>273</v>
      </c>
      <c r="C56" s="0" t="s">
        <v>333</v>
      </c>
      <c r="D56" s="0" t="n">
        <v>3086501</v>
      </c>
      <c r="E56" s="0" t="s">
        <v>334</v>
      </c>
      <c r="F56" s="21" t="n">
        <v>37196</v>
      </c>
      <c r="G56" s="21"/>
      <c r="H56" s="21"/>
      <c r="I56" s="21" t="s">
        <v>450</v>
      </c>
      <c r="J56" s="0" t="n">
        <f aca="false">IF(ISNA(VLOOKUP(C56,CNGx,2,FALSE())),"na",(VLOOKUP(C56,CNGx,2,FALSE())))</f>
        <v>3</v>
      </c>
      <c r="K56" s="0" t="n">
        <f aca="false">IF(ISNA(VLOOKUP(C56,CNGx,3,0)),0,VLOOKUP(C56,CNGx,3,FALSE()))</f>
        <v>3</v>
      </c>
      <c r="L56" s="29" t="n">
        <f aca="false">VLOOKUP(I56,Retention,2,FALSE())</f>
        <v>0.0228</v>
      </c>
      <c r="M56" s="30" t="n">
        <f aca="false">IF(OR(I56="TD",I56="TW"),0,J56*0.0228)</f>
        <v>0.0684</v>
      </c>
      <c r="N56" s="30" t="n">
        <f aca="false">IF(OR(I56="TD",I56="TW"),0,K56*0.0228)</f>
        <v>0.0684</v>
      </c>
      <c r="O56" s="30" t="n">
        <f aca="false">J56-ROUND(+$J56*(VLOOKUP($I56,cngded,6,FALSE())),0)</f>
        <v>3</v>
      </c>
      <c r="P56" s="30" t="n">
        <f aca="false">K56-ROUND(+$K56*(VLOOKUP($I56,cngded,6,FALSE())),0)</f>
        <v>3</v>
      </c>
      <c r="Q56" s="23" t="str">
        <f aca="false">IF(ISNA(VLOOKUP(C56,INCNG,1,FALSE())),"--","Y")</f>
        <v>Y</v>
      </c>
      <c r="R56" s="23" t="n">
        <f aca="false">IF(ISNA(VLOOKUP(C56,INCNG,10,FALSE())),0,VLOOKUP(C56,INCNG,10,FALSE()))</f>
        <v>3</v>
      </c>
      <c r="S56" s="0" t="n">
        <f aca="false">+K56-R56</f>
        <v>0</v>
      </c>
      <c r="T56" s="31" t="n">
        <f aca="false">+P56-R56</f>
        <v>0</v>
      </c>
      <c r="U56" s="32" t="n">
        <f aca="false">ROUND(+$K56*(VLOOKUP($I56,Retention,2,FALSE())),0)</f>
        <v>0</v>
      </c>
      <c r="V56" s="32" t="n">
        <f aca="false">ROUND(+$K56*(VLOOKUP($I56,Retention,3,FALSE())),0)</f>
        <v>0</v>
      </c>
      <c r="W56" s="32" t="n">
        <f aca="false">ROUND(+$K56*(VLOOKUP($I56,Retention,4,FALSE())),0)</f>
        <v>0</v>
      </c>
      <c r="X56" s="32" t="n">
        <f aca="false">ROUND(+$K56*(VLOOKUP($I56,Retention,5,FALSE())),0)</f>
        <v>0</v>
      </c>
      <c r="Y56" s="31" t="n">
        <f aca="false">SUM(U56:X56)</f>
        <v>0</v>
      </c>
      <c r="AB56" s="33"/>
      <c r="AC56" s="33"/>
      <c r="AD56" s="0" t="e">
        <f aca="false">VLOOKUP(AB56,INCNG,3,FALSE())</f>
        <v>#N/A</v>
      </c>
    </row>
    <row r="57" customFormat="false" ht="12.75" hidden="false" customHeight="false" outlineLevel="0" collapsed="false">
      <c r="A57" s="0" t="s">
        <v>486</v>
      </c>
      <c r="B57" s="0" t="s">
        <v>273</v>
      </c>
      <c r="C57" s="0" t="s">
        <v>78</v>
      </c>
      <c r="D57" s="0" t="n">
        <v>3095101</v>
      </c>
      <c r="E57" s="0" t="s">
        <v>454</v>
      </c>
      <c r="F57" s="21" t="n">
        <v>37196</v>
      </c>
      <c r="G57" s="21"/>
      <c r="H57" s="21"/>
      <c r="I57" s="21" t="s">
        <v>450</v>
      </c>
      <c r="J57" s="0" t="n">
        <f aca="false">IF(ISNA(VLOOKUP(C57,CNGx,2,FALSE())),"na",(VLOOKUP(C57,CNGx,2,FALSE())))</f>
        <v>1106</v>
      </c>
      <c r="K57" s="0" t="n">
        <f aca="false">IF(ISNA(VLOOKUP(C57,CNGx,3,0)),0,VLOOKUP(C57,CNGx,3,FALSE()))</f>
        <v>1633</v>
      </c>
      <c r="L57" s="29" t="n">
        <f aca="false">VLOOKUP(I57,Retention,2,FALSE())</f>
        <v>0.0228</v>
      </c>
      <c r="M57" s="30" t="n">
        <f aca="false">IF(OR(I57="TD",I57="TW"),0,J57*0.0228)</f>
        <v>25.2168</v>
      </c>
      <c r="N57" s="30" t="n">
        <f aca="false">IF(OR(I57="TD",I57="TW"),0,K57*0.0228)</f>
        <v>37.2324</v>
      </c>
      <c r="O57" s="30" t="n">
        <f aca="false">J57-ROUND(+$J57*(VLOOKUP($I57,cngded,6,FALSE())),0)</f>
        <v>959</v>
      </c>
      <c r="P57" s="30" t="n">
        <f aca="false">K57-ROUND(+$K57*(VLOOKUP($I57,cngded,6,FALSE())),0)</f>
        <v>1417</v>
      </c>
      <c r="Q57" s="23" t="str">
        <f aca="false">IF(ISNA(VLOOKUP(C57,INCNG,1,FALSE())),"--","Y")</f>
        <v>Y</v>
      </c>
      <c r="R57" s="23" t="n">
        <f aca="false">IF(ISNA(VLOOKUP(C57,INCNG,10,FALSE())),0,VLOOKUP(C57,INCNG,10,FALSE()))</f>
        <v>959</v>
      </c>
      <c r="S57" s="0" t="n">
        <f aca="false">+K57-R57</f>
        <v>674</v>
      </c>
      <c r="T57" s="31" t="n">
        <f aca="false">+P57-R57</f>
        <v>458</v>
      </c>
      <c r="U57" s="32" t="n">
        <f aca="false">ROUND(+$K57*(VLOOKUP($I57,Retention,2,FALSE())),0)</f>
        <v>37</v>
      </c>
      <c r="V57" s="32" t="n">
        <f aca="false">ROUND(+$K57*(VLOOKUP($I57,Retention,3,FALSE())),0)</f>
        <v>115</v>
      </c>
      <c r="W57" s="32" t="n">
        <f aca="false">ROUND(+$K57*(VLOOKUP($I57,Retention,4,FALSE())),0)</f>
        <v>49</v>
      </c>
      <c r="X57" s="32" t="n">
        <f aca="false">ROUND(+$K57*(VLOOKUP($I57,Retention,5,FALSE())),0)</f>
        <v>15</v>
      </c>
      <c r="Y57" s="31" t="n">
        <f aca="false">SUM(U57:X57)</f>
        <v>216</v>
      </c>
      <c r="AB57" s="33"/>
      <c r="AC57" s="33"/>
      <c r="AD57" s="0" t="e">
        <f aca="false">VLOOKUP(AB57,INCNG,3,FALSE())</f>
        <v>#N/A</v>
      </c>
    </row>
    <row r="58" customFormat="false" ht="12.75" hidden="false" customHeight="false" outlineLevel="0" collapsed="false">
      <c r="A58" s="0" t="s">
        <v>486</v>
      </c>
      <c r="B58" s="0" t="s">
        <v>273</v>
      </c>
      <c r="C58" s="0" t="s">
        <v>158</v>
      </c>
      <c r="D58" s="0" t="n">
        <v>3120601</v>
      </c>
      <c r="E58" s="0" t="s">
        <v>159</v>
      </c>
      <c r="F58" s="21" t="n">
        <v>37196</v>
      </c>
      <c r="G58" s="21"/>
      <c r="H58" s="21"/>
      <c r="I58" s="21" t="s">
        <v>450</v>
      </c>
      <c r="J58" s="0" t="n">
        <f aca="false">IF(ISNA(VLOOKUP(C58,CNGx,2,FALSE())),"na",(VLOOKUP(C58,CNGx,2,FALSE())))</f>
        <v>6</v>
      </c>
      <c r="K58" s="0" t="n">
        <f aca="false">IF(ISNA(VLOOKUP(C58,CNGx,3,0)),0,VLOOKUP(C58,CNGx,3,FALSE()))</f>
        <v>10</v>
      </c>
      <c r="L58" s="29" t="n">
        <f aca="false">VLOOKUP(I58,Retention,2,FALSE())</f>
        <v>0.0228</v>
      </c>
      <c r="M58" s="30" t="n">
        <f aca="false">IF(OR(I58="TD",I58="TW"),0,J58*0.0228)</f>
        <v>0.1368</v>
      </c>
      <c r="N58" s="30" t="n">
        <f aca="false">IF(OR(I58="TD",I58="TW"),0,K58*0.0228)</f>
        <v>0.228</v>
      </c>
      <c r="O58" s="30" t="n">
        <f aca="false">J58-ROUND(+$J58*(VLOOKUP($I58,cngded,6,FALSE())),0)</f>
        <v>5</v>
      </c>
      <c r="P58" s="30" t="n">
        <f aca="false">K58-ROUND(+$K58*(VLOOKUP($I58,cngded,6,FALSE())),0)</f>
        <v>9</v>
      </c>
      <c r="Q58" s="23" t="str">
        <f aca="false">IF(ISNA(VLOOKUP(C58,INCNG,1,FALSE())),"--","Y")</f>
        <v>Y</v>
      </c>
      <c r="R58" s="23" t="n">
        <f aca="false">IF(ISNA(VLOOKUP(C58,INCNG,10,FALSE())),0,VLOOKUP(C58,INCNG,10,FALSE()))</f>
        <v>5</v>
      </c>
      <c r="S58" s="0" t="n">
        <f aca="false">+K58-R58</f>
        <v>5</v>
      </c>
      <c r="T58" s="31" t="n">
        <f aca="false">+P58-R58</f>
        <v>4</v>
      </c>
      <c r="U58" s="32" t="n">
        <f aca="false">ROUND(+$K58*(VLOOKUP($I58,Retention,2,FALSE())),0)</f>
        <v>0</v>
      </c>
      <c r="V58" s="32" t="n">
        <f aca="false">ROUND(+$K58*(VLOOKUP($I58,Retention,3,FALSE())),0)</f>
        <v>1</v>
      </c>
      <c r="W58" s="32" t="n">
        <f aca="false">ROUND(+$K58*(VLOOKUP($I58,Retention,4,FALSE())),0)</f>
        <v>0</v>
      </c>
      <c r="X58" s="32" t="n">
        <f aca="false">ROUND(+$K58*(VLOOKUP($I58,Retention,5,FALSE())),0)</f>
        <v>0</v>
      </c>
      <c r="Y58" s="31" t="n">
        <f aca="false">SUM(U58:X58)</f>
        <v>1</v>
      </c>
      <c r="AB58" s="33"/>
      <c r="AC58" s="33"/>
      <c r="AD58" s="0" t="e">
        <f aca="false">VLOOKUP(AB58,INCNG,3,FALSE())</f>
        <v>#N/A</v>
      </c>
    </row>
    <row r="59" customFormat="false" ht="12.75" hidden="false" customHeight="false" outlineLevel="0" collapsed="false">
      <c r="A59" s="0" t="s">
        <v>486</v>
      </c>
      <c r="B59" s="0" t="s">
        <v>273</v>
      </c>
      <c r="C59" s="0" t="s">
        <v>247</v>
      </c>
      <c r="D59" s="0" t="n">
        <v>3123401</v>
      </c>
      <c r="E59" s="0" t="s">
        <v>459</v>
      </c>
      <c r="F59" s="21" t="n">
        <v>37196</v>
      </c>
      <c r="G59" s="21"/>
      <c r="H59" s="21"/>
      <c r="I59" s="21" t="s">
        <v>450</v>
      </c>
      <c r="J59" s="0" t="n">
        <f aca="false">IF(ISNA(VLOOKUP(C59,CNGx,2,FALSE())),"na",(VLOOKUP(C59,CNGx,2,FALSE())))</f>
        <v>513</v>
      </c>
      <c r="K59" s="0" t="n">
        <f aca="false">IF(ISNA(VLOOKUP(C59,CNGx,3,0)),0,VLOOKUP(C59,CNGx,3,FALSE()))</f>
        <v>719</v>
      </c>
      <c r="L59" s="29" t="n">
        <f aca="false">VLOOKUP(I59,Retention,2,FALSE())</f>
        <v>0.0228</v>
      </c>
      <c r="M59" s="30" t="n">
        <f aca="false">IF(OR(I59="TD",I59="TW"),0,J59*0.0228)</f>
        <v>11.6964</v>
      </c>
      <c r="N59" s="30" t="n">
        <f aca="false">IF(OR(I59="TD",I59="TW"),0,K59*0.0228)</f>
        <v>16.3932</v>
      </c>
      <c r="O59" s="30" t="n">
        <f aca="false">J59-ROUND(+$J59*(VLOOKUP($I59,cngded,6,FALSE())),0)</f>
        <v>445</v>
      </c>
      <c r="P59" s="30" t="n">
        <f aca="false">K59-ROUND(+$K59*(VLOOKUP($I59,cngded,6,FALSE())),0)</f>
        <v>624</v>
      </c>
      <c r="Q59" s="23" t="str">
        <f aca="false">IF(ISNA(VLOOKUP(C59,INCNG,1,FALSE())),"--","Y")</f>
        <v>Y</v>
      </c>
      <c r="R59" s="23" t="n">
        <f aca="false">IF(ISNA(VLOOKUP(C59,INCNG,10,FALSE())),0,VLOOKUP(C59,INCNG,10,FALSE()))</f>
        <v>445</v>
      </c>
      <c r="S59" s="0" t="n">
        <f aca="false">+K59-R59</f>
        <v>274</v>
      </c>
      <c r="T59" s="31" t="n">
        <f aca="false">+P59-R59</f>
        <v>179</v>
      </c>
      <c r="U59" s="32" t="n">
        <f aca="false">ROUND(+$K59*(VLOOKUP($I59,Retention,2,FALSE())),0)</f>
        <v>16</v>
      </c>
      <c r="V59" s="32" t="n">
        <f aca="false">ROUND(+$K59*(VLOOKUP($I59,Retention,3,FALSE())),0)</f>
        <v>51</v>
      </c>
      <c r="W59" s="32" t="n">
        <f aca="false">ROUND(+$K59*(VLOOKUP($I59,Retention,4,FALSE())),0)</f>
        <v>22</v>
      </c>
      <c r="X59" s="32" t="n">
        <f aca="false">ROUND(+$K59*(VLOOKUP($I59,Retention,5,FALSE())),0)</f>
        <v>7</v>
      </c>
      <c r="Y59" s="31" t="n">
        <f aca="false">SUM(U59:X59)</f>
        <v>96</v>
      </c>
      <c r="AB59" s="33"/>
      <c r="AC59" s="33"/>
      <c r="AD59" s="0" t="e">
        <f aca="false">VLOOKUP(AB59,INCNG,3,FALSE())</f>
        <v>#N/A</v>
      </c>
    </row>
    <row r="60" customFormat="false" ht="12.75" hidden="false" customHeight="false" outlineLevel="0" collapsed="false">
      <c r="A60" s="0" t="s">
        <v>486</v>
      </c>
      <c r="B60" s="0" t="s">
        <v>487</v>
      </c>
      <c r="C60" s="0" t="s">
        <v>269</v>
      </c>
      <c r="D60" s="0" t="n">
        <v>3124201</v>
      </c>
      <c r="E60" s="0" t="s">
        <v>453</v>
      </c>
      <c r="F60" s="21" t="n">
        <v>37196</v>
      </c>
      <c r="G60" s="21"/>
      <c r="H60" s="21"/>
      <c r="I60" s="21" t="s">
        <v>446</v>
      </c>
      <c r="J60" s="0" t="n">
        <f aca="false">IF(ISNA(VLOOKUP(C60,CNGx,2,FALSE())),"na",(VLOOKUP(C60,CNGx,2,FALSE())))</f>
        <v>0</v>
      </c>
      <c r="K60" s="0" t="n">
        <f aca="false">IF(ISNA(VLOOKUP(C60,CNGx,3,0)),0,VLOOKUP(C60,CNGx,3,FALSE()))</f>
        <v>0</v>
      </c>
      <c r="L60" s="29" t="n">
        <f aca="false">VLOOKUP(I60,Retention,2,FALSE())</f>
        <v>0</v>
      </c>
      <c r="M60" s="30" t="n">
        <f aca="false">IF(OR(I60="TD",I60="TW"),0,J60*0.0228)</f>
        <v>0</v>
      </c>
      <c r="N60" s="30" t="n">
        <f aca="false">IF(OR(I60="TD",I60="TW"),0,K60*0.0228)</f>
        <v>0</v>
      </c>
      <c r="O60" s="30" t="n">
        <f aca="false">J60-ROUND(+$J60*(VLOOKUP($I60,cngded,6,FALSE())),0)</f>
        <v>0</v>
      </c>
      <c r="P60" s="30" t="n">
        <f aca="false">K60-ROUND(+$K60*(VLOOKUP($I60,cngded,6,FALSE())),0)</f>
        <v>0</v>
      </c>
      <c r="Q60" s="23" t="str">
        <f aca="false">IF(ISNA(VLOOKUP(C60,INCNG,1,FALSE())),"--","Y")</f>
        <v>Y</v>
      </c>
      <c r="R60" s="23" t="n">
        <f aca="false">IF(ISNA(VLOOKUP(C60,INCNG,10,FALSE())),0,VLOOKUP(C60,INCNG,10,FALSE()))</f>
        <v>0</v>
      </c>
      <c r="S60" s="0" t="n">
        <f aca="false">+K60-R60</f>
        <v>0</v>
      </c>
      <c r="T60" s="31" t="n">
        <f aca="false">+P60-R60</f>
        <v>0</v>
      </c>
      <c r="U60" s="32" t="n">
        <f aca="false">ROUND(+$K60*(VLOOKUP($I60,Retention,2,FALSE())),0)</f>
        <v>0</v>
      </c>
      <c r="V60" s="32" t="n">
        <f aca="false">ROUND(+$K60*(VLOOKUP($I60,Retention,3,FALSE())),0)</f>
        <v>0</v>
      </c>
      <c r="W60" s="32" t="n">
        <f aca="false">ROUND(+$K60*(VLOOKUP($I60,Retention,4,FALSE())),0)</f>
        <v>0</v>
      </c>
      <c r="X60" s="32" t="n">
        <f aca="false">ROUND(+$K60*(VLOOKUP($I60,Retention,5,FALSE())),0)</f>
        <v>0</v>
      </c>
      <c r="Y60" s="31" t="n">
        <f aca="false">SUM(U60:X60)</f>
        <v>0</v>
      </c>
      <c r="AB60" s="33"/>
      <c r="AC60" s="33"/>
      <c r="AD60" s="0" t="e">
        <f aca="false">VLOOKUP(AB60,INCNG,3,FALSE())</f>
        <v>#N/A</v>
      </c>
    </row>
    <row r="61" customFormat="false" ht="12.75" hidden="false" customHeight="false" outlineLevel="0" collapsed="false">
      <c r="A61" s="0" t="s">
        <v>486</v>
      </c>
      <c r="B61" s="0" t="s">
        <v>273</v>
      </c>
      <c r="C61" s="0" t="s">
        <v>356</v>
      </c>
      <c r="D61" s="0" t="n">
        <v>3127401</v>
      </c>
      <c r="E61" s="0" t="s">
        <v>453</v>
      </c>
      <c r="F61" s="21" t="n">
        <v>37196</v>
      </c>
      <c r="G61" s="21"/>
      <c r="H61" s="21"/>
      <c r="I61" s="21" t="s">
        <v>450</v>
      </c>
      <c r="J61" s="0" t="n">
        <f aca="false">IF(ISNA(VLOOKUP(C61,CNGx,2,FALSE())),"na",(VLOOKUP(C61,CNGx,2,FALSE())))</f>
        <v>38</v>
      </c>
      <c r="K61" s="0" t="n">
        <f aca="false">IF(ISNA(VLOOKUP(C61,CNGx,3,0)),0,VLOOKUP(C61,CNGx,3,FALSE()))</f>
        <v>55</v>
      </c>
      <c r="L61" s="29" t="n">
        <f aca="false">VLOOKUP(I61,Retention,2,FALSE())</f>
        <v>0.0228</v>
      </c>
      <c r="M61" s="30" t="n">
        <f aca="false">IF(OR(I61="TD",I61="TW"),0,J61*0.0228)</f>
        <v>0.8664</v>
      </c>
      <c r="N61" s="30" t="n">
        <f aca="false">IF(OR(I61="TD",I61="TW"),0,K61*0.0228)</f>
        <v>1.254</v>
      </c>
      <c r="O61" s="30" t="n">
        <f aca="false">J61-ROUND(+$J61*(VLOOKUP($I61,cngded,6,FALSE())),0)</f>
        <v>33</v>
      </c>
      <c r="P61" s="30" t="n">
        <f aca="false">K61-ROUND(+$K61*(VLOOKUP($I61,cngded,6,FALSE())),0)</f>
        <v>48</v>
      </c>
      <c r="Q61" s="23" t="str">
        <f aca="false">IF(ISNA(VLOOKUP(C61,INCNG,1,FALSE())),"--","Y")</f>
        <v>Y</v>
      </c>
      <c r="R61" s="23" t="n">
        <f aca="false">IF(ISNA(VLOOKUP(C61,INCNG,10,FALSE())),0,VLOOKUP(C61,INCNG,10,FALSE()))</f>
        <v>33</v>
      </c>
      <c r="S61" s="0" t="n">
        <f aca="false">+K61-R61</f>
        <v>22</v>
      </c>
      <c r="T61" s="31" t="n">
        <f aca="false">+P61-R61</f>
        <v>15</v>
      </c>
      <c r="U61" s="32" t="n">
        <f aca="false">ROUND(+$K61*(VLOOKUP($I61,Retention,2,FALSE())),0)</f>
        <v>1</v>
      </c>
      <c r="V61" s="32" t="n">
        <f aca="false">ROUND(+$K61*(VLOOKUP($I61,Retention,3,FALSE())),0)</f>
        <v>4</v>
      </c>
      <c r="W61" s="32" t="n">
        <f aca="false">ROUND(+$K61*(VLOOKUP($I61,Retention,4,FALSE())),0)</f>
        <v>2</v>
      </c>
      <c r="X61" s="32" t="n">
        <f aca="false">ROUND(+$K61*(VLOOKUP($I61,Retention,5,FALSE())),0)</f>
        <v>1</v>
      </c>
      <c r="Y61" s="31" t="n">
        <f aca="false">SUM(U61:X61)</f>
        <v>8</v>
      </c>
      <c r="AB61" s="33"/>
      <c r="AC61" s="33"/>
      <c r="AD61" s="0" t="e">
        <f aca="false">VLOOKUP(AB61,INCNG,3,FALSE())</f>
        <v>#N/A</v>
      </c>
    </row>
    <row r="62" customFormat="false" ht="12.75" hidden="false" customHeight="false" outlineLevel="0" collapsed="false">
      <c r="A62" s="0" t="s">
        <v>486</v>
      </c>
      <c r="B62" s="0" t="s">
        <v>273</v>
      </c>
      <c r="C62" s="0" t="s">
        <v>397</v>
      </c>
      <c r="D62" s="0" t="n">
        <v>3127501</v>
      </c>
      <c r="E62" s="0" t="s">
        <v>398</v>
      </c>
      <c r="F62" s="21" t="n">
        <v>37196</v>
      </c>
      <c r="G62" s="21"/>
      <c r="H62" s="21"/>
      <c r="I62" s="21" t="s">
        <v>450</v>
      </c>
      <c r="J62" s="0" t="n">
        <f aca="false">IF(ISNA(VLOOKUP(C62,CNGx,2,FALSE())),"na",(VLOOKUP(C62,CNGx,2,FALSE())))</f>
        <v>211</v>
      </c>
      <c r="K62" s="0" t="n">
        <f aca="false">IF(ISNA(VLOOKUP(C62,CNGx,3,0)),0,VLOOKUP(C62,CNGx,3,FALSE()))</f>
        <v>275</v>
      </c>
      <c r="L62" s="29" t="n">
        <f aca="false">VLOOKUP(I62,Retention,2,FALSE())</f>
        <v>0.0228</v>
      </c>
      <c r="M62" s="30" t="n">
        <f aca="false">IF(OR(I62="TD",I62="TW"),0,J62*0.0228)</f>
        <v>4.8108</v>
      </c>
      <c r="N62" s="30" t="n">
        <f aca="false">IF(OR(I62="TD",I62="TW"),0,K62*0.0228)</f>
        <v>6.27</v>
      </c>
      <c r="O62" s="30" t="n">
        <f aca="false">J62-ROUND(+$J62*(VLOOKUP($I62,cngded,6,FALSE())),0)</f>
        <v>183</v>
      </c>
      <c r="P62" s="30" t="n">
        <f aca="false">K62-ROUND(+$K62*(VLOOKUP($I62,cngded,6,FALSE())),0)</f>
        <v>239</v>
      </c>
      <c r="Q62" s="23" t="str">
        <f aca="false">IF(ISNA(VLOOKUP(C62,INCNG,1,FALSE())),"--","Y")</f>
        <v>Y</v>
      </c>
      <c r="R62" s="23" t="n">
        <f aca="false">IF(ISNA(VLOOKUP(C62,INCNG,10,FALSE())),0,VLOOKUP(C62,INCNG,10,FALSE()))</f>
        <v>183</v>
      </c>
      <c r="S62" s="0" t="n">
        <f aca="false">+K62-R62</f>
        <v>92</v>
      </c>
      <c r="T62" s="31" t="n">
        <f aca="false">+P62-R62</f>
        <v>56</v>
      </c>
      <c r="U62" s="32" t="n">
        <f aca="false">ROUND(+$K62*(VLOOKUP($I62,Retention,2,FALSE())),0)</f>
        <v>6</v>
      </c>
      <c r="V62" s="32" t="n">
        <f aca="false">ROUND(+$K62*(VLOOKUP($I62,Retention,3,FALSE())),0)</f>
        <v>19</v>
      </c>
      <c r="W62" s="32" t="n">
        <f aca="false">ROUND(+$K62*(VLOOKUP($I62,Retention,4,FALSE())),0)</f>
        <v>8</v>
      </c>
      <c r="X62" s="32" t="n">
        <f aca="false">ROUND(+$K62*(VLOOKUP($I62,Retention,5,FALSE())),0)</f>
        <v>3</v>
      </c>
      <c r="Y62" s="31" t="n">
        <f aca="false">SUM(U62:X62)</f>
        <v>36</v>
      </c>
      <c r="AB62" s="33"/>
      <c r="AC62" s="33"/>
      <c r="AD62" s="0" t="e">
        <f aca="false">VLOOKUP(AB62,INCNG,3,FALSE())</f>
        <v>#N/A</v>
      </c>
    </row>
    <row r="63" customFormat="false" ht="12.75" hidden="false" customHeight="false" outlineLevel="0" collapsed="false">
      <c r="A63" s="0" t="s">
        <v>486</v>
      </c>
      <c r="B63" s="0" t="s">
        <v>273</v>
      </c>
      <c r="C63" s="0" t="s">
        <v>194</v>
      </c>
      <c r="D63" s="0" t="n">
        <v>3129101</v>
      </c>
      <c r="E63" s="0" t="s">
        <v>471</v>
      </c>
      <c r="F63" s="21" t="n">
        <v>37196</v>
      </c>
      <c r="G63" s="21"/>
      <c r="H63" s="21"/>
      <c r="I63" s="21" t="s">
        <v>450</v>
      </c>
      <c r="J63" s="0" t="n">
        <f aca="false">IF(ISNA(VLOOKUP(C63,CNGx,2,FALSE())),"na",(VLOOKUP(C63,CNGx,2,FALSE())))</f>
        <v>62</v>
      </c>
      <c r="K63" s="0" t="n">
        <f aca="false">IF(ISNA(VLOOKUP(C63,CNGx,3,0)),0,VLOOKUP(C63,CNGx,3,FALSE()))</f>
        <v>86</v>
      </c>
      <c r="L63" s="29" t="n">
        <f aca="false">VLOOKUP(I63,Retention,2,FALSE())</f>
        <v>0.0228</v>
      </c>
      <c r="M63" s="30" t="n">
        <f aca="false">IF(OR(I63="TD",I63="TW"),0,J63*0.0228)</f>
        <v>1.4136</v>
      </c>
      <c r="N63" s="30" t="n">
        <f aca="false">IF(OR(I63="TD",I63="TW"),0,K63*0.0228)</f>
        <v>1.9608</v>
      </c>
      <c r="O63" s="30" t="n">
        <f aca="false">J63-ROUND(+$J63*(VLOOKUP($I63,cngded,6,FALSE())),0)</f>
        <v>54</v>
      </c>
      <c r="P63" s="30" t="n">
        <f aca="false">K63-ROUND(+$K63*(VLOOKUP($I63,cngded,6,FALSE())),0)</f>
        <v>75</v>
      </c>
      <c r="Q63" s="23" t="str">
        <f aca="false">IF(ISNA(VLOOKUP(C63,INCNG,1,FALSE())),"--","Y")</f>
        <v>Y</v>
      </c>
      <c r="R63" s="23" t="n">
        <f aca="false">IF(ISNA(VLOOKUP(C63,INCNG,10,FALSE())),0,VLOOKUP(C63,INCNG,10,FALSE()))</f>
        <v>54</v>
      </c>
      <c r="S63" s="0" t="n">
        <f aca="false">+K63-R63</f>
        <v>32</v>
      </c>
      <c r="T63" s="31" t="n">
        <f aca="false">+P63-R63</f>
        <v>21</v>
      </c>
      <c r="U63" s="32" t="n">
        <f aca="false">ROUND(+$K63*(VLOOKUP($I63,Retention,2,FALSE())),0)</f>
        <v>2</v>
      </c>
      <c r="V63" s="32" t="n">
        <f aca="false">ROUND(+$K63*(VLOOKUP($I63,Retention,3,FALSE())),0)</f>
        <v>6</v>
      </c>
      <c r="W63" s="32" t="n">
        <f aca="false">ROUND(+$K63*(VLOOKUP($I63,Retention,4,FALSE())),0)</f>
        <v>3</v>
      </c>
      <c r="X63" s="32" t="n">
        <f aca="false">ROUND(+$K63*(VLOOKUP($I63,Retention,5,FALSE())),0)</f>
        <v>1</v>
      </c>
      <c r="Y63" s="31" t="n">
        <f aca="false">SUM(U63:X63)</f>
        <v>12</v>
      </c>
      <c r="AB63" s="33"/>
      <c r="AC63" s="33"/>
      <c r="AD63" s="0" t="e">
        <f aca="false">VLOOKUP(AB63,INCNG,3,FALSE())</f>
        <v>#N/A</v>
      </c>
    </row>
    <row r="64" customFormat="false" ht="12.75" hidden="false" customHeight="false" outlineLevel="0" collapsed="false">
      <c r="A64" s="0" t="s">
        <v>486</v>
      </c>
      <c r="B64" s="0" t="s">
        <v>273</v>
      </c>
      <c r="C64" s="0" t="s">
        <v>370</v>
      </c>
      <c r="D64" s="0" t="n">
        <v>3130301</v>
      </c>
      <c r="E64" s="0" t="s">
        <v>456</v>
      </c>
      <c r="F64" s="21" t="n">
        <v>37196</v>
      </c>
      <c r="G64" s="21"/>
      <c r="H64" s="21"/>
      <c r="I64" s="21" t="s">
        <v>450</v>
      </c>
      <c r="J64" s="0" t="n">
        <f aca="false">IF(ISNA(VLOOKUP(C64,CNGx,2,FALSE())),"na",(VLOOKUP(C64,CNGx,2,FALSE())))</f>
        <v>501</v>
      </c>
      <c r="K64" s="0" t="n">
        <f aca="false">IF(ISNA(VLOOKUP(C64,CNGx,3,0)),0,VLOOKUP(C64,CNGx,3,FALSE()))</f>
        <v>637</v>
      </c>
      <c r="L64" s="29" t="n">
        <f aca="false">VLOOKUP(I64,Retention,2,FALSE())</f>
        <v>0.0228</v>
      </c>
      <c r="M64" s="30" t="n">
        <f aca="false">IF(OR(I64="TD",I64="TW"),0,J64*0.0228)</f>
        <v>11.4228</v>
      </c>
      <c r="N64" s="30" t="n">
        <f aca="false">IF(OR(I64="TD",I64="TW"),0,K64*0.0228)</f>
        <v>14.5236</v>
      </c>
      <c r="O64" s="30" t="n">
        <f aca="false">J64-ROUND(+$J64*(VLOOKUP($I64,cngded,6,FALSE())),0)</f>
        <v>435</v>
      </c>
      <c r="P64" s="30" t="n">
        <f aca="false">K64-ROUND(+$K64*(VLOOKUP($I64,cngded,6,FALSE())),0)</f>
        <v>553</v>
      </c>
      <c r="Q64" s="23" t="str">
        <f aca="false">IF(ISNA(VLOOKUP(C64,INCNG,1,FALSE())),"--","Y")</f>
        <v>Y</v>
      </c>
      <c r="R64" s="23" t="n">
        <f aca="false">IF(ISNA(VLOOKUP(C64,INCNG,10,FALSE())),0,VLOOKUP(C64,INCNG,10,FALSE()))</f>
        <v>435</v>
      </c>
      <c r="S64" s="0" t="n">
        <f aca="false">+K64-R64</f>
        <v>202</v>
      </c>
      <c r="T64" s="31" t="n">
        <f aca="false">+P64-R64</f>
        <v>118</v>
      </c>
      <c r="U64" s="32" t="n">
        <f aca="false">ROUND(+$K64*(VLOOKUP($I64,Retention,2,FALSE())),0)</f>
        <v>15</v>
      </c>
      <c r="V64" s="32" t="n">
        <f aca="false">ROUND(+$K64*(VLOOKUP($I64,Retention,3,FALSE())),0)</f>
        <v>45</v>
      </c>
      <c r="W64" s="32" t="n">
        <f aca="false">ROUND(+$K64*(VLOOKUP($I64,Retention,4,FALSE())),0)</f>
        <v>19</v>
      </c>
      <c r="X64" s="32" t="n">
        <f aca="false">ROUND(+$K64*(VLOOKUP($I64,Retention,5,FALSE())),0)</f>
        <v>6</v>
      </c>
      <c r="Y64" s="31" t="n">
        <f aca="false">SUM(U64:X64)</f>
        <v>85</v>
      </c>
      <c r="AB64" s="33"/>
      <c r="AC64" s="33"/>
      <c r="AD64" s="0" t="e">
        <f aca="false">VLOOKUP(AB64,INCNG,3,FALSE())</f>
        <v>#N/A</v>
      </c>
    </row>
    <row r="65" customFormat="false" ht="12.75" hidden="false" customHeight="false" outlineLevel="0" collapsed="false">
      <c r="A65" s="0" t="s">
        <v>486</v>
      </c>
      <c r="B65" s="0" t="s">
        <v>273</v>
      </c>
      <c r="C65" s="0" t="s">
        <v>358</v>
      </c>
      <c r="D65" s="0" t="n">
        <v>3130401</v>
      </c>
      <c r="E65" s="0" t="s">
        <v>453</v>
      </c>
      <c r="F65" s="21" t="n">
        <v>37196</v>
      </c>
      <c r="G65" s="21"/>
      <c r="H65" s="21"/>
      <c r="I65" s="21" t="s">
        <v>450</v>
      </c>
      <c r="J65" s="0" t="n">
        <f aca="false">IF(ISNA(VLOOKUP(C65,CNGx,2,FALSE())),"na",(VLOOKUP(C65,CNGx,2,FALSE())))</f>
        <v>16</v>
      </c>
      <c r="K65" s="0" t="n">
        <f aca="false">IF(ISNA(VLOOKUP(C65,CNGx,3,0)),0,VLOOKUP(C65,CNGx,3,FALSE()))</f>
        <v>20</v>
      </c>
      <c r="L65" s="29" t="n">
        <f aca="false">VLOOKUP(I65,Retention,2,FALSE())</f>
        <v>0.0228</v>
      </c>
      <c r="M65" s="30" t="n">
        <f aca="false">IF(OR(I65="TD",I65="TW"),0,J65*0.0228)</f>
        <v>0.3648</v>
      </c>
      <c r="N65" s="30" t="n">
        <f aca="false">IF(OR(I65="TD",I65="TW"),0,K65*0.0228)</f>
        <v>0.456</v>
      </c>
      <c r="O65" s="30" t="n">
        <f aca="false">J65-ROUND(+$J65*(VLOOKUP($I65,cngded,6,FALSE())),0)</f>
        <v>14</v>
      </c>
      <c r="P65" s="30" t="n">
        <f aca="false">K65-ROUND(+$K65*(VLOOKUP($I65,cngded,6,FALSE())),0)</f>
        <v>17</v>
      </c>
      <c r="Q65" s="23" t="str">
        <f aca="false">IF(ISNA(VLOOKUP(C65,INCNG,1,FALSE())),"--","Y")</f>
        <v>Y</v>
      </c>
      <c r="R65" s="23" t="n">
        <f aca="false">IF(ISNA(VLOOKUP(C65,INCNG,10,FALSE())),0,VLOOKUP(C65,INCNG,10,FALSE()))</f>
        <v>14</v>
      </c>
      <c r="S65" s="0" t="n">
        <f aca="false">+K65-R65</f>
        <v>6</v>
      </c>
      <c r="T65" s="31" t="n">
        <f aca="false">+P65-R65</f>
        <v>3</v>
      </c>
      <c r="U65" s="32" t="n">
        <f aca="false">ROUND(+$K65*(VLOOKUP($I65,Retention,2,FALSE())),0)</f>
        <v>0</v>
      </c>
      <c r="V65" s="32" t="n">
        <f aca="false">ROUND(+$K65*(VLOOKUP($I65,Retention,3,FALSE())),0)</f>
        <v>1</v>
      </c>
      <c r="W65" s="32" t="n">
        <f aca="false">ROUND(+$K65*(VLOOKUP($I65,Retention,4,FALSE())),0)</f>
        <v>1</v>
      </c>
      <c r="X65" s="32" t="n">
        <f aca="false">ROUND(+$K65*(VLOOKUP($I65,Retention,5,FALSE())),0)</f>
        <v>0</v>
      </c>
      <c r="Y65" s="31" t="n">
        <f aca="false">SUM(U65:X65)</f>
        <v>2</v>
      </c>
      <c r="AB65" s="33"/>
      <c r="AC65" s="33"/>
      <c r="AD65" s="0" t="e">
        <f aca="false">VLOOKUP(AB65,INCNG,3,FALSE())</f>
        <v>#N/A</v>
      </c>
    </row>
    <row r="66" customFormat="false" ht="12.75" hidden="false" customHeight="false" outlineLevel="0" collapsed="false">
      <c r="A66" s="0" t="s">
        <v>486</v>
      </c>
      <c r="B66" s="0" t="s">
        <v>273</v>
      </c>
      <c r="C66" s="0" t="s">
        <v>79</v>
      </c>
      <c r="D66" s="0" t="n">
        <v>3130501</v>
      </c>
      <c r="E66" s="0" t="s">
        <v>454</v>
      </c>
      <c r="F66" s="21" t="n">
        <v>37196</v>
      </c>
      <c r="G66" s="21"/>
      <c r="H66" s="21"/>
      <c r="I66" s="21" t="s">
        <v>450</v>
      </c>
      <c r="J66" s="0" t="n">
        <f aca="false">IF(ISNA(VLOOKUP(C66,CNGx,2,FALSE())),"na",(VLOOKUP(C66,CNGx,2,FALSE())))</f>
        <v>238</v>
      </c>
      <c r="K66" s="0" t="n">
        <f aca="false">IF(ISNA(VLOOKUP(C66,CNGx,3,0)),0,VLOOKUP(C66,CNGx,3,FALSE()))</f>
        <v>347</v>
      </c>
      <c r="L66" s="29" t="n">
        <f aca="false">VLOOKUP(I66,Retention,2,FALSE())</f>
        <v>0.0228</v>
      </c>
      <c r="M66" s="30" t="n">
        <f aca="false">IF(OR(I66="TD",I66="TW"),0,J66*0.0228)</f>
        <v>5.4264</v>
      </c>
      <c r="N66" s="30" t="n">
        <f aca="false">IF(OR(I66="TD",I66="TW"),0,K66*0.0228)</f>
        <v>7.9116</v>
      </c>
      <c r="O66" s="30" t="n">
        <f aca="false">J66-ROUND(+$J66*(VLOOKUP($I66,cngded,6,FALSE())),0)</f>
        <v>206</v>
      </c>
      <c r="P66" s="30" t="n">
        <f aca="false">K66-ROUND(+$K66*(VLOOKUP($I66,cngded,6,FALSE())),0)</f>
        <v>301</v>
      </c>
      <c r="Q66" s="23" t="str">
        <f aca="false">IF(ISNA(VLOOKUP(C66,INCNG,1,FALSE())),"--","Y")</f>
        <v>Y</v>
      </c>
      <c r="R66" s="23" t="n">
        <f aca="false">IF(ISNA(VLOOKUP(C66,INCNG,10,FALSE())),0,VLOOKUP(C66,INCNG,10,FALSE()))</f>
        <v>206</v>
      </c>
      <c r="S66" s="0" t="n">
        <f aca="false">+K66-R66</f>
        <v>141</v>
      </c>
      <c r="T66" s="31" t="n">
        <f aca="false">+P66-R66</f>
        <v>95</v>
      </c>
      <c r="U66" s="32" t="n">
        <f aca="false">ROUND(+$K66*(VLOOKUP($I66,Retention,2,FALSE())),0)</f>
        <v>8</v>
      </c>
      <c r="V66" s="32" t="n">
        <f aca="false">ROUND(+$K66*(VLOOKUP($I66,Retention,3,FALSE())),0)</f>
        <v>24</v>
      </c>
      <c r="W66" s="32" t="n">
        <f aca="false">ROUND(+$K66*(VLOOKUP($I66,Retention,4,FALSE())),0)</f>
        <v>10</v>
      </c>
      <c r="X66" s="32" t="n">
        <f aca="false">ROUND(+$K66*(VLOOKUP($I66,Retention,5,FALSE())),0)</f>
        <v>3</v>
      </c>
      <c r="Y66" s="31" t="n">
        <f aca="false">SUM(U66:X66)</f>
        <v>45</v>
      </c>
      <c r="AB66" s="33"/>
      <c r="AC66" s="33"/>
      <c r="AD66" s="0" t="e">
        <f aca="false">VLOOKUP(AB66,INCNG,3,FALSE())</f>
        <v>#N/A</v>
      </c>
    </row>
    <row r="67" customFormat="false" ht="12.75" hidden="false" customHeight="false" outlineLevel="0" collapsed="false">
      <c r="A67" s="0" t="s">
        <v>486</v>
      </c>
      <c r="B67" s="0" t="s">
        <v>273</v>
      </c>
      <c r="C67" s="0" t="s">
        <v>359</v>
      </c>
      <c r="D67" s="0" t="n">
        <v>3131001</v>
      </c>
      <c r="E67" s="0" t="s">
        <v>453</v>
      </c>
      <c r="F67" s="21" t="n">
        <v>37196</v>
      </c>
      <c r="G67" s="21"/>
      <c r="H67" s="21"/>
      <c r="I67" s="21" t="s">
        <v>450</v>
      </c>
      <c r="J67" s="0" t="n">
        <f aca="false">IF(ISNA(VLOOKUP(C67,CNGx,2,FALSE())),"na",(VLOOKUP(C67,CNGx,2,FALSE())))</f>
        <v>30</v>
      </c>
      <c r="K67" s="0" t="n">
        <f aca="false">IF(ISNA(VLOOKUP(C67,CNGx,3,0)),0,VLOOKUP(C67,CNGx,3,FALSE()))</f>
        <v>38</v>
      </c>
      <c r="L67" s="29" t="n">
        <f aca="false">VLOOKUP(I67,Retention,2,FALSE())</f>
        <v>0.0228</v>
      </c>
      <c r="M67" s="30" t="n">
        <f aca="false">IF(OR(I67="TD",I67="TW"),0,J67*0.0228)</f>
        <v>0.684</v>
      </c>
      <c r="N67" s="30" t="n">
        <f aca="false">IF(OR(I67="TD",I67="TW"),0,K67*0.0228)</f>
        <v>0.8664</v>
      </c>
      <c r="O67" s="30" t="n">
        <f aca="false">J67-ROUND(+$J67*(VLOOKUP($I67,cngded,6,FALSE())),0)</f>
        <v>26</v>
      </c>
      <c r="P67" s="30" t="n">
        <f aca="false">K67-ROUND(+$K67*(VLOOKUP($I67,cngded,6,FALSE())),0)</f>
        <v>33</v>
      </c>
      <c r="Q67" s="23" t="str">
        <f aca="false">IF(ISNA(VLOOKUP(C67,INCNG,1,FALSE())),"--","Y")</f>
        <v>Y</v>
      </c>
      <c r="R67" s="23" t="n">
        <f aca="false">IF(ISNA(VLOOKUP(C67,INCNG,10,FALSE())),0,VLOOKUP(C67,INCNG,10,FALSE()))</f>
        <v>26</v>
      </c>
      <c r="S67" s="0" t="n">
        <f aca="false">+K67-R67</f>
        <v>12</v>
      </c>
      <c r="T67" s="31" t="n">
        <f aca="false">+P67-R67</f>
        <v>7</v>
      </c>
      <c r="U67" s="32" t="n">
        <f aca="false">ROUND(+$K67*(VLOOKUP($I67,Retention,2,FALSE())),0)</f>
        <v>1</v>
      </c>
      <c r="V67" s="32" t="n">
        <f aca="false">ROUND(+$K67*(VLOOKUP($I67,Retention,3,FALSE())),0)</f>
        <v>3</v>
      </c>
      <c r="W67" s="32" t="n">
        <f aca="false">ROUND(+$K67*(VLOOKUP($I67,Retention,4,FALSE())),0)</f>
        <v>1</v>
      </c>
      <c r="X67" s="32" t="n">
        <f aca="false">ROUND(+$K67*(VLOOKUP($I67,Retention,5,FALSE())),0)</f>
        <v>0</v>
      </c>
      <c r="Y67" s="31" t="n">
        <f aca="false">SUM(U67:X67)</f>
        <v>5</v>
      </c>
      <c r="AB67" s="33"/>
      <c r="AC67" s="33"/>
      <c r="AD67" s="0" t="e">
        <f aca="false">VLOOKUP(AB67,INCNG,3,FALSE())</f>
        <v>#N/A</v>
      </c>
    </row>
    <row r="68" customFormat="false" ht="12.75" hidden="false" customHeight="false" outlineLevel="0" collapsed="false">
      <c r="A68" s="0" t="s">
        <v>486</v>
      </c>
      <c r="B68" s="0" t="s">
        <v>273</v>
      </c>
      <c r="C68" s="0" t="s">
        <v>360</v>
      </c>
      <c r="D68" s="0" t="n">
        <v>3131101</v>
      </c>
      <c r="E68" s="0" t="s">
        <v>453</v>
      </c>
      <c r="F68" s="21" t="n">
        <v>37196</v>
      </c>
      <c r="G68" s="21"/>
      <c r="H68" s="21"/>
      <c r="I68" s="21" t="s">
        <v>450</v>
      </c>
      <c r="J68" s="0" t="n">
        <f aca="false">IF(ISNA(VLOOKUP(C68,CNGx,2,FALSE())),"na",(VLOOKUP(C68,CNGx,2,FALSE())))</f>
        <v>198</v>
      </c>
      <c r="K68" s="0" t="n">
        <f aca="false">IF(ISNA(VLOOKUP(C68,CNGx,3,0)),0,VLOOKUP(C68,CNGx,3,FALSE()))</f>
        <v>262</v>
      </c>
      <c r="L68" s="29" t="n">
        <f aca="false">VLOOKUP(I68,Retention,2,FALSE())</f>
        <v>0.0228</v>
      </c>
      <c r="M68" s="30" t="n">
        <f aca="false">IF(OR(I68="TD",I68="TW"),0,J68*0.0228)</f>
        <v>4.5144</v>
      </c>
      <c r="N68" s="30" t="n">
        <f aca="false">IF(OR(I68="TD",I68="TW"),0,K68*0.0228)</f>
        <v>5.9736</v>
      </c>
      <c r="O68" s="30" t="n">
        <f aca="false">J68-ROUND(+$J68*(VLOOKUP($I68,cngded,6,FALSE())),0)</f>
        <v>172</v>
      </c>
      <c r="P68" s="30" t="n">
        <f aca="false">K68-ROUND(+$K68*(VLOOKUP($I68,cngded,6,FALSE())),0)</f>
        <v>227</v>
      </c>
      <c r="Q68" s="23" t="str">
        <f aca="false">IF(ISNA(VLOOKUP(C68,INCNG,1,FALSE())),"--","Y")</f>
        <v>Y</v>
      </c>
      <c r="R68" s="23" t="n">
        <f aca="false">IF(ISNA(VLOOKUP(C68,INCNG,10,FALSE())),0,VLOOKUP(C68,INCNG,10,FALSE()))</f>
        <v>172</v>
      </c>
      <c r="S68" s="0" t="n">
        <f aca="false">+K68-R68</f>
        <v>90</v>
      </c>
      <c r="T68" s="31" t="n">
        <f aca="false">+P68-R68</f>
        <v>55</v>
      </c>
      <c r="U68" s="32" t="n">
        <f aca="false">ROUND(+$K68*(VLOOKUP($I68,Retention,2,FALSE())),0)</f>
        <v>6</v>
      </c>
      <c r="V68" s="32" t="n">
        <f aca="false">ROUND(+$K68*(VLOOKUP($I68,Retention,3,FALSE())),0)</f>
        <v>18</v>
      </c>
      <c r="W68" s="32" t="n">
        <f aca="false">ROUND(+$K68*(VLOOKUP($I68,Retention,4,FALSE())),0)</f>
        <v>8</v>
      </c>
      <c r="X68" s="32" t="n">
        <f aca="false">ROUND(+$K68*(VLOOKUP($I68,Retention,5,FALSE())),0)</f>
        <v>2</v>
      </c>
      <c r="Y68" s="31" t="n">
        <f aca="false">SUM(U68:X68)</f>
        <v>34</v>
      </c>
      <c r="AB68" s="33"/>
      <c r="AC68" s="33"/>
      <c r="AD68" s="0" t="e">
        <f aca="false">VLOOKUP(AB68,INCNG,3,FALSE())</f>
        <v>#N/A</v>
      </c>
    </row>
    <row r="69" customFormat="false" ht="12.75" hidden="false" customHeight="false" outlineLevel="0" collapsed="false">
      <c r="A69" s="0" t="s">
        <v>486</v>
      </c>
      <c r="B69" s="0" t="s">
        <v>273</v>
      </c>
      <c r="C69" s="0" t="s">
        <v>372</v>
      </c>
      <c r="D69" s="0" t="n">
        <v>3133001</v>
      </c>
      <c r="E69" s="0" t="s">
        <v>456</v>
      </c>
      <c r="F69" s="21" t="n">
        <v>37196</v>
      </c>
      <c r="G69" s="21"/>
      <c r="H69" s="21"/>
      <c r="I69" s="21" t="s">
        <v>450</v>
      </c>
      <c r="J69" s="0" t="n">
        <f aca="false">IF(ISNA(VLOOKUP(C69,CNGx,2,FALSE())),"na",(VLOOKUP(C69,CNGx,2,FALSE())))</f>
        <v>185</v>
      </c>
      <c r="K69" s="0" t="n">
        <f aca="false">IF(ISNA(VLOOKUP(C69,CNGx,3,0)),0,VLOOKUP(C69,CNGx,3,FALSE()))</f>
        <v>253</v>
      </c>
      <c r="L69" s="29" t="n">
        <f aca="false">VLOOKUP(I69,Retention,2,FALSE())</f>
        <v>0.0228</v>
      </c>
      <c r="M69" s="30" t="n">
        <f aca="false">IF(OR(I69="TD",I69="TW"),0,J69*0.0228)</f>
        <v>4.218</v>
      </c>
      <c r="N69" s="30" t="n">
        <f aca="false">IF(OR(I69="TD",I69="TW"),0,K69*0.0228)</f>
        <v>5.7684</v>
      </c>
      <c r="O69" s="30" t="n">
        <f aca="false">J69-ROUND(+$J69*(VLOOKUP($I69,cngded,6,FALSE())),0)</f>
        <v>160</v>
      </c>
      <c r="P69" s="30" t="n">
        <f aca="false">K69-ROUND(+$K69*(VLOOKUP($I69,cngded,6,FALSE())),0)</f>
        <v>219</v>
      </c>
      <c r="Q69" s="23" t="str">
        <f aca="false">IF(ISNA(VLOOKUP(C69,INCNG,1,FALSE())),"--","Y")</f>
        <v>Y</v>
      </c>
      <c r="R69" s="23" t="n">
        <f aca="false">IF(ISNA(VLOOKUP(C69,INCNG,10,FALSE())),0,VLOOKUP(C69,INCNG,10,FALSE()))</f>
        <v>160</v>
      </c>
      <c r="S69" s="0" t="n">
        <f aca="false">+K69-R69</f>
        <v>93</v>
      </c>
      <c r="T69" s="31" t="n">
        <f aca="false">+P69-R69</f>
        <v>59</v>
      </c>
      <c r="U69" s="32" t="n">
        <f aca="false">ROUND(+$K69*(VLOOKUP($I69,Retention,2,FALSE())),0)</f>
        <v>6</v>
      </c>
      <c r="V69" s="32" t="n">
        <f aca="false">ROUND(+$K69*(VLOOKUP($I69,Retention,3,FALSE())),0)</f>
        <v>18</v>
      </c>
      <c r="W69" s="32" t="n">
        <f aca="false">ROUND(+$K69*(VLOOKUP($I69,Retention,4,FALSE())),0)</f>
        <v>8</v>
      </c>
      <c r="X69" s="32" t="n">
        <f aca="false">ROUND(+$K69*(VLOOKUP($I69,Retention,5,FALSE())),0)</f>
        <v>2</v>
      </c>
      <c r="Y69" s="31" t="n">
        <f aca="false">SUM(U69:X69)</f>
        <v>34</v>
      </c>
      <c r="AB69" s="33"/>
      <c r="AC69" s="33"/>
      <c r="AD69" s="0" t="e">
        <f aca="false">VLOOKUP(AB69,INCNG,3,FALSE())</f>
        <v>#N/A</v>
      </c>
    </row>
    <row r="70" customFormat="false" ht="12.75" hidden="false" customHeight="false" outlineLevel="0" collapsed="false">
      <c r="A70" s="0" t="s">
        <v>486</v>
      </c>
      <c r="B70" s="0" t="s">
        <v>488</v>
      </c>
      <c r="C70" s="0" t="s">
        <v>125</v>
      </c>
      <c r="D70" s="0" t="n">
        <v>3134901</v>
      </c>
      <c r="E70" s="0" t="s">
        <v>461</v>
      </c>
      <c r="F70" s="21" t="n">
        <v>37196</v>
      </c>
      <c r="G70" s="21"/>
      <c r="H70" s="21"/>
      <c r="I70" s="21" t="s">
        <v>449</v>
      </c>
      <c r="J70" s="0" t="n">
        <f aca="false">IF(ISNA(VLOOKUP(C70,CNGx,2,FALSE())),"na",(VLOOKUP(C70,CNGx,2,FALSE())))</f>
        <v>591</v>
      </c>
      <c r="K70" s="0" t="n">
        <f aca="false">IF(ISNA(VLOOKUP(C70,CNGx,3,0)),0,VLOOKUP(C70,CNGx,3,FALSE()))</f>
        <v>821</v>
      </c>
      <c r="L70" s="29" t="n">
        <f aca="false">VLOOKUP(I70,Retention,2,FALSE())</f>
        <v>0</v>
      </c>
      <c r="M70" s="30" t="n">
        <f aca="false">IF(OR(I70="TD",I70="TW"),0,J70*0.0228)</f>
        <v>0</v>
      </c>
      <c r="N70" s="30" t="n">
        <f aca="false">IF(OR(I70="TD",I70="TW"),0,K70*0.0228)</f>
        <v>0</v>
      </c>
      <c r="O70" s="30" t="n">
        <f aca="false">J70-ROUND(+$J70*(VLOOKUP($I70,cngded,6,FALSE())),0)</f>
        <v>591</v>
      </c>
      <c r="P70" s="30" t="n">
        <f aca="false">K70-ROUND(+$K70*(VLOOKUP($I70,cngded,6,FALSE())),0)</f>
        <v>821</v>
      </c>
      <c r="Q70" s="23" t="str">
        <f aca="false">IF(ISNA(VLOOKUP(C70,INCNG,1,FALSE())),"--","Y")</f>
        <v>Y</v>
      </c>
      <c r="R70" s="23" t="n">
        <f aca="false">IF(ISNA(VLOOKUP(C70,INCNG,10,FALSE())),0,VLOOKUP(C70,INCNG,10,FALSE()))</f>
        <v>591</v>
      </c>
      <c r="S70" s="0" t="n">
        <f aca="false">+K70-R70</f>
        <v>230</v>
      </c>
      <c r="T70" s="31" t="n">
        <f aca="false">+P70-R70</f>
        <v>230</v>
      </c>
      <c r="U70" s="32" t="n">
        <f aca="false">ROUND(+$K70*(VLOOKUP($I70,Retention,2,FALSE())),0)</f>
        <v>0</v>
      </c>
      <c r="V70" s="32" t="n">
        <f aca="false">ROUND(+$K70*(VLOOKUP($I70,Retention,3,FALSE())),0)</f>
        <v>0</v>
      </c>
      <c r="W70" s="32" t="n">
        <f aca="false">ROUND(+$K70*(VLOOKUP($I70,Retention,4,FALSE())),0)</f>
        <v>0</v>
      </c>
      <c r="X70" s="32" t="n">
        <f aca="false">ROUND(+$K70*(VLOOKUP($I70,Retention,5,FALSE())),0)</f>
        <v>0</v>
      </c>
      <c r="Y70" s="31" t="n">
        <f aca="false">SUM(U70:X70)</f>
        <v>0</v>
      </c>
      <c r="AB70" s="33"/>
      <c r="AC70" s="33"/>
      <c r="AD70" s="0" t="e">
        <f aca="false">VLOOKUP(AB70,INCNG,3,FALSE())</f>
        <v>#N/A</v>
      </c>
    </row>
    <row r="71" customFormat="false" ht="12.75" hidden="false" customHeight="false" outlineLevel="0" collapsed="false">
      <c r="A71" s="0" t="s">
        <v>486</v>
      </c>
      <c r="B71" s="0" t="s">
        <v>487</v>
      </c>
      <c r="C71" s="0" t="s">
        <v>248</v>
      </c>
      <c r="D71" s="0" t="n">
        <v>3136601</v>
      </c>
      <c r="E71" s="0" t="s">
        <v>459</v>
      </c>
      <c r="F71" s="21" t="n">
        <v>37196</v>
      </c>
      <c r="G71" s="21"/>
      <c r="H71" s="21"/>
      <c r="I71" s="21" t="s">
        <v>446</v>
      </c>
      <c r="J71" s="0" t="n">
        <f aca="false">IF(ISNA(VLOOKUP(C71,CNGx,2,FALSE())),"na",(VLOOKUP(C71,CNGx,2,FALSE())))</f>
        <v>213</v>
      </c>
      <c r="K71" s="0" t="n">
        <f aca="false">IF(ISNA(VLOOKUP(C71,CNGx,3,0)),0,VLOOKUP(C71,CNGx,3,FALSE()))</f>
        <v>269</v>
      </c>
      <c r="L71" s="29" t="n">
        <f aca="false">VLOOKUP(I71,Retention,2,FALSE())</f>
        <v>0</v>
      </c>
      <c r="M71" s="30" t="n">
        <f aca="false">IF(OR(I71="TD",I71="TW"),0,J71*0.0228)</f>
        <v>0</v>
      </c>
      <c r="N71" s="30" t="n">
        <f aca="false">IF(OR(I71="TD",I71="TW"),0,K71*0.0228)</f>
        <v>0</v>
      </c>
      <c r="O71" s="30" t="n">
        <f aca="false">J71-ROUND(+$J71*(VLOOKUP($I71,cngded,6,FALSE())),0)</f>
        <v>205</v>
      </c>
      <c r="P71" s="30" t="n">
        <f aca="false">K71-ROUND(+$K71*(VLOOKUP($I71,cngded,6,FALSE())),0)</f>
        <v>258</v>
      </c>
      <c r="Q71" s="23" t="str">
        <f aca="false">IF(ISNA(VLOOKUP(C71,INCNG,1,FALSE())),"--","Y")</f>
        <v>Y</v>
      </c>
      <c r="R71" s="23" t="n">
        <f aca="false">IF(ISNA(VLOOKUP(C71,INCNG,10,FALSE())),0,VLOOKUP(C71,INCNG,10,FALSE()))</f>
        <v>205</v>
      </c>
      <c r="S71" s="0" t="n">
        <f aca="false">+K71-R71</f>
        <v>64</v>
      </c>
      <c r="T71" s="31" t="n">
        <f aca="false">+P71-R71</f>
        <v>53</v>
      </c>
      <c r="U71" s="32" t="n">
        <f aca="false">ROUND(+$K71*(VLOOKUP($I71,Retention,2,FALSE())),0)</f>
        <v>0</v>
      </c>
      <c r="V71" s="32" t="n">
        <f aca="false">ROUND(+$K71*(VLOOKUP($I71,Retention,3,FALSE())),0)</f>
        <v>0</v>
      </c>
      <c r="W71" s="32" t="n">
        <f aca="false">ROUND(+$K71*(VLOOKUP($I71,Retention,4,FALSE())),0)</f>
        <v>8</v>
      </c>
      <c r="X71" s="32" t="n">
        <f aca="false">ROUND(+$K71*(VLOOKUP($I71,Retention,5,FALSE())),0)</f>
        <v>2</v>
      </c>
      <c r="Y71" s="31" t="n">
        <f aca="false">SUM(U71:X71)</f>
        <v>10</v>
      </c>
      <c r="AB71" s="33"/>
      <c r="AC71" s="33"/>
      <c r="AD71" s="0" t="e">
        <f aca="false">VLOOKUP(AB71,INCNG,3,FALSE())</f>
        <v>#N/A</v>
      </c>
    </row>
    <row r="72" customFormat="false" ht="12.75" hidden="false" customHeight="false" outlineLevel="0" collapsed="false">
      <c r="A72" s="0" t="s">
        <v>486</v>
      </c>
      <c r="B72" s="0" t="s">
        <v>273</v>
      </c>
      <c r="C72" s="0" t="s">
        <v>121</v>
      </c>
      <c r="D72" s="0" t="n">
        <v>3139001</v>
      </c>
      <c r="E72" s="0" t="s">
        <v>120</v>
      </c>
      <c r="F72" s="21" t="n">
        <v>37196</v>
      </c>
      <c r="G72" s="21"/>
      <c r="H72" s="21"/>
      <c r="I72" s="21" t="s">
        <v>450</v>
      </c>
      <c r="J72" s="0" t="n">
        <f aca="false">IF(ISNA(VLOOKUP(C72,CNGx,2,FALSE())),"na",(VLOOKUP(C72,CNGx,2,FALSE())))</f>
        <v>168</v>
      </c>
      <c r="K72" s="0" t="n">
        <f aca="false">IF(ISNA(VLOOKUP(C72,CNGx,3,0)),0,VLOOKUP(C72,CNGx,3,FALSE()))</f>
        <v>243</v>
      </c>
      <c r="L72" s="29" t="n">
        <f aca="false">VLOOKUP(I72,Retention,2,FALSE())</f>
        <v>0.0228</v>
      </c>
      <c r="M72" s="30" t="n">
        <f aca="false">IF(OR(I72="TD",I72="TW"),0,J72*0.0228)</f>
        <v>3.8304</v>
      </c>
      <c r="N72" s="30" t="n">
        <f aca="false">IF(OR(I72="TD",I72="TW"),0,K72*0.0228)</f>
        <v>5.5404</v>
      </c>
      <c r="O72" s="30" t="n">
        <f aca="false">J72-ROUND(+$J72*(VLOOKUP($I72,cngded,6,FALSE())),0)</f>
        <v>146</v>
      </c>
      <c r="P72" s="30" t="n">
        <f aca="false">K72-ROUND(+$K72*(VLOOKUP($I72,cngded,6,FALSE())),0)</f>
        <v>211</v>
      </c>
      <c r="Q72" s="23" t="str">
        <f aca="false">IF(ISNA(VLOOKUP(C72,INCNG,1,FALSE())),"--","Y")</f>
        <v>Y</v>
      </c>
      <c r="R72" s="23" t="n">
        <f aca="false">IF(ISNA(VLOOKUP(C72,INCNG,10,FALSE())),0,VLOOKUP(C72,INCNG,10,FALSE()))</f>
        <v>146</v>
      </c>
      <c r="S72" s="0" t="n">
        <f aca="false">+K72-R72</f>
        <v>97</v>
      </c>
      <c r="T72" s="31" t="n">
        <f aca="false">+P72-R72</f>
        <v>65</v>
      </c>
      <c r="U72" s="32" t="n">
        <f aca="false">ROUND(+$K72*(VLOOKUP($I72,Retention,2,FALSE())),0)</f>
        <v>6</v>
      </c>
      <c r="V72" s="32" t="n">
        <f aca="false">ROUND(+$K72*(VLOOKUP($I72,Retention,3,FALSE())),0)</f>
        <v>17</v>
      </c>
      <c r="W72" s="32" t="n">
        <f aca="false">ROUND(+$K72*(VLOOKUP($I72,Retention,4,FALSE())),0)</f>
        <v>7</v>
      </c>
      <c r="X72" s="32" t="n">
        <f aca="false">ROUND(+$K72*(VLOOKUP($I72,Retention,5,FALSE())),0)</f>
        <v>2</v>
      </c>
      <c r="Y72" s="31" t="n">
        <f aca="false">SUM(U72:X72)</f>
        <v>32</v>
      </c>
      <c r="AB72" s="33"/>
      <c r="AC72" s="33"/>
      <c r="AD72" s="0" t="e">
        <f aca="false">VLOOKUP(AB72,INCNG,3,FALSE())</f>
        <v>#N/A</v>
      </c>
    </row>
    <row r="73" customFormat="false" ht="12.75" hidden="false" customHeight="false" outlineLevel="0" collapsed="false">
      <c r="A73" s="0" t="s">
        <v>486</v>
      </c>
      <c r="B73" s="0" t="s">
        <v>273</v>
      </c>
      <c r="C73" s="0" t="s">
        <v>80</v>
      </c>
      <c r="D73" s="0" t="n">
        <v>3141701</v>
      </c>
      <c r="E73" s="0" t="s">
        <v>454</v>
      </c>
      <c r="F73" s="21" t="n">
        <v>37196</v>
      </c>
      <c r="G73" s="21"/>
      <c r="H73" s="21"/>
      <c r="I73" s="21" t="s">
        <v>450</v>
      </c>
      <c r="J73" s="0" t="n">
        <f aca="false">IF(ISNA(VLOOKUP(C73,CNGx,2,FALSE())),"na",(VLOOKUP(C73,CNGx,2,FALSE())))</f>
        <v>31</v>
      </c>
      <c r="K73" s="0" t="n">
        <f aca="false">IF(ISNA(VLOOKUP(C73,CNGx,3,0)),0,VLOOKUP(C73,CNGx,3,FALSE()))</f>
        <v>58</v>
      </c>
      <c r="L73" s="29" t="n">
        <f aca="false">VLOOKUP(I73,Retention,2,FALSE())</f>
        <v>0.0228</v>
      </c>
      <c r="M73" s="30" t="n">
        <f aca="false">IF(OR(I73="TD",I73="TW"),0,J73*0.0228)</f>
        <v>0.7068</v>
      </c>
      <c r="N73" s="30" t="n">
        <f aca="false">IF(OR(I73="TD",I73="TW"),0,K73*0.0228)</f>
        <v>1.3224</v>
      </c>
      <c r="O73" s="30" t="n">
        <f aca="false">J73-ROUND(+$J73*(VLOOKUP($I73,cngded,6,FALSE())),0)</f>
        <v>27</v>
      </c>
      <c r="P73" s="30" t="n">
        <f aca="false">K73-ROUND(+$K73*(VLOOKUP($I73,cngded,6,FALSE())),0)</f>
        <v>50</v>
      </c>
      <c r="Q73" s="23" t="str">
        <f aca="false">IF(ISNA(VLOOKUP(C73,INCNG,1,FALSE())),"--","Y")</f>
        <v>Y</v>
      </c>
      <c r="R73" s="23" t="n">
        <f aca="false">IF(ISNA(VLOOKUP(C73,INCNG,10,FALSE())),0,VLOOKUP(C73,INCNG,10,FALSE()))</f>
        <v>27</v>
      </c>
      <c r="S73" s="0" t="n">
        <f aca="false">+K73-R73</f>
        <v>31</v>
      </c>
      <c r="T73" s="31" t="n">
        <f aca="false">+P73-R73</f>
        <v>23</v>
      </c>
      <c r="U73" s="32" t="n">
        <f aca="false">ROUND(+$K73*(VLOOKUP($I73,Retention,2,FALSE())),0)</f>
        <v>1</v>
      </c>
      <c r="V73" s="32" t="n">
        <f aca="false">ROUND(+$K73*(VLOOKUP($I73,Retention,3,FALSE())),0)</f>
        <v>4</v>
      </c>
      <c r="W73" s="32" t="n">
        <f aca="false">ROUND(+$K73*(VLOOKUP($I73,Retention,4,FALSE())),0)</f>
        <v>2</v>
      </c>
      <c r="X73" s="32" t="n">
        <f aca="false">ROUND(+$K73*(VLOOKUP($I73,Retention,5,FALSE())),0)</f>
        <v>1</v>
      </c>
      <c r="Y73" s="31" t="n">
        <f aca="false">SUM(U73:X73)</f>
        <v>8</v>
      </c>
      <c r="AB73" s="33"/>
      <c r="AC73" s="33"/>
      <c r="AD73" s="0" t="e">
        <f aca="false">VLOOKUP(AB73,INCNG,3,FALSE())</f>
        <v>#N/A</v>
      </c>
    </row>
    <row r="74" customFormat="false" ht="12.75" hidden="false" customHeight="false" outlineLevel="0" collapsed="false">
      <c r="A74" s="0" t="s">
        <v>486</v>
      </c>
      <c r="B74" s="0" t="s">
        <v>273</v>
      </c>
      <c r="C74" s="0" t="s">
        <v>279</v>
      </c>
      <c r="D74" s="0" t="n">
        <v>3153701</v>
      </c>
      <c r="E74" s="0" t="s">
        <v>278</v>
      </c>
      <c r="F74" s="21" t="n">
        <v>37196</v>
      </c>
      <c r="G74" s="21"/>
      <c r="H74" s="21"/>
      <c r="I74" s="21" t="s">
        <v>450</v>
      </c>
      <c r="J74" s="0" t="n">
        <f aca="false">IF(ISNA(VLOOKUP(C74,CNGx,2,FALSE())),"na",(VLOOKUP(C74,CNGx,2,FALSE())))</f>
        <v>1399</v>
      </c>
      <c r="K74" s="0" t="n">
        <f aca="false">IF(ISNA(VLOOKUP(C74,CNGx,3,0)),0,VLOOKUP(C74,CNGx,3,FALSE()))</f>
        <v>1739</v>
      </c>
      <c r="L74" s="29" t="n">
        <f aca="false">VLOOKUP(I74,Retention,2,FALSE())</f>
        <v>0.0228</v>
      </c>
      <c r="M74" s="30" t="n">
        <f aca="false">IF(OR(I74="TD",I74="TW"),0,J74*0.0228)</f>
        <v>31.8972</v>
      </c>
      <c r="N74" s="30" t="n">
        <f aca="false">IF(OR(I74="TD",I74="TW"),0,K74*0.0228)</f>
        <v>39.6492</v>
      </c>
      <c r="O74" s="30" t="n">
        <f aca="false">J74-ROUND(+$J74*(VLOOKUP($I74,cngded,6,FALSE())),0)</f>
        <v>1214</v>
      </c>
      <c r="P74" s="30" t="n">
        <f aca="false">K74-ROUND(+$K74*(VLOOKUP($I74,cngded,6,FALSE())),0)</f>
        <v>1509</v>
      </c>
      <c r="Q74" s="23" t="str">
        <f aca="false">IF(ISNA(VLOOKUP(C74,INCNG,1,FALSE())),"--","Y")</f>
        <v>Y</v>
      </c>
      <c r="R74" s="23" t="n">
        <f aca="false">IF(ISNA(VLOOKUP(C74,INCNG,10,FALSE())),0,VLOOKUP(C74,INCNG,10,FALSE()))</f>
        <v>1214</v>
      </c>
      <c r="S74" s="0" t="n">
        <f aca="false">+K74-R74</f>
        <v>525</v>
      </c>
      <c r="T74" s="31" t="n">
        <f aca="false">+P74-R74</f>
        <v>295</v>
      </c>
      <c r="U74" s="32" t="n">
        <f aca="false">ROUND(+$K74*(VLOOKUP($I74,Retention,2,FALSE())),0)</f>
        <v>40</v>
      </c>
      <c r="V74" s="32" t="n">
        <f aca="false">ROUND(+$K74*(VLOOKUP($I74,Retention,3,FALSE())),0)</f>
        <v>123</v>
      </c>
      <c r="W74" s="32" t="n">
        <f aca="false">ROUND(+$K74*(VLOOKUP($I74,Retention,4,FALSE())),0)</f>
        <v>52</v>
      </c>
      <c r="X74" s="32" t="n">
        <f aca="false">ROUND(+$K74*(VLOOKUP($I74,Retention,5,FALSE())),0)</f>
        <v>16</v>
      </c>
      <c r="Y74" s="31" t="n">
        <f aca="false">SUM(U74:X74)</f>
        <v>231</v>
      </c>
      <c r="AB74" s="33"/>
      <c r="AC74" s="33"/>
      <c r="AD74" s="0" t="e">
        <f aca="false">VLOOKUP(AB74,INCNG,3,FALSE())</f>
        <v>#N/A</v>
      </c>
    </row>
    <row r="75" customFormat="false" ht="12.75" hidden="false" customHeight="false" outlineLevel="0" collapsed="false">
      <c r="A75" s="0" t="s">
        <v>486</v>
      </c>
      <c r="B75" s="0" t="s">
        <v>273</v>
      </c>
      <c r="C75" s="0" t="s">
        <v>219</v>
      </c>
      <c r="D75" s="0" t="n">
        <v>3178601</v>
      </c>
      <c r="E75" s="0" t="s">
        <v>452</v>
      </c>
      <c r="F75" s="21" t="n">
        <v>37196</v>
      </c>
      <c r="G75" s="21"/>
      <c r="H75" s="21"/>
      <c r="I75" s="21" t="s">
        <v>450</v>
      </c>
      <c r="J75" s="0" t="n">
        <f aca="false">IF(ISNA(VLOOKUP(C75,CNGx,2,FALSE())),"na",(VLOOKUP(C75,CNGx,2,FALSE())))</f>
        <v>1057</v>
      </c>
      <c r="K75" s="0" t="n">
        <f aca="false">IF(ISNA(VLOOKUP(C75,CNGx,3,0)),0,VLOOKUP(C75,CNGx,3,FALSE()))</f>
        <v>1281</v>
      </c>
      <c r="L75" s="29" t="n">
        <f aca="false">VLOOKUP(I75,Retention,2,FALSE())</f>
        <v>0.0228</v>
      </c>
      <c r="M75" s="30" t="n">
        <f aca="false">IF(OR(I75="TD",I75="TW"),0,J75*0.0228)</f>
        <v>24.0996</v>
      </c>
      <c r="N75" s="30" t="n">
        <f aca="false">IF(OR(I75="TD",I75="TW"),0,K75*0.0228)</f>
        <v>29.2068</v>
      </c>
      <c r="O75" s="30" t="n">
        <f aca="false">J75-ROUND(+$J75*(VLOOKUP($I75,cngded,6,FALSE())),0)</f>
        <v>917</v>
      </c>
      <c r="P75" s="30" t="n">
        <f aca="false">K75-ROUND(+$K75*(VLOOKUP($I75,cngded,6,FALSE())),0)</f>
        <v>1111</v>
      </c>
      <c r="Q75" s="23" t="str">
        <f aca="false">IF(ISNA(VLOOKUP(C75,INCNG,1,FALSE())),"--","Y")</f>
        <v>Y</v>
      </c>
      <c r="R75" s="23" t="n">
        <f aca="false">IF(ISNA(VLOOKUP(C75,INCNG,10,FALSE())),0,VLOOKUP(C75,INCNG,10,FALSE()))</f>
        <v>917</v>
      </c>
      <c r="S75" s="0" t="n">
        <f aca="false">+K75-R75</f>
        <v>364</v>
      </c>
      <c r="T75" s="31" t="n">
        <f aca="false">+P75-R75</f>
        <v>194</v>
      </c>
      <c r="U75" s="32" t="n">
        <f aca="false">ROUND(+$K75*(VLOOKUP($I75,Retention,2,FALSE())),0)</f>
        <v>29</v>
      </c>
      <c r="V75" s="32" t="n">
        <f aca="false">ROUND(+$K75*(VLOOKUP($I75,Retention,3,FALSE())),0)</f>
        <v>90</v>
      </c>
      <c r="W75" s="32" t="n">
        <f aca="false">ROUND(+$K75*(VLOOKUP($I75,Retention,4,FALSE())),0)</f>
        <v>38</v>
      </c>
      <c r="X75" s="32" t="n">
        <f aca="false">ROUND(+$K75*(VLOOKUP($I75,Retention,5,FALSE())),0)</f>
        <v>12</v>
      </c>
      <c r="Y75" s="31" t="n">
        <f aca="false">SUM(U75:X75)</f>
        <v>169</v>
      </c>
      <c r="AB75" s="33"/>
      <c r="AC75" s="33"/>
      <c r="AD75" s="0" t="e">
        <f aca="false">VLOOKUP(AB75,INCNG,3,FALSE())</f>
        <v>#N/A</v>
      </c>
    </row>
    <row r="76" customFormat="false" ht="12.75" hidden="false" customHeight="false" outlineLevel="0" collapsed="false">
      <c r="A76" s="0" t="s">
        <v>486</v>
      </c>
      <c r="B76" s="0" t="s">
        <v>273</v>
      </c>
      <c r="C76" s="0" t="s">
        <v>433</v>
      </c>
      <c r="D76" s="0" t="n">
        <v>3190601</v>
      </c>
      <c r="E76" s="0" t="s">
        <v>434</v>
      </c>
      <c r="F76" s="21" t="n">
        <v>37196</v>
      </c>
      <c r="G76" s="21"/>
      <c r="H76" s="21"/>
      <c r="I76" s="21" t="s">
        <v>450</v>
      </c>
      <c r="J76" s="0" t="n">
        <f aca="false">IF(ISNA(VLOOKUP(C76,CNGx,2,FALSE())),"na",(VLOOKUP(C76,CNGx,2,FALSE())))</f>
        <v>156</v>
      </c>
      <c r="K76" s="0" t="n">
        <f aca="false">IF(ISNA(VLOOKUP(C76,CNGx,3,0)),0,VLOOKUP(C76,CNGx,3,FALSE()))</f>
        <v>180</v>
      </c>
      <c r="L76" s="29" t="n">
        <f aca="false">VLOOKUP(I76,Retention,2,FALSE())</f>
        <v>0.0228</v>
      </c>
      <c r="M76" s="30" t="n">
        <f aca="false">IF(OR(I76="TD",I76="TW"),0,J76*0.0228)</f>
        <v>3.5568</v>
      </c>
      <c r="N76" s="30" t="n">
        <f aca="false">IF(OR(I76="TD",I76="TW"),0,K76*0.0228)</f>
        <v>4.104</v>
      </c>
      <c r="O76" s="30" t="n">
        <f aca="false">J76-ROUND(+$J76*(VLOOKUP($I76,cngded,6,FALSE())),0)</f>
        <v>135</v>
      </c>
      <c r="P76" s="30" t="n">
        <f aca="false">K76-ROUND(+$K76*(VLOOKUP($I76,cngded,6,FALSE())),0)</f>
        <v>156</v>
      </c>
      <c r="Q76" s="23" t="str">
        <f aca="false">IF(ISNA(VLOOKUP(C76,INCNG,1,FALSE())),"--","Y")</f>
        <v>Y</v>
      </c>
      <c r="R76" s="23" t="n">
        <f aca="false">IF(ISNA(VLOOKUP(C76,INCNG,10,FALSE())),0,VLOOKUP(C76,INCNG,10,FALSE()))</f>
        <v>135</v>
      </c>
      <c r="S76" s="0" t="n">
        <f aca="false">+K76-R76</f>
        <v>45</v>
      </c>
      <c r="T76" s="31" t="n">
        <f aca="false">+P76-R76</f>
        <v>21</v>
      </c>
      <c r="U76" s="32" t="n">
        <f aca="false">ROUND(+$K76*(VLOOKUP($I76,Retention,2,FALSE())),0)</f>
        <v>4</v>
      </c>
      <c r="V76" s="32" t="n">
        <f aca="false">ROUND(+$K76*(VLOOKUP($I76,Retention,3,FALSE())),0)</f>
        <v>13</v>
      </c>
      <c r="W76" s="32" t="n">
        <f aca="false">ROUND(+$K76*(VLOOKUP($I76,Retention,4,FALSE())),0)</f>
        <v>5</v>
      </c>
      <c r="X76" s="32" t="n">
        <f aca="false">ROUND(+$K76*(VLOOKUP($I76,Retention,5,FALSE())),0)</f>
        <v>2</v>
      </c>
      <c r="Y76" s="31" t="n">
        <f aca="false">SUM(U76:X76)</f>
        <v>24</v>
      </c>
      <c r="AB76" s="33"/>
      <c r="AC76" s="33"/>
      <c r="AD76" s="0" t="e">
        <f aca="false">VLOOKUP(AB76,INCNG,3,FALSE())</f>
        <v>#N/A</v>
      </c>
    </row>
    <row r="77" customFormat="false" ht="12.75" hidden="false" customHeight="false" outlineLevel="0" collapsed="false">
      <c r="A77" s="0" t="s">
        <v>486</v>
      </c>
      <c r="B77" s="0" t="s">
        <v>273</v>
      </c>
      <c r="C77" s="0" t="s">
        <v>68</v>
      </c>
      <c r="D77" s="0" t="n">
        <v>3209901</v>
      </c>
      <c r="E77" s="0" t="s">
        <v>46</v>
      </c>
      <c r="F77" s="21" t="n">
        <v>37196</v>
      </c>
      <c r="G77" s="21"/>
      <c r="H77" s="21"/>
      <c r="I77" s="21" t="s">
        <v>450</v>
      </c>
      <c r="J77" s="0" t="n">
        <f aca="false">IF(ISNA(VLOOKUP(C77,CNGx,2,FALSE())),"na",(VLOOKUP(C77,CNGx,2,FALSE())))</f>
        <v>0</v>
      </c>
      <c r="K77" s="0" t="n">
        <f aca="false">IF(ISNA(VLOOKUP(C77,CNGx,3,0)),0,VLOOKUP(C77,CNGx,3,FALSE()))</f>
        <v>0</v>
      </c>
      <c r="L77" s="29" t="n">
        <f aca="false">VLOOKUP(I77,Retention,2,FALSE())</f>
        <v>0.0228</v>
      </c>
      <c r="M77" s="30" t="n">
        <f aca="false">IF(OR(I77="TD",I77="TW"),0,J77*0.0228)</f>
        <v>0</v>
      </c>
      <c r="N77" s="30" t="n">
        <f aca="false">IF(OR(I77="TD",I77="TW"),0,K77*0.0228)</f>
        <v>0</v>
      </c>
      <c r="O77" s="30" t="n">
        <f aca="false">J77-ROUND(+$J77*(VLOOKUP($I77,cngded,6,FALSE())),0)</f>
        <v>0</v>
      </c>
      <c r="P77" s="30" t="n">
        <f aca="false">K77-ROUND(+$K77*(VLOOKUP($I77,cngded,6,FALSE())),0)</f>
        <v>0</v>
      </c>
      <c r="Q77" s="23" t="str">
        <f aca="false">IF(ISNA(VLOOKUP(C77,INCNG,1,FALSE())),"--","Y")</f>
        <v>Y</v>
      </c>
      <c r="R77" s="23" t="n">
        <f aca="false">IF(ISNA(VLOOKUP(C77,INCNG,10,FALSE())),0,VLOOKUP(C77,INCNG,10,FALSE()))</f>
        <v>0</v>
      </c>
      <c r="S77" s="0" t="n">
        <f aca="false">+K77-R77</f>
        <v>0</v>
      </c>
      <c r="T77" s="31" t="n">
        <f aca="false">+P77-R77</f>
        <v>0</v>
      </c>
      <c r="U77" s="32" t="n">
        <f aca="false">ROUND(+$K77*(VLOOKUP($I77,Retention,2,FALSE())),0)</f>
        <v>0</v>
      </c>
      <c r="V77" s="32" t="n">
        <f aca="false">ROUND(+$K77*(VLOOKUP($I77,Retention,3,FALSE())),0)</f>
        <v>0</v>
      </c>
      <c r="W77" s="32" t="n">
        <f aca="false">ROUND(+$K77*(VLOOKUP($I77,Retention,4,FALSE())),0)</f>
        <v>0</v>
      </c>
      <c r="X77" s="32" t="n">
        <f aca="false">ROUND(+$K77*(VLOOKUP($I77,Retention,5,FALSE())),0)</f>
        <v>0</v>
      </c>
      <c r="Y77" s="31" t="n">
        <f aca="false">SUM(U77:X77)</f>
        <v>0</v>
      </c>
      <c r="AB77" s="33"/>
      <c r="AC77" s="33"/>
      <c r="AD77" s="0" t="e">
        <f aca="false">VLOOKUP(AB77,INCNG,3,FALSE())</f>
        <v>#N/A</v>
      </c>
    </row>
    <row r="78" customFormat="false" ht="12.75" hidden="false" customHeight="false" outlineLevel="0" collapsed="false">
      <c r="A78" s="0" t="s">
        <v>486</v>
      </c>
      <c r="B78" s="0" t="s">
        <v>273</v>
      </c>
      <c r="C78" s="0" t="s">
        <v>249</v>
      </c>
      <c r="D78" s="0" t="n">
        <v>3219301</v>
      </c>
      <c r="E78" s="0" t="s">
        <v>459</v>
      </c>
      <c r="F78" s="21" t="n">
        <v>37196</v>
      </c>
      <c r="G78" s="21"/>
      <c r="H78" s="21"/>
      <c r="I78" s="21" t="s">
        <v>450</v>
      </c>
      <c r="J78" s="0" t="n">
        <f aca="false">IF(ISNA(VLOOKUP(C78,CNGx,2,FALSE())),"na",(VLOOKUP(C78,CNGx,2,FALSE())))</f>
        <v>0</v>
      </c>
      <c r="K78" s="0" t="n">
        <f aca="false">IF(ISNA(VLOOKUP(C78,CNGx,3,0)),0,VLOOKUP(C78,CNGx,3,FALSE()))</f>
        <v>0</v>
      </c>
      <c r="L78" s="29" t="n">
        <f aca="false">VLOOKUP(I78,Retention,2,FALSE())</f>
        <v>0.0228</v>
      </c>
      <c r="M78" s="30" t="n">
        <f aca="false">IF(OR(I78="TD",I78="TW"),0,J78*0.0228)</f>
        <v>0</v>
      </c>
      <c r="N78" s="30" t="n">
        <f aca="false">IF(OR(I78="TD",I78="TW"),0,K78*0.0228)</f>
        <v>0</v>
      </c>
      <c r="O78" s="30" t="n">
        <f aca="false">J78-ROUND(+$J78*(VLOOKUP($I78,cngded,6,FALSE())),0)</f>
        <v>0</v>
      </c>
      <c r="P78" s="30" t="n">
        <f aca="false">K78-ROUND(+$K78*(VLOOKUP($I78,cngded,6,FALSE())),0)</f>
        <v>0</v>
      </c>
      <c r="Q78" s="23" t="str">
        <f aca="false">IF(ISNA(VLOOKUP(C78,INCNG,1,FALSE())),"--","Y")</f>
        <v>Y</v>
      </c>
      <c r="R78" s="23" t="n">
        <f aca="false">IF(ISNA(VLOOKUP(C78,INCNG,10,FALSE())),0,VLOOKUP(C78,INCNG,10,FALSE()))</f>
        <v>0</v>
      </c>
      <c r="S78" s="0" t="n">
        <f aca="false">+K78-R78</f>
        <v>0</v>
      </c>
      <c r="T78" s="31" t="n">
        <f aca="false">+P78-R78</f>
        <v>0</v>
      </c>
      <c r="U78" s="32" t="n">
        <f aca="false">ROUND(+$K78*(VLOOKUP($I78,Retention,2,FALSE())),0)</f>
        <v>0</v>
      </c>
      <c r="V78" s="32" t="n">
        <f aca="false">ROUND(+$K78*(VLOOKUP($I78,Retention,3,FALSE())),0)</f>
        <v>0</v>
      </c>
      <c r="W78" s="32" t="n">
        <f aca="false">ROUND(+$K78*(VLOOKUP($I78,Retention,4,FALSE())),0)</f>
        <v>0</v>
      </c>
      <c r="X78" s="32" t="n">
        <f aca="false">ROUND(+$K78*(VLOOKUP($I78,Retention,5,FALSE())),0)</f>
        <v>0</v>
      </c>
      <c r="Y78" s="31" t="n">
        <f aca="false">SUM(U78:X78)</f>
        <v>0</v>
      </c>
      <c r="AB78" s="33"/>
      <c r="AC78" s="33"/>
      <c r="AD78" s="0" t="e">
        <f aca="false">VLOOKUP(AB78,INCNG,3,FALSE())</f>
        <v>#N/A</v>
      </c>
    </row>
    <row r="79" customFormat="false" ht="12.75" hidden="false" customHeight="false" outlineLevel="0" collapsed="false">
      <c r="A79" s="0" t="s">
        <v>486</v>
      </c>
      <c r="B79" s="0" t="s">
        <v>273</v>
      </c>
      <c r="C79" s="0" t="s">
        <v>271</v>
      </c>
      <c r="D79" s="0" t="n">
        <v>3223401</v>
      </c>
      <c r="E79" s="0" t="s">
        <v>453</v>
      </c>
      <c r="F79" s="21" t="n">
        <v>37196</v>
      </c>
      <c r="G79" s="21"/>
      <c r="H79" s="21"/>
      <c r="I79" s="21" t="s">
        <v>450</v>
      </c>
      <c r="J79" s="0" t="n">
        <f aca="false">IF(ISNA(VLOOKUP(C79,CNGx,2,FALSE())),"na",(VLOOKUP(C79,CNGx,2,FALSE())))</f>
        <v>24</v>
      </c>
      <c r="K79" s="0" t="n">
        <f aca="false">IF(ISNA(VLOOKUP(C79,CNGx,3,0)),0,VLOOKUP(C79,CNGx,3,FALSE()))</f>
        <v>28</v>
      </c>
      <c r="L79" s="29" t="n">
        <f aca="false">VLOOKUP(I79,Retention,2,FALSE())</f>
        <v>0.0228</v>
      </c>
      <c r="M79" s="30" t="n">
        <f aca="false">IF(OR(I79="TD",I79="TW"),0,J79*0.0228)</f>
        <v>0.5472</v>
      </c>
      <c r="N79" s="30" t="n">
        <f aca="false">IF(OR(I79="TD",I79="TW"),0,K79*0.0228)</f>
        <v>0.6384</v>
      </c>
      <c r="O79" s="30" t="n">
        <f aca="false">J79-ROUND(+$J79*(VLOOKUP($I79,cngded,6,FALSE())),0)</f>
        <v>21</v>
      </c>
      <c r="P79" s="30" t="n">
        <f aca="false">K79-ROUND(+$K79*(VLOOKUP($I79,cngded,6,FALSE())),0)</f>
        <v>24</v>
      </c>
      <c r="Q79" s="23" t="str">
        <f aca="false">IF(ISNA(VLOOKUP(C79,INCNG,1,FALSE())),"--","Y")</f>
        <v>Y</v>
      </c>
      <c r="R79" s="23" t="n">
        <f aca="false">IF(ISNA(VLOOKUP(C79,INCNG,10,FALSE())),0,VLOOKUP(C79,INCNG,10,FALSE()))</f>
        <v>21</v>
      </c>
      <c r="S79" s="0" t="n">
        <f aca="false">+K79-R79</f>
        <v>7</v>
      </c>
      <c r="T79" s="31" t="n">
        <f aca="false">+P79-R79</f>
        <v>3</v>
      </c>
      <c r="U79" s="32" t="n">
        <f aca="false">ROUND(+$K79*(VLOOKUP($I79,Retention,2,FALSE())),0)</f>
        <v>1</v>
      </c>
      <c r="V79" s="32" t="n">
        <f aca="false">ROUND(+$K79*(VLOOKUP($I79,Retention,3,FALSE())),0)</f>
        <v>2</v>
      </c>
      <c r="W79" s="32" t="n">
        <f aca="false">ROUND(+$K79*(VLOOKUP($I79,Retention,4,FALSE())),0)</f>
        <v>1</v>
      </c>
      <c r="X79" s="32" t="n">
        <f aca="false">ROUND(+$K79*(VLOOKUP($I79,Retention,5,FALSE())),0)</f>
        <v>0</v>
      </c>
      <c r="Y79" s="31" t="n">
        <f aca="false">SUM(U79:X79)</f>
        <v>4</v>
      </c>
      <c r="AB79" s="33"/>
      <c r="AC79" s="33"/>
      <c r="AD79" s="0" t="e">
        <f aca="false">VLOOKUP(AB79,INCNG,3,FALSE())</f>
        <v>#N/A</v>
      </c>
    </row>
    <row r="80" customFormat="false" ht="12.75" hidden="false" customHeight="false" outlineLevel="0" collapsed="false">
      <c r="A80" s="0" t="s">
        <v>486</v>
      </c>
      <c r="B80" s="0" t="s">
        <v>273</v>
      </c>
      <c r="C80" s="0" t="s">
        <v>364</v>
      </c>
      <c r="D80" s="0" t="n">
        <v>3225601</v>
      </c>
      <c r="E80" s="0" t="s">
        <v>365</v>
      </c>
      <c r="F80" s="21" t="n">
        <v>37196</v>
      </c>
      <c r="G80" s="21"/>
      <c r="H80" s="21"/>
      <c r="I80" s="21" t="s">
        <v>450</v>
      </c>
      <c r="J80" s="0" t="n">
        <f aca="false">IF(ISNA(VLOOKUP(C80,CNGx,2,FALSE())),"na",(VLOOKUP(C80,CNGx,2,FALSE())))</f>
        <v>6</v>
      </c>
      <c r="K80" s="0" t="n">
        <f aca="false">IF(ISNA(VLOOKUP(C80,CNGx,3,0)),0,VLOOKUP(C80,CNGx,3,FALSE()))</f>
        <v>10</v>
      </c>
      <c r="L80" s="29" t="n">
        <f aca="false">VLOOKUP(I80,Retention,2,FALSE())</f>
        <v>0.0228</v>
      </c>
      <c r="M80" s="30" t="n">
        <f aca="false">IF(OR(I80="TD",I80="TW"),0,J80*0.0228)</f>
        <v>0.1368</v>
      </c>
      <c r="N80" s="30" t="n">
        <f aca="false">IF(OR(I80="TD",I80="TW"),0,K80*0.0228)</f>
        <v>0.228</v>
      </c>
      <c r="O80" s="30" t="n">
        <f aca="false">J80-ROUND(+$J80*(VLOOKUP($I80,cngded,6,FALSE())),0)</f>
        <v>5</v>
      </c>
      <c r="P80" s="30" t="n">
        <f aca="false">K80-ROUND(+$K80*(VLOOKUP($I80,cngded,6,FALSE())),0)</f>
        <v>9</v>
      </c>
      <c r="Q80" s="23" t="str">
        <f aca="false">IF(ISNA(VLOOKUP(C80,INCNG,1,FALSE())),"--","Y")</f>
        <v>Y</v>
      </c>
      <c r="R80" s="23" t="n">
        <f aca="false">IF(ISNA(VLOOKUP(C80,INCNG,10,FALSE())),0,VLOOKUP(C80,INCNG,10,FALSE()))</f>
        <v>5</v>
      </c>
      <c r="S80" s="0" t="n">
        <f aca="false">+K80-R80</f>
        <v>5</v>
      </c>
      <c r="T80" s="31" t="n">
        <f aca="false">+P80-R80</f>
        <v>4</v>
      </c>
      <c r="U80" s="32" t="n">
        <f aca="false">ROUND(+$K80*(VLOOKUP($I80,Retention,2,FALSE())),0)</f>
        <v>0</v>
      </c>
      <c r="V80" s="32" t="n">
        <f aca="false">ROUND(+$K80*(VLOOKUP($I80,Retention,3,FALSE())),0)</f>
        <v>1</v>
      </c>
      <c r="W80" s="32" t="n">
        <f aca="false">ROUND(+$K80*(VLOOKUP($I80,Retention,4,FALSE())),0)</f>
        <v>0</v>
      </c>
      <c r="X80" s="32" t="n">
        <f aca="false">ROUND(+$K80*(VLOOKUP($I80,Retention,5,FALSE())),0)</f>
        <v>0</v>
      </c>
      <c r="Y80" s="31" t="n">
        <f aca="false">SUM(U80:X80)</f>
        <v>1</v>
      </c>
      <c r="AB80" s="33"/>
      <c r="AC80" s="33"/>
      <c r="AD80" s="0" t="e">
        <f aca="false">VLOOKUP(AB80,INCNG,3,FALSE())</f>
        <v>#N/A</v>
      </c>
    </row>
    <row r="81" customFormat="false" ht="12.75" hidden="false" customHeight="false" outlineLevel="0" collapsed="false">
      <c r="A81" s="0" t="s">
        <v>486</v>
      </c>
      <c r="B81" s="0" t="s">
        <v>273</v>
      </c>
      <c r="C81" s="0" t="s">
        <v>250</v>
      </c>
      <c r="D81" s="0" t="n">
        <v>3226701</v>
      </c>
      <c r="E81" s="0" t="s">
        <v>459</v>
      </c>
      <c r="F81" s="21" t="n">
        <v>37196</v>
      </c>
      <c r="G81" s="21"/>
      <c r="H81" s="21"/>
      <c r="I81" s="21" t="s">
        <v>450</v>
      </c>
      <c r="J81" s="0" t="n">
        <f aca="false">IF(ISNA(VLOOKUP(C81,CNGx,2,FALSE())),"na",(VLOOKUP(C81,CNGx,2,FALSE())))</f>
        <v>186</v>
      </c>
      <c r="K81" s="0" t="n">
        <f aca="false">IF(ISNA(VLOOKUP(C81,CNGx,3,0)),0,VLOOKUP(C81,CNGx,3,FALSE()))</f>
        <v>229</v>
      </c>
      <c r="L81" s="29" t="n">
        <f aca="false">VLOOKUP(I81,Retention,2,FALSE())</f>
        <v>0.0228</v>
      </c>
      <c r="M81" s="30" t="n">
        <f aca="false">IF(OR(I81="TD",I81="TW"),0,J81*0.0228)</f>
        <v>4.2408</v>
      </c>
      <c r="N81" s="30" t="n">
        <f aca="false">IF(OR(I81="TD",I81="TW"),0,K81*0.0228)</f>
        <v>5.2212</v>
      </c>
      <c r="O81" s="30" t="n">
        <f aca="false">J81-ROUND(+$J81*(VLOOKUP($I81,cngded,6,FALSE())),0)</f>
        <v>161</v>
      </c>
      <c r="P81" s="30" t="n">
        <f aca="false">K81-ROUND(+$K81*(VLOOKUP($I81,cngded,6,FALSE())),0)</f>
        <v>199</v>
      </c>
      <c r="Q81" s="23" t="str">
        <f aca="false">IF(ISNA(VLOOKUP(C81,INCNG,1,FALSE())),"--","Y")</f>
        <v>Y</v>
      </c>
      <c r="R81" s="23" t="n">
        <f aca="false">IF(ISNA(VLOOKUP(C81,INCNG,10,FALSE())),0,VLOOKUP(C81,INCNG,10,FALSE()))</f>
        <v>161</v>
      </c>
      <c r="S81" s="0" t="n">
        <f aca="false">+K81-R81</f>
        <v>68</v>
      </c>
      <c r="T81" s="31" t="n">
        <f aca="false">+P81-R81</f>
        <v>38</v>
      </c>
      <c r="U81" s="32" t="n">
        <f aca="false">ROUND(+$K81*(VLOOKUP($I81,Retention,2,FALSE())),0)</f>
        <v>5</v>
      </c>
      <c r="V81" s="32" t="n">
        <f aca="false">ROUND(+$K81*(VLOOKUP($I81,Retention,3,FALSE())),0)</f>
        <v>16</v>
      </c>
      <c r="W81" s="32" t="n">
        <f aca="false">ROUND(+$K81*(VLOOKUP($I81,Retention,4,FALSE())),0)</f>
        <v>7</v>
      </c>
      <c r="X81" s="32" t="n">
        <f aca="false">ROUND(+$K81*(VLOOKUP($I81,Retention,5,FALSE())),0)</f>
        <v>2</v>
      </c>
      <c r="Y81" s="31" t="n">
        <f aca="false">SUM(U81:X81)</f>
        <v>30</v>
      </c>
      <c r="AB81" s="33"/>
      <c r="AC81" s="33"/>
      <c r="AD81" s="0" t="e">
        <f aca="false">VLOOKUP(AB81,INCNG,3,FALSE())</f>
        <v>#N/A</v>
      </c>
    </row>
    <row r="82" customFormat="false" ht="12.75" hidden="false" customHeight="false" outlineLevel="0" collapsed="false">
      <c r="A82" s="0" t="s">
        <v>486</v>
      </c>
      <c r="B82" s="0" t="s">
        <v>273</v>
      </c>
      <c r="C82" s="0" t="s">
        <v>366</v>
      </c>
      <c r="D82" s="0" t="n">
        <v>3231101</v>
      </c>
      <c r="E82" s="0" t="s">
        <v>365</v>
      </c>
      <c r="F82" s="21" t="n">
        <v>37196</v>
      </c>
      <c r="G82" s="21"/>
      <c r="H82" s="21"/>
      <c r="I82" s="21" t="s">
        <v>450</v>
      </c>
      <c r="J82" s="0" t="n">
        <f aca="false">IF(ISNA(VLOOKUP(C82,CNGx,2,FALSE())),"na",(VLOOKUP(C82,CNGx,2,FALSE())))</f>
        <v>369</v>
      </c>
      <c r="K82" s="0" t="n">
        <f aca="false">IF(ISNA(VLOOKUP(C82,CNGx,3,0)),0,VLOOKUP(C82,CNGx,3,FALSE()))</f>
        <v>462</v>
      </c>
      <c r="L82" s="29" t="n">
        <f aca="false">VLOOKUP(I82,Retention,2,FALSE())</f>
        <v>0.0228</v>
      </c>
      <c r="M82" s="30" t="n">
        <f aca="false">IF(OR(I82="TD",I82="TW"),0,J82*0.0228)</f>
        <v>8.4132</v>
      </c>
      <c r="N82" s="30" t="n">
        <f aca="false">IF(OR(I82="TD",I82="TW"),0,K82*0.0228)</f>
        <v>10.5336</v>
      </c>
      <c r="O82" s="30" t="n">
        <f aca="false">J82-ROUND(+$J82*(VLOOKUP($I82,cngded,6,FALSE())),0)</f>
        <v>320</v>
      </c>
      <c r="P82" s="30" t="n">
        <f aca="false">K82-ROUND(+$K82*(VLOOKUP($I82,cngded,6,FALSE())),0)</f>
        <v>401</v>
      </c>
      <c r="Q82" s="23" t="str">
        <f aca="false">IF(ISNA(VLOOKUP(C82,INCNG,1,FALSE())),"--","Y")</f>
        <v>Y</v>
      </c>
      <c r="R82" s="23" t="n">
        <f aca="false">IF(ISNA(VLOOKUP(C82,INCNG,10,FALSE())),0,VLOOKUP(C82,INCNG,10,FALSE()))</f>
        <v>320</v>
      </c>
      <c r="S82" s="0" t="n">
        <f aca="false">+K82-R82</f>
        <v>142</v>
      </c>
      <c r="T82" s="31" t="n">
        <f aca="false">+P82-R82</f>
        <v>81</v>
      </c>
      <c r="U82" s="32" t="n">
        <f aca="false">ROUND(+$K82*(VLOOKUP($I82,Retention,2,FALSE())),0)</f>
        <v>11</v>
      </c>
      <c r="V82" s="32" t="n">
        <f aca="false">ROUND(+$K82*(VLOOKUP($I82,Retention,3,FALSE())),0)</f>
        <v>33</v>
      </c>
      <c r="W82" s="32" t="n">
        <f aca="false">ROUND(+$K82*(VLOOKUP($I82,Retention,4,FALSE())),0)</f>
        <v>14</v>
      </c>
      <c r="X82" s="32" t="n">
        <f aca="false">ROUND(+$K82*(VLOOKUP($I82,Retention,5,FALSE())),0)</f>
        <v>4</v>
      </c>
      <c r="Y82" s="31" t="n">
        <f aca="false">SUM(U82:X82)</f>
        <v>62</v>
      </c>
      <c r="AB82" s="33"/>
      <c r="AC82" s="33"/>
      <c r="AD82" s="0" t="e">
        <f aca="false">VLOOKUP(AB82,INCNG,3,FALSE())</f>
        <v>#N/A</v>
      </c>
    </row>
    <row r="83" customFormat="false" ht="12.75" hidden="false" customHeight="false" outlineLevel="0" collapsed="false">
      <c r="A83" s="0" t="s">
        <v>486</v>
      </c>
      <c r="B83" s="0" t="s">
        <v>273</v>
      </c>
      <c r="C83" s="0" t="s">
        <v>407</v>
      </c>
      <c r="D83" s="0" t="n">
        <v>3234701</v>
      </c>
      <c r="E83" s="0" t="s">
        <v>406</v>
      </c>
      <c r="F83" s="21" t="n">
        <v>37196</v>
      </c>
      <c r="G83" s="21"/>
      <c r="H83" s="21"/>
      <c r="I83" s="21" t="s">
        <v>450</v>
      </c>
      <c r="J83" s="0" t="n">
        <f aca="false">IF(ISNA(VLOOKUP(C83,CNGx,2,FALSE())),"na",(VLOOKUP(C83,CNGx,2,FALSE())))</f>
        <v>0</v>
      </c>
      <c r="K83" s="0" t="n">
        <f aca="false">IF(ISNA(VLOOKUP(C83,CNGx,3,0)),0,VLOOKUP(C83,CNGx,3,FALSE()))</f>
        <v>0</v>
      </c>
      <c r="L83" s="29" t="n">
        <f aca="false">VLOOKUP(I83,Retention,2,FALSE())</f>
        <v>0.0228</v>
      </c>
      <c r="M83" s="30" t="n">
        <f aca="false">IF(OR(I83="TD",I83="TW"),0,J83*0.0228)</f>
        <v>0</v>
      </c>
      <c r="N83" s="30" t="n">
        <f aca="false">IF(OR(I83="TD",I83="TW"),0,K83*0.0228)</f>
        <v>0</v>
      </c>
      <c r="O83" s="30" t="n">
        <f aca="false">J83-ROUND(+$J83*(VLOOKUP($I83,cngded,6,FALSE())),0)</f>
        <v>0</v>
      </c>
      <c r="P83" s="30" t="n">
        <f aca="false">K83-ROUND(+$K83*(VLOOKUP($I83,cngded,6,FALSE())),0)</f>
        <v>0</v>
      </c>
      <c r="Q83" s="23" t="str">
        <f aca="false">IF(ISNA(VLOOKUP(C83,INCNG,1,FALSE())),"--","Y")</f>
        <v>Y</v>
      </c>
      <c r="R83" s="23" t="n">
        <f aca="false">IF(ISNA(VLOOKUP(C83,INCNG,10,FALSE())),0,VLOOKUP(C83,INCNG,10,FALSE()))</f>
        <v>0</v>
      </c>
      <c r="S83" s="0" t="n">
        <f aca="false">+K83-R83</f>
        <v>0</v>
      </c>
      <c r="T83" s="31" t="n">
        <f aca="false">+P83-R83</f>
        <v>0</v>
      </c>
      <c r="U83" s="32" t="n">
        <f aca="false">ROUND(+$K83*(VLOOKUP($I83,Retention,2,FALSE())),0)</f>
        <v>0</v>
      </c>
      <c r="V83" s="32" t="n">
        <f aca="false">ROUND(+$K83*(VLOOKUP($I83,Retention,3,FALSE())),0)</f>
        <v>0</v>
      </c>
      <c r="W83" s="32" t="n">
        <f aca="false">ROUND(+$K83*(VLOOKUP($I83,Retention,4,FALSE())),0)</f>
        <v>0</v>
      </c>
      <c r="X83" s="32" t="n">
        <f aca="false">ROUND(+$K83*(VLOOKUP($I83,Retention,5,FALSE())),0)</f>
        <v>0</v>
      </c>
      <c r="Y83" s="31" t="n">
        <f aca="false">SUM(U83:X83)</f>
        <v>0</v>
      </c>
      <c r="AB83" s="33"/>
      <c r="AC83" s="33"/>
      <c r="AD83" s="0" t="e">
        <f aca="false">VLOOKUP(AB83,INCNG,3,FALSE())</f>
        <v>#N/A</v>
      </c>
    </row>
    <row r="84" customFormat="false" ht="12.75" hidden="false" customHeight="false" outlineLevel="0" collapsed="false">
      <c r="A84" s="0" t="s">
        <v>486</v>
      </c>
      <c r="B84" s="0" t="s">
        <v>273</v>
      </c>
      <c r="C84" s="0" t="s">
        <v>373</v>
      </c>
      <c r="D84" s="0" t="n">
        <v>3241501</v>
      </c>
      <c r="E84" s="0" t="s">
        <v>456</v>
      </c>
      <c r="F84" s="21" t="n">
        <v>37196</v>
      </c>
      <c r="G84" s="21"/>
      <c r="H84" s="21"/>
      <c r="I84" s="21" t="s">
        <v>450</v>
      </c>
      <c r="J84" s="0" t="n">
        <f aca="false">IF(ISNA(VLOOKUP(C84,CNGx,2,FALSE())),"na",(VLOOKUP(C84,CNGx,2,FALSE())))</f>
        <v>357</v>
      </c>
      <c r="K84" s="0" t="n">
        <f aca="false">IF(ISNA(VLOOKUP(C84,CNGx,3,0)),0,VLOOKUP(C84,CNGx,3,FALSE()))</f>
        <v>426</v>
      </c>
      <c r="L84" s="29" t="n">
        <f aca="false">VLOOKUP(I84,Retention,2,FALSE())</f>
        <v>0.0228</v>
      </c>
      <c r="M84" s="30" t="n">
        <f aca="false">IF(OR(I84="TD",I84="TW"),0,J84*0.0228)</f>
        <v>8.1396</v>
      </c>
      <c r="N84" s="30" t="n">
        <f aca="false">IF(OR(I84="TD",I84="TW"),0,K84*0.0228)</f>
        <v>9.7128</v>
      </c>
      <c r="O84" s="30" t="n">
        <f aca="false">J84-ROUND(+$J84*(VLOOKUP($I84,cngded,6,FALSE())),0)</f>
        <v>310</v>
      </c>
      <c r="P84" s="30" t="n">
        <f aca="false">K84-ROUND(+$K84*(VLOOKUP($I84,cngded,6,FALSE())),0)</f>
        <v>370</v>
      </c>
      <c r="Q84" s="23" t="str">
        <f aca="false">IF(ISNA(VLOOKUP(C84,INCNG,1,FALSE())),"--","Y")</f>
        <v>Y</v>
      </c>
      <c r="R84" s="23" t="n">
        <f aca="false">IF(ISNA(VLOOKUP(C84,INCNG,10,FALSE())),0,VLOOKUP(C84,INCNG,10,FALSE()))</f>
        <v>310</v>
      </c>
      <c r="S84" s="0" t="n">
        <f aca="false">+K84-R84</f>
        <v>116</v>
      </c>
      <c r="T84" s="31" t="n">
        <f aca="false">+P84-R84</f>
        <v>60</v>
      </c>
      <c r="U84" s="32" t="n">
        <f aca="false">ROUND(+$K84*(VLOOKUP($I84,Retention,2,FALSE())),0)</f>
        <v>10</v>
      </c>
      <c r="V84" s="32" t="n">
        <f aca="false">ROUND(+$K84*(VLOOKUP($I84,Retention,3,FALSE())),0)</f>
        <v>30</v>
      </c>
      <c r="W84" s="32" t="n">
        <f aca="false">ROUND(+$K84*(VLOOKUP($I84,Retention,4,FALSE())),0)</f>
        <v>13</v>
      </c>
      <c r="X84" s="32" t="n">
        <f aca="false">ROUND(+$K84*(VLOOKUP($I84,Retention,5,FALSE())),0)</f>
        <v>4</v>
      </c>
      <c r="Y84" s="31" t="n">
        <f aca="false">SUM(U84:X84)</f>
        <v>57</v>
      </c>
      <c r="AB84" s="33"/>
      <c r="AC84" s="33"/>
      <c r="AD84" s="0" t="e">
        <f aca="false">VLOOKUP(AB84,INCNG,3,FALSE())</f>
        <v>#N/A</v>
      </c>
    </row>
    <row r="85" customFormat="false" ht="12.75" hidden="false" customHeight="false" outlineLevel="0" collapsed="false">
      <c r="A85" s="0" t="s">
        <v>486</v>
      </c>
      <c r="B85" s="0" t="s">
        <v>273</v>
      </c>
      <c r="C85" s="0" t="s">
        <v>272</v>
      </c>
      <c r="D85" s="0" t="n">
        <v>3245501</v>
      </c>
      <c r="E85" s="0" t="s">
        <v>453</v>
      </c>
      <c r="F85" s="21" t="n">
        <v>37196</v>
      </c>
      <c r="G85" s="21"/>
      <c r="H85" s="21"/>
      <c r="I85" s="21" t="s">
        <v>450</v>
      </c>
      <c r="J85" s="0" t="n">
        <f aca="false">IF(ISNA(VLOOKUP(C85,CNGx,2,FALSE())),"na",(VLOOKUP(C85,CNGx,2,FALSE())))</f>
        <v>0</v>
      </c>
      <c r="K85" s="0" t="n">
        <f aca="false">IF(ISNA(VLOOKUP(C85,CNGx,3,0)),0,VLOOKUP(C85,CNGx,3,FALSE()))</f>
        <v>0</v>
      </c>
      <c r="L85" s="29" t="n">
        <f aca="false">VLOOKUP(I85,Retention,2,FALSE())</f>
        <v>0.0228</v>
      </c>
      <c r="M85" s="30" t="n">
        <f aca="false">IF(OR(I85="TD",I85="TW"),0,J85*0.0228)</f>
        <v>0</v>
      </c>
      <c r="N85" s="30" t="n">
        <f aca="false">IF(OR(I85="TD",I85="TW"),0,K85*0.0228)</f>
        <v>0</v>
      </c>
      <c r="O85" s="30" t="n">
        <f aca="false">J85-ROUND(+$J85*(VLOOKUP($I85,cngded,6,FALSE())),0)</f>
        <v>0</v>
      </c>
      <c r="P85" s="30" t="n">
        <f aca="false">K85-ROUND(+$K85*(VLOOKUP($I85,cngded,6,FALSE())),0)</f>
        <v>0</v>
      </c>
      <c r="Q85" s="23" t="str">
        <f aca="false">IF(ISNA(VLOOKUP(C85,INCNG,1,FALSE())),"--","Y")</f>
        <v>Y</v>
      </c>
      <c r="R85" s="23" t="n">
        <f aca="false">IF(ISNA(VLOOKUP(C85,INCNG,10,FALSE())),0,VLOOKUP(C85,INCNG,10,FALSE()))</f>
        <v>0</v>
      </c>
      <c r="S85" s="0" t="n">
        <f aca="false">+K85-R85</f>
        <v>0</v>
      </c>
      <c r="T85" s="31" t="n">
        <f aca="false">+P85-R85</f>
        <v>0</v>
      </c>
      <c r="U85" s="32" t="n">
        <f aca="false">ROUND(+$K85*(VLOOKUP($I85,Retention,2,FALSE())),0)</f>
        <v>0</v>
      </c>
      <c r="V85" s="32" t="n">
        <f aca="false">ROUND(+$K85*(VLOOKUP($I85,Retention,3,FALSE())),0)</f>
        <v>0</v>
      </c>
      <c r="W85" s="32" t="n">
        <f aca="false">ROUND(+$K85*(VLOOKUP($I85,Retention,4,FALSE())),0)</f>
        <v>0</v>
      </c>
      <c r="X85" s="32" t="n">
        <f aca="false">ROUND(+$K85*(VLOOKUP($I85,Retention,5,FALSE())),0)</f>
        <v>0</v>
      </c>
      <c r="Y85" s="31" t="n">
        <f aca="false">SUM(U85:X85)</f>
        <v>0</v>
      </c>
      <c r="AB85" s="33"/>
      <c r="AC85" s="33"/>
      <c r="AD85" s="0" t="e">
        <f aca="false">VLOOKUP(AB85,INCNG,3,FALSE())</f>
        <v>#N/A</v>
      </c>
    </row>
    <row r="86" customFormat="false" ht="12.75" hidden="false" customHeight="false" outlineLevel="0" collapsed="false">
      <c r="A86" s="0" t="s">
        <v>486</v>
      </c>
      <c r="B86" s="0" t="s">
        <v>273</v>
      </c>
      <c r="C86" s="0" t="s">
        <v>401</v>
      </c>
      <c r="D86" s="0" t="n">
        <v>3245701</v>
      </c>
      <c r="E86" s="0" t="s">
        <v>402</v>
      </c>
      <c r="F86" s="21" t="n">
        <v>37196</v>
      </c>
      <c r="G86" s="21"/>
      <c r="H86" s="21"/>
      <c r="I86" s="21" t="s">
        <v>450</v>
      </c>
      <c r="J86" s="0" t="n">
        <f aca="false">IF(ISNA(VLOOKUP(C86,CNGx,2,FALSE())),"na",(VLOOKUP(C86,CNGx,2,FALSE())))</f>
        <v>489</v>
      </c>
      <c r="K86" s="0" t="n">
        <f aca="false">IF(ISNA(VLOOKUP(C86,CNGx,3,0)),0,VLOOKUP(C86,CNGx,3,FALSE()))</f>
        <v>627</v>
      </c>
      <c r="L86" s="29" t="n">
        <f aca="false">VLOOKUP(I86,Retention,2,FALSE())</f>
        <v>0.0228</v>
      </c>
      <c r="M86" s="30" t="n">
        <f aca="false">IF(OR(I86="TD",I86="TW"),0,J86*0.0228)</f>
        <v>11.1492</v>
      </c>
      <c r="N86" s="30" t="n">
        <f aca="false">IF(OR(I86="TD",I86="TW"),0,K86*0.0228)</f>
        <v>14.2956</v>
      </c>
      <c r="O86" s="30" t="n">
        <f aca="false">J86-ROUND(+$J86*(VLOOKUP($I86,cngded,6,FALSE())),0)</f>
        <v>424</v>
      </c>
      <c r="P86" s="30" t="n">
        <f aca="false">K86-ROUND(+$K86*(VLOOKUP($I86,cngded,6,FALSE())),0)</f>
        <v>544</v>
      </c>
      <c r="Q86" s="23" t="str">
        <f aca="false">IF(ISNA(VLOOKUP(C86,INCNG,1,FALSE())),"--","Y")</f>
        <v>Y</v>
      </c>
      <c r="R86" s="23" t="n">
        <f aca="false">IF(ISNA(VLOOKUP(C86,INCNG,10,FALSE())),0,VLOOKUP(C86,INCNG,10,FALSE()))</f>
        <v>424</v>
      </c>
      <c r="S86" s="0" t="n">
        <f aca="false">+K86-R86</f>
        <v>203</v>
      </c>
      <c r="T86" s="31" t="n">
        <f aca="false">+P86-R86</f>
        <v>120</v>
      </c>
      <c r="U86" s="32" t="n">
        <f aca="false">ROUND(+$K86*(VLOOKUP($I86,Retention,2,FALSE())),0)</f>
        <v>14</v>
      </c>
      <c r="V86" s="32" t="n">
        <f aca="false">ROUND(+$K86*(VLOOKUP($I86,Retention,3,FALSE())),0)</f>
        <v>44</v>
      </c>
      <c r="W86" s="32" t="n">
        <f aca="false">ROUND(+$K86*(VLOOKUP($I86,Retention,4,FALSE())),0)</f>
        <v>19</v>
      </c>
      <c r="X86" s="32" t="n">
        <f aca="false">ROUND(+$K86*(VLOOKUP($I86,Retention,5,FALSE())),0)</f>
        <v>6</v>
      </c>
      <c r="Y86" s="31" t="n">
        <f aca="false">SUM(U86:X86)</f>
        <v>83</v>
      </c>
      <c r="AB86" s="33"/>
      <c r="AC86" s="33"/>
      <c r="AD86" s="0" t="e">
        <f aca="false">VLOOKUP(AB86,INCNG,3,FALSE())</f>
        <v>#N/A</v>
      </c>
    </row>
    <row r="87" customFormat="false" ht="12.75" hidden="false" customHeight="false" outlineLevel="0" collapsed="false">
      <c r="A87" s="0" t="s">
        <v>486</v>
      </c>
      <c r="B87" s="0" t="s">
        <v>273</v>
      </c>
      <c r="C87" s="0" t="s">
        <v>367</v>
      </c>
      <c r="D87" s="0" t="n">
        <v>3250501</v>
      </c>
      <c r="E87" s="0" t="s">
        <v>365</v>
      </c>
      <c r="F87" s="21" t="n">
        <v>37196</v>
      </c>
      <c r="G87" s="21"/>
      <c r="H87" s="21"/>
      <c r="I87" s="21" t="s">
        <v>450</v>
      </c>
      <c r="J87" s="0" t="n">
        <f aca="false">IF(ISNA(VLOOKUP(C87,CNGx,2,FALSE())),"na",(VLOOKUP(C87,CNGx,2,FALSE())))</f>
        <v>97</v>
      </c>
      <c r="K87" s="0" t="n">
        <f aca="false">IF(ISNA(VLOOKUP(C87,CNGx,3,0)),0,VLOOKUP(C87,CNGx,3,FALSE()))</f>
        <v>130</v>
      </c>
      <c r="L87" s="29" t="n">
        <f aca="false">VLOOKUP(I87,Retention,2,FALSE())</f>
        <v>0.0228</v>
      </c>
      <c r="M87" s="30" t="n">
        <f aca="false">IF(OR(I87="TD",I87="TW"),0,J87*0.0228)</f>
        <v>2.2116</v>
      </c>
      <c r="N87" s="30" t="n">
        <f aca="false">IF(OR(I87="TD",I87="TW"),0,K87*0.0228)</f>
        <v>2.964</v>
      </c>
      <c r="O87" s="30" t="n">
        <f aca="false">J87-ROUND(+$J87*(VLOOKUP($I87,cngded,6,FALSE())),0)</f>
        <v>84</v>
      </c>
      <c r="P87" s="30" t="n">
        <f aca="false">K87-ROUND(+$K87*(VLOOKUP($I87,cngded,6,FALSE())),0)</f>
        <v>113</v>
      </c>
      <c r="Q87" s="23" t="str">
        <f aca="false">IF(ISNA(VLOOKUP(C87,INCNG,1,FALSE())),"--","Y")</f>
        <v>Y</v>
      </c>
      <c r="R87" s="23" t="n">
        <f aca="false">IF(ISNA(VLOOKUP(C87,INCNG,10,FALSE())),0,VLOOKUP(C87,INCNG,10,FALSE()))</f>
        <v>84</v>
      </c>
      <c r="S87" s="0" t="n">
        <f aca="false">+K87-R87</f>
        <v>46</v>
      </c>
      <c r="T87" s="31" t="n">
        <f aca="false">+P87-R87</f>
        <v>29</v>
      </c>
      <c r="U87" s="32" t="n">
        <f aca="false">ROUND(+$K87*(VLOOKUP($I87,Retention,2,FALSE())),0)</f>
        <v>3</v>
      </c>
      <c r="V87" s="32" t="n">
        <f aca="false">ROUND(+$K87*(VLOOKUP($I87,Retention,3,FALSE())),0)</f>
        <v>9</v>
      </c>
      <c r="W87" s="32" t="n">
        <f aca="false">ROUND(+$K87*(VLOOKUP($I87,Retention,4,FALSE())),0)</f>
        <v>4</v>
      </c>
      <c r="X87" s="32" t="n">
        <f aca="false">ROUND(+$K87*(VLOOKUP($I87,Retention,5,FALSE())),0)</f>
        <v>1</v>
      </c>
      <c r="Y87" s="31" t="n">
        <f aca="false">SUM(U87:X87)</f>
        <v>17</v>
      </c>
      <c r="AB87" s="33"/>
      <c r="AC87" s="33"/>
      <c r="AD87" s="0" t="e">
        <f aca="false">VLOOKUP(AB87,INCNG,3,FALSE())</f>
        <v>#N/A</v>
      </c>
    </row>
    <row r="88" customFormat="false" ht="12.75" hidden="false" customHeight="false" outlineLevel="0" collapsed="false">
      <c r="A88" s="0" t="s">
        <v>486</v>
      </c>
      <c r="B88" s="0" t="s">
        <v>273</v>
      </c>
      <c r="C88" s="0" t="s">
        <v>110</v>
      </c>
      <c r="D88" s="0" t="n">
        <v>3284701</v>
      </c>
      <c r="E88" s="0" t="s">
        <v>456</v>
      </c>
      <c r="F88" s="21" t="n">
        <v>37196</v>
      </c>
      <c r="G88" s="21"/>
      <c r="H88" s="21"/>
      <c r="I88" s="21" t="s">
        <v>450</v>
      </c>
      <c r="J88" s="0" t="n">
        <f aca="false">IF(ISNA(VLOOKUP(C88,CNGx,2,FALSE())),"na",(VLOOKUP(C88,CNGx,2,FALSE())))</f>
        <v>70</v>
      </c>
      <c r="K88" s="0" t="n">
        <f aca="false">IF(ISNA(VLOOKUP(C88,CNGx,3,0)),0,VLOOKUP(C88,CNGx,3,FALSE()))</f>
        <v>97</v>
      </c>
      <c r="L88" s="29" t="n">
        <f aca="false">VLOOKUP(I88,Retention,2,FALSE())</f>
        <v>0.0228</v>
      </c>
      <c r="M88" s="30" t="n">
        <f aca="false">IF(OR(I88="TD",I88="TW"),0,J88*0.0228)</f>
        <v>1.596</v>
      </c>
      <c r="N88" s="30" t="n">
        <f aca="false">IF(OR(I88="TD",I88="TW"),0,K88*0.0228)</f>
        <v>2.2116</v>
      </c>
      <c r="O88" s="30" t="n">
        <f aca="false">J88-ROUND(+$J88*(VLOOKUP($I88,cngded,6,FALSE())),0)</f>
        <v>61</v>
      </c>
      <c r="P88" s="30" t="n">
        <f aca="false">K88-ROUND(+$K88*(VLOOKUP($I88,cngded,6,FALSE())),0)</f>
        <v>84</v>
      </c>
      <c r="Q88" s="23" t="str">
        <f aca="false">IF(ISNA(VLOOKUP(C88,INCNG,1,FALSE())),"--","Y")</f>
        <v>Y</v>
      </c>
      <c r="R88" s="23" t="n">
        <f aca="false">IF(ISNA(VLOOKUP(C88,INCNG,10,FALSE())),0,VLOOKUP(C88,INCNG,10,FALSE()))</f>
        <v>61</v>
      </c>
      <c r="S88" s="0" t="n">
        <f aca="false">+K88-R88</f>
        <v>36</v>
      </c>
      <c r="T88" s="31" t="n">
        <f aca="false">+P88-R88</f>
        <v>23</v>
      </c>
      <c r="U88" s="32" t="n">
        <f aca="false">ROUND(+$K88*(VLOOKUP($I88,Retention,2,FALSE())),0)</f>
        <v>2</v>
      </c>
      <c r="V88" s="32" t="n">
        <f aca="false">ROUND(+$K88*(VLOOKUP($I88,Retention,3,FALSE())),0)</f>
        <v>7</v>
      </c>
      <c r="W88" s="32" t="n">
        <f aca="false">ROUND(+$K88*(VLOOKUP($I88,Retention,4,FALSE())),0)</f>
        <v>3</v>
      </c>
      <c r="X88" s="32" t="n">
        <f aca="false">ROUND(+$K88*(VLOOKUP($I88,Retention,5,FALSE())),0)</f>
        <v>1</v>
      </c>
      <c r="Y88" s="31" t="n">
        <f aca="false">SUM(U88:X88)</f>
        <v>13</v>
      </c>
      <c r="AB88" s="33"/>
      <c r="AC88" s="33"/>
      <c r="AD88" s="0" t="e">
        <f aca="false">VLOOKUP(AB88,INCNG,3,FALSE())</f>
        <v>#N/A</v>
      </c>
    </row>
    <row r="89" customFormat="false" ht="12.75" hidden="false" customHeight="false" outlineLevel="0" collapsed="false">
      <c r="A89" s="0" t="s">
        <v>486</v>
      </c>
      <c r="B89" s="0" t="s">
        <v>273</v>
      </c>
      <c r="C89" s="0" t="s">
        <v>251</v>
      </c>
      <c r="D89" s="0" t="n">
        <v>3290201</v>
      </c>
      <c r="E89" s="0" t="s">
        <v>459</v>
      </c>
      <c r="F89" s="21" t="n">
        <v>37196</v>
      </c>
      <c r="G89" s="21"/>
      <c r="H89" s="21"/>
      <c r="I89" s="21" t="s">
        <v>450</v>
      </c>
      <c r="J89" s="0" t="n">
        <f aca="false">IF(ISNA(VLOOKUP(C89,CNGx,2,FALSE())),"na",(VLOOKUP(C89,CNGx,2,FALSE())))</f>
        <v>1113</v>
      </c>
      <c r="K89" s="0" t="n">
        <f aca="false">IF(ISNA(VLOOKUP(C89,CNGx,3,0)),0,VLOOKUP(C89,CNGx,3,FALSE()))</f>
        <v>1334</v>
      </c>
      <c r="L89" s="29" t="n">
        <f aca="false">VLOOKUP(I89,Retention,2,FALSE())</f>
        <v>0.0228</v>
      </c>
      <c r="M89" s="30" t="n">
        <f aca="false">IF(OR(I89="TD",I89="TW"),0,J89*0.0228)</f>
        <v>25.3764</v>
      </c>
      <c r="N89" s="30" t="n">
        <f aca="false">IF(OR(I89="TD",I89="TW"),0,K89*0.0228)</f>
        <v>30.4152</v>
      </c>
      <c r="O89" s="30" t="n">
        <f aca="false">J89-ROUND(+$J89*(VLOOKUP($I89,cngded,6,FALSE())),0)</f>
        <v>966</v>
      </c>
      <c r="P89" s="30" t="n">
        <f aca="false">K89-ROUND(+$K89*(VLOOKUP($I89,cngded,6,FALSE())),0)</f>
        <v>1157</v>
      </c>
      <c r="Q89" s="23" t="str">
        <f aca="false">IF(ISNA(VLOOKUP(C89,INCNG,1,FALSE())),"--","Y")</f>
        <v>Y</v>
      </c>
      <c r="R89" s="23" t="n">
        <f aca="false">IF(ISNA(VLOOKUP(C89,INCNG,10,FALSE())),0,VLOOKUP(C89,INCNG,10,FALSE()))</f>
        <v>966</v>
      </c>
      <c r="S89" s="0" t="n">
        <f aca="false">+K89-R89</f>
        <v>368</v>
      </c>
      <c r="T89" s="31" t="n">
        <f aca="false">+P89-R89</f>
        <v>191</v>
      </c>
      <c r="U89" s="32" t="n">
        <f aca="false">ROUND(+$K89*(VLOOKUP($I89,Retention,2,FALSE())),0)</f>
        <v>30</v>
      </c>
      <c r="V89" s="32" t="n">
        <f aca="false">ROUND(+$K89*(VLOOKUP($I89,Retention,3,FALSE())),0)</f>
        <v>94</v>
      </c>
      <c r="W89" s="32" t="n">
        <f aca="false">ROUND(+$K89*(VLOOKUP($I89,Retention,4,FALSE())),0)</f>
        <v>40</v>
      </c>
      <c r="X89" s="32" t="n">
        <f aca="false">ROUND(+$K89*(VLOOKUP($I89,Retention,5,FALSE())),0)</f>
        <v>12</v>
      </c>
      <c r="Y89" s="31" t="n">
        <f aca="false">SUM(U89:X89)</f>
        <v>176</v>
      </c>
      <c r="AB89" s="33"/>
      <c r="AC89" s="33"/>
      <c r="AD89" s="0" t="e">
        <f aca="false">VLOOKUP(AB89,INCNG,3,FALSE())</f>
        <v>#N/A</v>
      </c>
    </row>
    <row r="90" customFormat="false" ht="12.75" hidden="false" customHeight="false" outlineLevel="0" collapsed="false">
      <c r="A90" s="0" t="s">
        <v>486</v>
      </c>
      <c r="B90" s="0" t="s">
        <v>273</v>
      </c>
      <c r="C90" s="0" t="s">
        <v>96</v>
      </c>
      <c r="D90" s="0" t="n">
        <v>3290902</v>
      </c>
      <c r="E90" s="0" t="s">
        <v>97</v>
      </c>
      <c r="F90" s="21" t="n">
        <v>37196</v>
      </c>
      <c r="G90" s="21"/>
      <c r="H90" s="21"/>
      <c r="I90" s="21" t="s">
        <v>450</v>
      </c>
      <c r="J90" s="0" t="n">
        <f aca="false">IF(ISNA(VLOOKUP(C90,CNGx,2,FALSE())),"na",(VLOOKUP(C90,CNGx,2,FALSE())))</f>
        <v>2070</v>
      </c>
      <c r="K90" s="0" t="n">
        <f aca="false">IF(ISNA(VLOOKUP(C90,CNGx,3,0)),0,VLOOKUP(C90,CNGx,3,FALSE()))</f>
        <v>2729</v>
      </c>
      <c r="L90" s="29" t="n">
        <f aca="false">VLOOKUP(I90,Retention,2,FALSE())</f>
        <v>0.0228</v>
      </c>
      <c r="M90" s="30" t="n">
        <f aca="false">IF(OR(I90="TD",I90="TW"),0,J90*0.0228)</f>
        <v>47.196</v>
      </c>
      <c r="N90" s="30" t="n">
        <f aca="false">IF(OR(I90="TD",I90="TW"),0,K90*0.0228)</f>
        <v>62.2212</v>
      </c>
      <c r="O90" s="30" t="n">
        <f aca="false">J90-ROUND(+$J90*(VLOOKUP($I90,cngded,6,FALSE())),0)</f>
        <v>1796</v>
      </c>
      <c r="P90" s="30" t="n">
        <f aca="false">K90-ROUND(+$K90*(VLOOKUP($I90,cngded,6,FALSE())),0)</f>
        <v>2367</v>
      </c>
      <c r="Q90" s="23" t="str">
        <f aca="false">IF(ISNA(VLOOKUP(C90,INCNG,1,FALSE())),"--","Y")</f>
        <v>Y</v>
      </c>
      <c r="R90" s="23" t="n">
        <f aca="false">IF(ISNA(VLOOKUP(C90,INCNG,10,FALSE())),0,VLOOKUP(C90,INCNG,10,FALSE()))</f>
        <v>1796</v>
      </c>
      <c r="S90" s="0" t="n">
        <f aca="false">+K90-R90</f>
        <v>933</v>
      </c>
      <c r="T90" s="31" t="n">
        <f aca="false">+P90-R90</f>
        <v>571</v>
      </c>
      <c r="U90" s="32" t="n">
        <f aca="false">ROUND(+$K90*(VLOOKUP($I90,Retention,2,FALSE())),0)</f>
        <v>62</v>
      </c>
      <c r="V90" s="32" t="n">
        <f aca="false">ROUND(+$K90*(VLOOKUP($I90,Retention,3,FALSE())),0)</f>
        <v>193</v>
      </c>
      <c r="W90" s="32" t="n">
        <f aca="false">ROUND(+$K90*(VLOOKUP($I90,Retention,4,FALSE())),0)</f>
        <v>82</v>
      </c>
      <c r="X90" s="32" t="n">
        <f aca="false">ROUND(+$K90*(VLOOKUP($I90,Retention,5,FALSE())),0)</f>
        <v>25</v>
      </c>
      <c r="Y90" s="31" t="n">
        <f aca="false">SUM(U90:X90)</f>
        <v>362</v>
      </c>
      <c r="AB90" s="33"/>
      <c r="AC90" s="33"/>
      <c r="AD90" s="0" t="e">
        <f aca="false">VLOOKUP(AB90,INCNG,3,FALSE())</f>
        <v>#N/A</v>
      </c>
    </row>
    <row r="91" customFormat="false" ht="12.75" hidden="false" customHeight="false" outlineLevel="0" collapsed="false">
      <c r="A91" s="0" t="s">
        <v>486</v>
      </c>
      <c r="B91" s="0" t="s">
        <v>273</v>
      </c>
      <c r="C91" s="0" t="s">
        <v>168</v>
      </c>
      <c r="D91" s="0" t="n">
        <v>3294701</v>
      </c>
      <c r="E91" s="0" t="s">
        <v>167</v>
      </c>
      <c r="F91" s="21" t="n">
        <v>37196</v>
      </c>
      <c r="G91" s="21"/>
      <c r="H91" s="21"/>
      <c r="I91" s="21" t="s">
        <v>450</v>
      </c>
      <c r="J91" s="0" t="n">
        <f aca="false">IF(ISNA(VLOOKUP(C91,CNGx,2,FALSE())),"na",(VLOOKUP(C91,CNGx,2,FALSE())))</f>
        <v>109</v>
      </c>
      <c r="K91" s="0" t="n">
        <f aca="false">IF(ISNA(VLOOKUP(C91,CNGx,3,0)),0,VLOOKUP(C91,CNGx,3,FALSE()))</f>
        <v>127</v>
      </c>
      <c r="L91" s="29" t="n">
        <f aca="false">VLOOKUP(I91,Retention,2,FALSE())</f>
        <v>0.0228</v>
      </c>
      <c r="M91" s="30" t="n">
        <f aca="false">IF(OR(I91="TD",I91="TW"),0,J91*0.0228)</f>
        <v>2.4852</v>
      </c>
      <c r="N91" s="30" t="n">
        <f aca="false">IF(OR(I91="TD",I91="TW"),0,K91*0.0228)</f>
        <v>2.8956</v>
      </c>
      <c r="O91" s="30" t="n">
        <f aca="false">J91-ROUND(+$J91*(VLOOKUP($I91,cngded,6,FALSE())),0)</f>
        <v>95</v>
      </c>
      <c r="P91" s="30" t="n">
        <f aca="false">K91-ROUND(+$K91*(VLOOKUP($I91,cngded,6,FALSE())),0)</f>
        <v>110</v>
      </c>
      <c r="Q91" s="23" t="str">
        <f aca="false">IF(ISNA(VLOOKUP(C91,INCNG,1,FALSE())),"--","Y")</f>
        <v>Y</v>
      </c>
      <c r="R91" s="23" t="n">
        <f aca="false">IF(ISNA(VLOOKUP(C91,INCNG,10,FALSE())),0,VLOOKUP(C91,INCNG,10,FALSE()))</f>
        <v>95</v>
      </c>
      <c r="S91" s="0" t="n">
        <f aca="false">+K91-R91</f>
        <v>32</v>
      </c>
      <c r="T91" s="31" t="n">
        <f aca="false">+P91-R91</f>
        <v>15</v>
      </c>
      <c r="U91" s="32" t="n">
        <f aca="false">ROUND(+$K91*(VLOOKUP($I91,Retention,2,FALSE())),0)</f>
        <v>3</v>
      </c>
      <c r="V91" s="32" t="n">
        <f aca="false">ROUND(+$K91*(VLOOKUP($I91,Retention,3,FALSE())),0)</f>
        <v>9</v>
      </c>
      <c r="W91" s="32" t="n">
        <f aca="false">ROUND(+$K91*(VLOOKUP($I91,Retention,4,FALSE())),0)</f>
        <v>4</v>
      </c>
      <c r="X91" s="32" t="n">
        <f aca="false">ROUND(+$K91*(VLOOKUP($I91,Retention,5,FALSE())),0)</f>
        <v>1</v>
      </c>
      <c r="Y91" s="31" t="n">
        <f aca="false">SUM(U91:X91)</f>
        <v>17</v>
      </c>
      <c r="AB91" s="33"/>
      <c r="AC91" s="33"/>
      <c r="AD91" s="0" t="e">
        <f aca="false">VLOOKUP(AB91,INCNG,3,FALSE())</f>
        <v>#N/A</v>
      </c>
    </row>
    <row r="92" customFormat="false" ht="12.75" hidden="false" customHeight="false" outlineLevel="0" collapsed="false">
      <c r="A92" s="0" t="s">
        <v>486</v>
      </c>
      <c r="B92" s="0" t="s">
        <v>273</v>
      </c>
      <c r="C92" s="0" t="s">
        <v>69</v>
      </c>
      <c r="D92" s="0" t="n">
        <v>3297001</v>
      </c>
      <c r="E92" s="0" t="s">
        <v>46</v>
      </c>
      <c r="F92" s="21" t="n">
        <v>37196</v>
      </c>
      <c r="G92" s="21"/>
      <c r="H92" s="21"/>
      <c r="I92" s="21" t="s">
        <v>450</v>
      </c>
      <c r="J92" s="0" t="n">
        <f aca="false">IF(ISNA(VLOOKUP(C92,CNGx,2,FALSE())),"na",(VLOOKUP(C92,CNGx,2,FALSE())))</f>
        <v>0</v>
      </c>
      <c r="K92" s="0" t="n">
        <f aca="false">IF(ISNA(VLOOKUP(C92,CNGx,3,0)),0,VLOOKUP(C92,CNGx,3,FALSE()))</f>
        <v>0</v>
      </c>
      <c r="L92" s="29" t="n">
        <f aca="false">VLOOKUP(I92,Retention,2,FALSE())</f>
        <v>0.0228</v>
      </c>
      <c r="M92" s="30" t="n">
        <f aca="false">IF(OR(I92="TD",I92="TW"),0,J92*0.0228)</f>
        <v>0</v>
      </c>
      <c r="N92" s="30" t="n">
        <f aca="false">IF(OR(I92="TD",I92="TW"),0,K92*0.0228)</f>
        <v>0</v>
      </c>
      <c r="O92" s="30" t="n">
        <f aca="false">J92-ROUND(+$J92*(VLOOKUP($I92,cngded,6,FALSE())),0)</f>
        <v>0</v>
      </c>
      <c r="P92" s="30" t="n">
        <f aca="false">K92-ROUND(+$K92*(VLOOKUP($I92,cngded,6,FALSE())),0)</f>
        <v>0</v>
      </c>
      <c r="Q92" s="23" t="str">
        <f aca="false">IF(ISNA(VLOOKUP(C92,INCNG,1,FALSE())),"--","Y")</f>
        <v>Y</v>
      </c>
      <c r="R92" s="23" t="n">
        <f aca="false">IF(ISNA(VLOOKUP(C92,INCNG,10,FALSE())),0,VLOOKUP(C92,INCNG,10,FALSE()))</f>
        <v>0</v>
      </c>
      <c r="S92" s="0" t="n">
        <f aca="false">+K92-R92</f>
        <v>0</v>
      </c>
      <c r="T92" s="31" t="n">
        <f aca="false">+P92-R92</f>
        <v>0</v>
      </c>
      <c r="U92" s="32" t="n">
        <f aca="false">ROUND(+$K92*(VLOOKUP($I92,Retention,2,FALSE())),0)</f>
        <v>0</v>
      </c>
      <c r="V92" s="32" t="n">
        <f aca="false">ROUND(+$K92*(VLOOKUP($I92,Retention,3,FALSE())),0)</f>
        <v>0</v>
      </c>
      <c r="W92" s="32" t="n">
        <f aca="false">ROUND(+$K92*(VLOOKUP($I92,Retention,4,FALSE())),0)</f>
        <v>0</v>
      </c>
      <c r="X92" s="32" t="n">
        <f aca="false">ROUND(+$K92*(VLOOKUP($I92,Retention,5,FALSE())),0)</f>
        <v>0</v>
      </c>
      <c r="Y92" s="31" t="n">
        <f aca="false">SUM(U92:X92)</f>
        <v>0</v>
      </c>
      <c r="AB92" s="33"/>
      <c r="AC92" s="33"/>
      <c r="AD92" s="0" t="e">
        <f aca="false">VLOOKUP(AB92,INCNG,3,FALSE())</f>
        <v>#N/A</v>
      </c>
    </row>
    <row r="93" customFormat="false" ht="12.75" hidden="false" customHeight="false" outlineLevel="0" collapsed="false">
      <c r="A93" s="0" t="s">
        <v>486</v>
      </c>
      <c r="B93" s="0" t="s">
        <v>273</v>
      </c>
      <c r="C93" s="0" t="s">
        <v>72</v>
      </c>
      <c r="D93" s="0" t="n">
        <v>3313401</v>
      </c>
      <c r="E93" s="0" t="s">
        <v>46</v>
      </c>
      <c r="F93" s="21" t="n">
        <v>37196</v>
      </c>
      <c r="G93" s="21"/>
      <c r="H93" s="21"/>
      <c r="I93" s="21" t="s">
        <v>450</v>
      </c>
      <c r="J93" s="0" t="n">
        <f aca="false">IF(ISNA(VLOOKUP(C93,CNGx,2,FALSE())),"na",(VLOOKUP(C93,CNGx,2,FALSE())))</f>
        <v>0</v>
      </c>
      <c r="K93" s="0" t="n">
        <f aca="false">IF(ISNA(VLOOKUP(C93,CNGx,3,0)),0,VLOOKUP(C93,CNGx,3,FALSE()))</f>
        <v>0</v>
      </c>
      <c r="L93" s="29" t="n">
        <f aca="false">VLOOKUP(I93,Retention,2,FALSE())</f>
        <v>0.0228</v>
      </c>
      <c r="M93" s="30" t="n">
        <f aca="false">IF(OR(I93="TD",I93="TW"),0,J93*0.0228)</f>
        <v>0</v>
      </c>
      <c r="N93" s="30" t="n">
        <f aca="false">IF(OR(I93="TD",I93="TW"),0,K93*0.0228)</f>
        <v>0</v>
      </c>
      <c r="O93" s="30" t="n">
        <f aca="false">J93-ROUND(+$J93*(VLOOKUP($I93,cngded,6,FALSE())),0)</f>
        <v>0</v>
      </c>
      <c r="P93" s="30" t="n">
        <f aca="false">K93-ROUND(+$K93*(VLOOKUP($I93,cngded,6,FALSE())),0)</f>
        <v>0</v>
      </c>
      <c r="Q93" s="23" t="str">
        <f aca="false">IF(ISNA(VLOOKUP(C93,INCNG,1,FALSE())),"--","Y")</f>
        <v>Y</v>
      </c>
      <c r="R93" s="23" t="n">
        <f aca="false">IF(ISNA(VLOOKUP(C93,INCNG,10,FALSE())),0,VLOOKUP(C93,INCNG,10,FALSE()))</f>
        <v>0</v>
      </c>
      <c r="S93" s="0" t="n">
        <f aca="false">+K93-R93</f>
        <v>0</v>
      </c>
      <c r="T93" s="31" t="n">
        <f aca="false">+P93-R93</f>
        <v>0</v>
      </c>
      <c r="U93" s="32" t="n">
        <f aca="false">ROUND(+$K93*(VLOOKUP($I93,Retention,2,FALSE())),0)</f>
        <v>0</v>
      </c>
      <c r="V93" s="32" t="n">
        <f aca="false">ROUND(+$K93*(VLOOKUP($I93,Retention,3,FALSE())),0)</f>
        <v>0</v>
      </c>
      <c r="W93" s="32" t="n">
        <f aca="false">ROUND(+$K93*(VLOOKUP($I93,Retention,4,FALSE())),0)</f>
        <v>0</v>
      </c>
      <c r="X93" s="32" t="n">
        <f aca="false">ROUND(+$K93*(VLOOKUP($I93,Retention,5,FALSE())),0)</f>
        <v>0</v>
      </c>
      <c r="Y93" s="31" t="n">
        <f aca="false">SUM(U93:X93)</f>
        <v>0</v>
      </c>
      <c r="AB93" s="33"/>
      <c r="AC93" s="33"/>
      <c r="AD93" s="0" t="e">
        <f aca="false">VLOOKUP(AB93,INCNG,3,FALSE())</f>
        <v>#N/A</v>
      </c>
    </row>
    <row r="94" customFormat="false" ht="12.75" hidden="false" customHeight="false" outlineLevel="0" collapsed="false">
      <c r="A94" s="0" t="s">
        <v>486</v>
      </c>
      <c r="B94" s="0" t="s">
        <v>273</v>
      </c>
      <c r="C94" s="0" t="s">
        <v>280</v>
      </c>
      <c r="D94" s="0" t="n">
        <v>3316501</v>
      </c>
      <c r="E94" s="0" t="s">
        <v>278</v>
      </c>
      <c r="F94" s="21" t="n">
        <v>37196</v>
      </c>
      <c r="G94" s="21"/>
      <c r="H94" s="21"/>
      <c r="I94" s="21" t="s">
        <v>450</v>
      </c>
      <c r="J94" s="0" t="n">
        <f aca="false">IF(ISNA(VLOOKUP(C94,CNGx,2,FALSE())),"na",(VLOOKUP(C94,CNGx,2,FALSE())))</f>
        <v>615</v>
      </c>
      <c r="K94" s="0" t="n">
        <f aca="false">IF(ISNA(VLOOKUP(C94,CNGx,3,0)),0,VLOOKUP(C94,CNGx,3,FALSE()))</f>
        <v>744</v>
      </c>
      <c r="L94" s="29" t="n">
        <f aca="false">VLOOKUP(I94,Retention,2,FALSE())</f>
        <v>0.0228</v>
      </c>
      <c r="M94" s="30" t="n">
        <f aca="false">IF(OR(I94="TD",I94="TW"),0,J94*0.0228)</f>
        <v>14.022</v>
      </c>
      <c r="N94" s="30" t="n">
        <f aca="false">IF(OR(I94="TD",I94="TW"),0,K94*0.0228)</f>
        <v>16.9632</v>
      </c>
      <c r="O94" s="30" t="n">
        <f aca="false">J94-ROUND(+$J94*(VLOOKUP($I94,cngded,6,FALSE())),0)</f>
        <v>534</v>
      </c>
      <c r="P94" s="30" t="n">
        <f aca="false">K94-ROUND(+$K94*(VLOOKUP($I94,cngded,6,FALSE())),0)</f>
        <v>645</v>
      </c>
      <c r="Q94" s="23" t="str">
        <f aca="false">IF(ISNA(VLOOKUP(C94,INCNG,1,FALSE())),"--","Y")</f>
        <v>Y</v>
      </c>
      <c r="R94" s="23" t="n">
        <f aca="false">IF(ISNA(VLOOKUP(C94,INCNG,10,FALSE())),0,VLOOKUP(C94,INCNG,10,FALSE()))</f>
        <v>534</v>
      </c>
      <c r="S94" s="0" t="n">
        <f aca="false">+K94-R94</f>
        <v>210</v>
      </c>
      <c r="T94" s="31" t="n">
        <f aca="false">+P94-R94</f>
        <v>111</v>
      </c>
      <c r="U94" s="32" t="n">
        <f aca="false">ROUND(+$K94*(VLOOKUP($I94,Retention,2,FALSE())),0)</f>
        <v>17</v>
      </c>
      <c r="V94" s="32" t="n">
        <f aca="false">ROUND(+$K94*(VLOOKUP($I94,Retention,3,FALSE())),0)</f>
        <v>53</v>
      </c>
      <c r="W94" s="32" t="n">
        <f aca="false">ROUND(+$K94*(VLOOKUP($I94,Retention,4,FALSE())),0)</f>
        <v>22</v>
      </c>
      <c r="X94" s="32" t="n">
        <f aca="false">ROUND(+$K94*(VLOOKUP($I94,Retention,5,FALSE())),0)</f>
        <v>7</v>
      </c>
      <c r="Y94" s="31" t="n">
        <f aca="false">SUM(U94:X94)</f>
        <v>99</v>
      </c>
      <c r="AB94" s="33"/>
      <c r="AC94" s="33"/>
      <c r="AD94" s="0" t="e">
        <f aca="false">VLOOKUP(AB94,INCNG,3,FALSE())</f>
        <v>#N/A</v>
      </c>
    </row>
    <row r="95" customFormat="false" ht="12.75" hidden="false" customHeight="false" outlineLevel="0" collapsed="false">
      <c r="A95" s="0" t="s">
        <v>486</v>
      </c>
      <c r="B95" s="0" t="s">
        <v>273</v>
      </c>
      <c r="C95" s="0" t="s">
        <v>281</v>
      </c>
      <c r="D95" s="0" t="n">
        <v>3316601</v>
      </c>
      <c r="E95" s="0" t="s">
        <v>278</v>
      </c>
      <c r="F95" s="21" t="n">
        <v>37196</v>
      </c>
      <c r="G95" s="21"/>
      <c r="H95" s="21"/>
      <c r="I95" s="21" t="s">
        <v>450</v>
      </c>
      <c r="J95" s="0" t="n">
        <f aca="false">IF(ISNA(VLOOKUP(C95,CNGx,2,FALSE())),"na",(VLOOKUP(C95,CNGx,2,FALSE())))</f>
        <v>959</v>
      </c>
      <c r="K95" s="0" t="n">
        <f aca="false">IF(ISNA(VLOOKUP(C95,CNGx,3,0)),0,VLOOKUP(C95,CNGx,3,FALSE()))</f>
        <v>1270</v>
      </c>
      <c r="L95" s="29" t="n">
        <f aca="false">VLOOKUP(I95,Retention,2,FALSE())</f>
        <v>0.0228</v>
      </c>
      <c r="M95" s="30" t="n">
        <f aca="false">IF(OR(I95="TD",I95="TW"),0,J95*0.0228)</f>
        <v>21.8652</v>
      </c>
      <c r="N95" s="30" t="n">
        <f aca="false">IF(OR(I95="TD",I95="TW"),0,K95*0.0228)</f>
        <v>28.956</v>
      </c>
      <c r="O95" s="30" t="n">
        <f aca="false">J95-ROUND(+$J95*(VLOOKUP($I95,cngded,6,FALSE())),0)</f>
        <v>832</v>
      </c>
      <c r="P95" s="30" t="n">
        <f aca="false">K95-ROUND(+$K95*(VLOOKUP($I95,cngded,6,FALSE())),0)</f>
        <v>1102</v>
      </c>
      <c r="Q95" s="23" t="str">
        <f aca="false">IF(ISNA(VLOOKUP(C95,INCNG,1,FALSE())),"--","Y")</f>
        <v>Y</v>
      </c>
      <c r="R95" s="23" t="n">
        <f aca="false">IF(ISNA(VLOOKUP(C95,INCNG,10,FALSE())),0,VLOOKUP(C95,INCNG,10,FALSE()))</f>
        <v>832</v>
      </c>
      <c r="S95" s="0" t="n">
        <f aca="false">+K95-R95</f>
        <v>438</v>
      </c>
      <c r="T95" s="31" t="n">
        <f aca="false">+P95-R95</f>
        <v>270</v>
      </c>
      <c r="U95" s="32" t="n">
        <f aca="false">ROUND(+$K95*(VLOOKUP($I95,Retention,2,FALSE())),0)</f>
        <v>29</v>
      </c>
      <c r="V95" s="32" t="n">
        <f aca="false">ROUND(+$K95*(VLOOKUP($I95,Retention,3,FALSE())),0)</f>
        <v>90</v>
      </c>
      <c r="W95" s="32" t="n">
        <f aca="false">ROUND(+$K95*(VLOOKUP($I95,Retention,4,FALSE())),0)</f>
        <v>38</v>
      </c>
      <c r="X95" s="32" t="n">
        <f aca="false">ROUND(+$K95*(VLOOKUP($I95,Retention,5,FALSE())),0)</f>
        <v>12</v>
      </c>
      <c r="Y95" s="31" t="n">
        <f aca="false">SUM(U95:X95)</f>
        <v>169</v>
      </c>
      <c r="AB95" s="33"/>
      <c r="AC95" s="33"/>
      <c r="AD95" s="0" t="e">
        <f aca="false">VLOOKUP(AB95,INCNG,3,FALSE())</f>
        <v>#N/A</v>
      </c>
    </row>
    <row r="96" customFormat="false" ht="12.75" hidden="false" customHeight="false" outlineLevel="0" collapsed="false">
      <c r="A96" s="0" t="s">
        <v>486</v>
      </c>
      <c r="B96" s="0" t="s">
        <v>273</v>
      </c>
      <c r="C96" s="0" t="s">
        <v>368</v>
      </c>
      <c r="D96" s="0" t="n">
        <v>3325801</v>
      </c>
      <c r="E96" s="0" t="s">
        <v>456</v>
      </c>
      <c r="F96" s="21" t="n">
        <v>37196</v>
      </c>
      <c r="G96" s="21"/>
      <c r="H96" s="21"/>
      <c r="I96" s="21" t="s">
        <v>450</v>
      </c>
      <c r="J96" s="0" t="n">
        <f aca="false">IF(ISNA(VLOOKUP(C96,CNGx,2,FALSE())),"na",(VLOOKUP(C96,CNGx,2,FALSE())))</f>
        <v>239</v>
      </c>
      <c r="K96" s="0" t="n">
        <f aca="false">IF(ISNA(VLOOKUP(C96,CNGx,3,0)),0,VLOOKUP(C96,CNGx,3,FALSE()))</f>
        <v>305</v>
      </c>
      <c r="L96" s="29" t="n">
        <f aca="false">VLOOKUP(I96,Retention,2,FALSE())</f>
        <v>0.0228</v>
      </c>
      <c r="M96" s="30" t="n">
        <f aca="false">IF(OR(I96="TD",I96="TW"),0,J96*0.0228)</f>
        <v>5.4492</v>
      </c>
      <c r="N96" s="30" t="n">
        <f aca="false">IF(OR(I96="TD",I96="TW"),0,K96*0.0228)</f>
        <v>6.954</v>
      </c>
      <c r="O96" s="30" t="n">
        <f aca="false">J96-ROUND(+$J96*(VLOOKUP($I96,cngded,6,FALSE())),0)</f>
        <v>207</v>
      </c>
      <c r="P96" s="30" t="n">
        <f aca="false">K96-ROUND(+$K96*(VLOOKUP($I96,cngded,6,FALSE())),0)</f>
        <v>265</v>
      </c>
      <c r="Q96" s="23" t="str">
        <f aca="false">IF(ISNA(VLOOKUP(C96,INCNG,1,FALSE())),"--","Y")</f>
        <v>Y</v>
      </c>
      <c r="R96" s="23" t="n">
        <f aca="false">IF(ISNA(VLOOKUP(C96,INCNG,10,FALSE())),0,VLOOKUP(C96,INCNG,10,FALSE()))</f>
        <v>207</v>
      </c>
      <c r="S96" s="0" t="n">
        <f aca="false">+K96-R96</f>
        <v>98</v>
      </c>
      <c r="T96" s="31" t="n">
        <f aca="false">+P96-R96</f>
        <v>58</v>
      </c>
      <c r="U96" s="32" t="n">
        <f aca="false">ROUND(+$K96*(VLOOKUP($I96,Retention,2,FALSE())),0)</f>
        <v>7</v>
      </c>
      <c r="V96" s="32" t="n">
        <f aca="false">ROUND(+$K96*(VLOOKUP($I96,Retention,3,FALSE())),0)</f>
        <v>22</v>
      </c>
      <c r="W96" s="32" t="n">
        <f aca="false">ROUND(+$K96*(VLOOKUP($I96,Retention,4,FALSE())),0)</f>
        <v>9</v>
      </c>
      <c r="X96" s="32" t="n">
        <f aca="false">ROUND(+$K96*(VLOOKUP($I96,Retention,5,FALSE())),0)</f>
        <v>3</v>
      </c>
      <c r="Y96" s="31" t="n">
        <f aca="false">SUM(U96:X96)</f>
        <v>41</v>
      </c>
      <c r="AB96" s="33"/>
      <c r="AC96" s="33"/>
      <c r="AD96" s="0" t="e">
        <f aca="false">VLOOKUP(AB96,INCNG,3,FALSE())</f>
        <v>#N/A</v>
      </c>
    </row>
    <row r="97" customFormat="false" ht="12.75" hidden="false" customHeight="false" outlineLevel="0" collapsed="false">
      <c r="A97" s="0" t="s">
        <v>486</v>
      </c>
      <c r="B97" s="0" t="s">
        <v>273</v>
      </c>
      <c r="C97" s="0" t="s">
        <v>361</v>
      </c>
      <c r="D97" s="0" t="n">
        <v>3327701</v>
      </c>
      <c r="E97" s="0" t="s">
        <v>453</v>
      </c>
      <c r="F97" s="21" t="n">
        <v>37196</v>
      </c>
      <c r="G97" s="21"/>
      <c r="H97" s="21"/>
      <c r="I97" s="21" t="s">
        <v>450</v>
      </c>
      <c r="J97" s="0" t="n">
        <f aca="false">IF(ISNA(VLOOKUP(C97,CNGx,2,FALSE())),"na",(VLOOKUP(C97,CNGx,2,FALSE())))</f>
        <v>64</v>
      </c>
      <c r="K97" s="0" t="n">
        <f aca="false">IF(ISNA(VLOOKUP(C97,CNGx,3,0)),0,VLOOKUP(C97,CNGx,3,FALSE()))</f>
        <v>86</v>
      </c>
      <c r="L97" s="29" t="n">
        <f aca="false">VLOOKUP(I97,Retention,2,FALSE())</f>
        <v>0.0228</v>
      </c>
      <c r="M97" s="30" t="n">
        <f aca="false">IF(OR(I97="TD",I97="TW"),0,J97*0.0228)</f>
        <v>1.4592</v>
      </c>
      <c r="N97" s="30" t="n">
        <f aca="false">IF(OR(I97="TD",I97="TW"),0,K97*0.0228)</f>
        <v>1.9608</v>
      </c>
      <c r="O97" s="30" t="n">
        <f aca="false">J97-ROUND(+$J97*(VLOOKUP($I97,cngded,6,FALSE())),0)</f>
        <v>56</v>
      </c>
      <c r="P97" s="30" t="n">
        <f aca="false">K97-ROUND(+$K97*(VLOOKUP($I97,cngded,6,FALSE())),0)</f>
        <v>75</v>
      </c>
      <c r="Q97" s="23" t="str">
        <f aca="false">IF(ISNA(VLOOKUP(C97,INCNG,1,FALSE())),"--","Y")</f>
        <v>Y</v>
      </c>
      <c r="R97" s="23" t="n">
        <f aca="false">IF(ISNA(VLOOKUP(C97,INCNG,10,FALSE())),0,VLOOKUP(C97,INCNG,10,FALSE()))</f>
        <v>56</v>
      </c>
      <c r="S97" s="0" t="n">
        <f aca="false">+K97-R97</f>
        <v>30</v>
      </c>
      <c r="T97" s="31" t="n">
        <f aca="false">+P97-R97</f>
        <v>19</v>
      </c>
      <c r="U97" s="32" t="n">
        <f aca="false">ROUND(+$K97*(VLOOKUP($I97,Retention,2,FALSE())),0)</f>
        <v>2</v>
      </c>
      <c r="V97" s="32" t="n">
        <f aca="false">ROUND(+$K97*(VLOOKUP($I97,Retention,3,FALSE())),0)</f>
        <v>6</v>
      </c>
      <c r="W97" s="32" t="n">
        <f aca="false">ROUND(+$K97*(VLOOKUP($I97,Retention,4,FALSE())),0)</f>
        <v>3</v>
      </c>
      <c r="X97" s="32" t="n">
        <f aca="false">ROUND(+$K97*(VLOOKUP($I97,Retention,5,FALSE())),0)</f>
        <v>1</v>
      </c>
      <c r="Y97" s="31" t="n">
        <f aca="false">SUM(U97:X97)</f>
        <v>12</v>
      </c>
      <c r="AB97" s="33"/>
      <c r="AC97" s="33"/>
      <c r="AD97" s="0" t="e">
        <f aca="false">VLOOKUP(AB97,INCNG,3,FALSE())</f>
        <v>#N/A</v>
      </c>
    </row>
    <row r="98" customFormat="false" ht="12.75" hidden="false" customHeight="false" outlineLevel="0" collapsed="false">
      <c r="A98" s="0" t="s">
        <v>486</v>
      </c>
      <c r="B98" s="0" t="s">
        <v>273</v>
      </c>
      <c r="C98" s="0" t="s">
        <v>141</v>
      </c>
      <c r="D98" s="0" t="n">
        <v>3329801</v>
      </c>
      <c r="E98" s="0" t="s">
        <v>469</v>
      </c>
      <c r="F98" s="21" t="n">
        <v>37196</v>
      </c>
      <c r="G98" s="21"/>
      <c r="H98" s="21"/>
      <c r="I98" s="21" t="s">
        <v>450</v>
      </c>
      <c r="J98" s="0" t="n">
        <f aca="false">IF(ISNA(VLOOKUP(C98,CNGx,2,FALSE())),"na",(VLOOKUP(C98,CNGx,2,FALSE())))</f>
        <v>248</v>
      </c>
      <c r="K98" s="0" t="n">
        <f aca="false">IF(ISNA(VLOOKUP(C98,CNGx,3,0)),0,VLOOKUP(C98,CNGx,3,FALSE()))</f>
        <v>332</v>
      </c>
      <c r="L98" s="29" t="n">
        <f aca="false">VLOOKUP(I98,Retention,2,FALSE())</f>
        <v>0.0228</v>
      </c>
      <c r="M98" s="30" t="n">
        <f aca="false">IF(OR(I98="TD",I98="TW"),0,J98*0.0228)</f>
        <v>5.6544</v>
      </c>
      <c r="N98" s="30" t="n">
        <f aca="false">IF(OR(I98="TD",I98="TW"),0,K98*0.0228)</f>
        <v>7.5696</v>
      </c>
      <c r="O98" s="30" t="n">
        <f aca="false">J98-ROUND(+$J98*(VLOOKUP($I98,cngded,6,FALSE())),0)</f>
        <v>215</v>
      </c>
      <c r="P98" s="30" t="n">
        <f aca="false">K98-ROUND(+$K98*(VLOOKUP($I98,cngded,6,FALSE())),0)</f>
        <v>288</v>
      </c>
      <c r="Q98" s="23" t="str">
        <f aca="false">IF(ISNA(VLOOKUP(C98,INCNG,1,FALSE())),"--","Y")</f>
        <v>Y</v>
      </c>
      <c r="R98" s="23" t="n">
        <f aca="false">IF(ISNA(VLOOKUP(C98,INCNG,10,FALSE())),0,VLOOKUP(C98,INCNG,10,FALSE()))</f>
        <v>215</v>
      </c>
      <c r="S98" s="0" t="n">
        <f aca="false">+K98-R98</f>
        <v>117</v>
      </c>
      <c r="T98" s="31" t="n">
        <f aca="false">+P98-R98</f>
        <v>73</v>
      </c>
      <c r="U98" s="32" t="n">
        <f aca="false">ROUND(+$K98*(VLOOKUP($I98,Retention,2,FALSE())),0)</f>
        <v>8</v>
      </c>
      <c r="V98" s="32" t="n">
        <f aca="false">ROUND(+$K98*(VLOOKUP($I98,Retention,3,FALSE())),0)</f>
        <v>23</v>
      </c>
      <c r="W98" s="32" t="n">
        <f aca="false">ROUND(+$K98*(VLOOKUP($I98,Retention,4,FALSE())),0)</f>
        <v>10</v>
      </c>
      <c r="X98" s="32" t="n">
        <f aca="false">ROUND(+$K98*(VLOOKUP($I98,Retention,5,FALSE())),0)</f>
        <v>3</v>
      </c>
      <c r="Y98" s="31" t="n">
        <f aca="false">SUM(U98:X98)</f>
        <v>44</v>
      </c>
      <c r="AB98" s="33"/>
      <c r="AC98" s="33"/>
      <c r="AD98" s="0" t="e">
        <f aca="false">VLOOKUP(AB98,INCNG,3,FALSE())</f>
        <v>#N/A</v>
      </c>
    </row>
    <row r="99" customFormat="false" ht="12.75" hidden="false" customHeight="false" outlineLevel="0" collapsed="false">
      <c r="A99" s="0" t="s">
        <v>486</v>
      </c>
      <c r="B99" s="0" t="s">
        <v>273</v>
      </c>
      <c r="C99" s="0" t="s">
        <v>362</v>
      </c>
      <c r="D99" s="0" t="n">
        <v>3330401</v>
      </c>
      <c r="E99" s="0" t="s">
        <v>453</v>
      </c>
      <c r="F99" s="21" t="n">
        <v>37196</v>
      </c>
      <c r="G99" s="21"/>
      <c r="H99" s="21"/>
      <c r="I99" s="21" t="s">
        <v>450</v>
      </c>
      <c r="J99" s="0" t="n">
        <f aca="false">IF(ISNA(VLOOKUP(C99,CNGx,2,FALSE())),"na",(VLOOKUP(C99,CNGx,2,FALSE())))</f>
        <v>783</v>
      </c>
      <c r="K99" s="0" t="n">
        <f aca="false">IF(ISNA(VLOOKUP(C99,CNGx,3,0)),0,VLOOKUP(C99,CNGx,3,FALSE()))</f>
        <v>932</v>
      </c>
      <c r="L99" s="29" t="n">
        <f aca="false">VLOOKUP(I99,Retention,2,FALSE())</f>
        <v>0.0228</v>
      </c>
      <c r="M99" s="30" t="n">
        <f aca="false">IF(OR(I99="TD",I99="TW"),0,J99*0.0228)</f>
        <v>17.8524</v>
      </c>
      <c r="N99" s="30" t="n">
        <f aca="false">IF(OR(I99="TD",I99="TW"),0,K99*0.0228)</f>
        <v>21.2496</v>
      </c>
      <c r="O99" s="30" t="n">
        <f aca="false">J99-ROUND(+$J99*(VLOOKUP($I99,cngded,6,FALSE())),0)</f>
        <v>679</v>
      </c>
      <c r="P99" s="30" t="n">
        <f aca="false">K99-ROUND(+$K99*(VLOOKUP($I99,cngded,6,FALSE())),0)</f>
        <v>809</v>
      </c>
      <c r="Q99" s="23" t="str">
        <f aca="false">IF(ISNA(VLOOKUP(C99,INCNG,1,FALSE())),"--","Y")</f>
        <v>Y</v>
      </c>
      <c r="R99" s="23" t="n">
        <f aca="false">IF(ISNA(VLOOKUP(C99,INCNG,10,FALSE())),0,VLOOKUP(C99,INCNG,10,FALSE()))</f>
        <v>679</v>
      </c>
      <c r="S99" s="0" t="n">
        <f aca="false">+K99-R99</f>
        <v>253</v>
      </c>
      <c r="T99" s="31" t="n">
        <f aca="false">+P99-R99</f>
        <v>130</v>
      </c>
      <c r="U99" s="32" t="n">
        <f aca="false">ROUND(+$K99*(VLOOKUP($I99,Retention,2,FALSE())),0)</f>
        <v>21</v>
      </c>
      <c r="V99" s="32" t="n">
        <f aca="false">ROUND(+$K99*(VLOOKUP($I99,Retention,3,FALSE())),0)</f>
        <v>66</v>
      </c>
      <c r="W99" s="32" t="n">
        <f aca="false">ROUND(+$K99*(VLOOKUP($I99,Retention,4,FALSE())),0)</f>
        <v>28</v>
      </c>
      <c r="X99" s="32" t="n">
        <f aca="false">ROUND(+$K99*(VLOOKUP($I99,Retention,5,FALSE())),0)</f>
        <v>8</v>
      </c>
      <c r="Y99" s="31" t="n">
        <f aca="false">SUM(U99:X99)</f>
        <v>123</v>
      </c>
      <c r="AB99" s="33"/>
      <c r="AC99" s="33"/>
      <c r="AD99" s="0" t="e">
        <f aca="false">VLOOKUP(AB99,INCNG,3,FALSE())</f>
        <v>#N/A</v>
      </c>
    </row>
    <row r="100" customFormat="false" ht="12.75" hidden="false" customHeight="false" outlineLevel="0" collapsed="false">
      <c r="A100" s="0" t="s">
        <v>486</v>
      </c>
      <c r="B100" s="0" t="s">
        <v>487</v>
      </c>
      <c r="C100" s="0" t="s">
        <v>374</v>
      </c>
      <c r="D100" s="0" t="n">
        <v>3394401</v>
      </c>
      <c r="E100" s="0" t="s">
        <v>456</v>
      </c>
      <c r="F100" s="21" t="n">
        <v>37196</v>
      </c>
      <c r="G100" s="21"/>
      <c r="H100" s="21"/>
      <c r="I100" s="21" t="s">
        <v>446</v>
      </c>
      <c r="J100" s="0" t="n">
        <f aca="false">IF(ISNA(VLOOKUP(C100,CNGx,2,FALSE())),"na",(VLOOKUP(C100,CNGx,2,FALSE())))</f>
        <v>320</v>
      </c>
      <c r="K100" s="0" t="n">
        <f aca="false">IF(ISNA(VLOOKUP(C100,CNGx,3,0)),0,VLOOKUP(C100,CNGx,3,FALSE()))</f>
        <v>455</v>
      </c>
      <c r="L100" s="29" t="n">
        <f aca="false">VLOOKUP(I100,Retention,2,FALSE())</f>
        <v>0</v>
      </c>
      <c r="M100" s="30" t="n">
        <f aca="false">IF(OR(I100="TD",I100="TW"),0,J100*0.0228)</f>
        <v>0</v>
      </c>
      <c r="N100" s="30" t="n">
        <f aca="false">IF(OR(I100="TD",I100="TW"),0,K100*0.0228)</f>
        <v>0</v>
      </c>
      <c r="O100" s="30" t="n">
        <f aca="false">J100-ROUND(+$J100*(VLOOKUP($I100,cngded,6,FALSE())),0)</f>
        <v>307</v>
      </c>
      <c r="P100" s="30" t="n">
        <f aca="false">K100-ROUND(+$K100*(VLOOKUP($I100,cngded,6,FALSE())),0)</f>
        <v>437</v>
      </c>
      <c r="Q100" s="23" t="str">
        <f aca="false">IF(ISNA(VLOOKUP(C100,INCNG,1,FALSE())),"--","Y")</f>
        <v>Y</v>
      </c>
      <c r="R100" s="23" t="n">
        <f aca="false">IF(ISNA(VLOOKUP(C100,INCNG,10,FALSE())),0,VLOOKUP(C100,INCNG,10,FALSE()))</f>
        <v>307</v>
      </c>
      <c r="S100" s="0" t="n">
        <f aca="false">+K100-R100</f>
        <v>148</v>
      </c>
      <c r="T100" s="31" t="n">
        <f aca="false">+P100-R100</f>
        <v>130</v>
      </c>
      <c r="U100" s="32" t="n">
        <f aca="false">ROUND(+$K100*(VLOOKUP($I100,Retention,2,FALSE())),0)</f>
        <v>0</v>
      </c>
      <c r="V100" s="32" t="n">
        <f aca="false">ROUND(+$K100*(VLOOKUP($I100,Retention,3,FALSE())),0)</f>
        <v>0</v>
      </c>
      <c r="W100" s="32" t="n">
        <f aca="false">ROUND(+$K100*(VLOOKUP($I100,Retention,4,FALSE())),0)</f>
        <v>14</v>
      </c>
      <c r="X100" s="32" t="n">
        <f aca="false">ROUND(+$K100*(VLOOKUP($I100,Retention,5,FALSE())),0)</f>
        <v>4</v>
      </c>
      <c r="Y100" s="31" t="n">
        <f aca="false">SUM(U100:X100)</f>
        <v>18</v>
      </c>
      <c r="AB100" s="33"/>
      <c r="AC100" s="33"/>
      <c r="AD100" s="0" t="e">
        <f aca="false">VLOOKUP(AB100,INCNG,3,FALSE())</f>
        <v>#N/A</v>
      </c>
    </row>
    <row r="101" customFormat="false" ht="12.75" hidden="false" customHeight="false" outlineLevel="0" collapsed="false">
      <c r="A101" s="0" t="s">
        <v>486</v>
      </c>
      <c r="B101" s="0" t="s">
        <v>273</v>
      </c>
      <c r="C101" s="0" t="s">
        <v>399</v>
      </c>
      <c r="D101" s="0" t="n">
        <v>3402401</v>
      </c>
      <c r="E101" s="0" t="s">
        <v>465</v>
      </c>
      <c r="F101" s="21" t="n">
        <v>37196</v>
      </c>
      <c r="G101" s="21"/>
      <c r="H101" s="21"/>
      <c r="I101" s="21" t="s">
        <v>450</v>
      </c>
      <c r="J101" s="0" t="n">
        <f aca="false">IF(ISNA(VLOOKUP(C101,CNGx,2,FALSE())),"na",(VLOOKUP(C101,CNGx,2,FALSE())))</f>
        <v>425</v>
      </c>
      <c r="K101" s="0" t="n">
        <f aca="false">IF(ISNA(VLOOKUP(C101,CNGx,3,0)),0,VLOOKUP(C101,CNGx,3,FALSE()))</f>
        <v>562</v>
      </c>
      <c r="L101" s="29" t="n">
        <f aca="false">VLOOKUP(I101,Retention,2,FALSE())</f>
        <v>0.0228</v>
      </c>
      <c r="M101" s="30" t="n">
        <f aca="false">IF(OR(I101="TD",I101="TW"),0,J101*0.0228)</f>
        <v>9.69</v>
      </c>
      <c r="N101" s="30" t="n">
        <f aca="false">IF(OR(I101="TD",I101="TW"),0,K101*0.0228)</f>
        <v>12.8136</v>
      </c>
      <c r="O101" s="30" t="n">
        <f aca="false">J101-ROUND(+$J101*(VLOOKUP($I101,cngded,6,FALSE())),0)</f>
        <v>369</v>
      </c>
      <c r="P101" s="30" t="n">
        <f aca="false">K101-ROUND(+$K101*(VLOOKUP($I101,cngded,6,FALSE())),0)</f>
        <v>488</v>
      </c>
      <c r="Q101" s="23" t="str">
        <f aca="false">IF(ISNA(VLOOKUP(C101,INCNG,1,FALSE())),"--","Y")</f>
        <v>Y</v>
      </c>
      <c r="R101" s="23" t="n">
        <f aca="false">IF(ISNA(VLOOKUP(C101,INCNG,10,FALSE())),0,VLOOKUP(C101,INCNG,10,FALSE()))</f>
        <v>369</v>
      </c>
      <c r="S101" s="0" t="n">
        <f aca="false">+K101-R101</f>
        <v>193</v>
      </c>
      <c r="T101" s="31" t="n">
        <f aca="false">+P101-R101</f>
        <v>119</v>
      </c>
      <c r="U101" s="32" t="n">
        <f aca="false">ROUND(+$K101*(VLOOKUP($I101,Retention,2,FALSE())),0)</f>
        <v>13</v>
      </c>
      <c r="V101" s="32" t="n">
        <f aca="false">ROUND(+$K101*(VLOOKUP($I101,Retention,3,FALSE())),0)</f>
        <v>40</v>
      </c>
      <c r="W101" s="32" t="n">
        <f aca="false">ROUND(+$K101*(VLOOKUP($I101,Retention,4,FALSE())),0)</f>
        <v>17</v>
      </c>
      <c r="X101" s="32" t="n">
        <f aca="false">ROUND(+$K101*(VLOOKUP($I101,Retention,5,FALSE())),0)</f>
        <v>5</v>
      </c>
      <c r="Y101" s="31" t="n">
        <f aca="false">SUM(U101:X101)</f>
        <v>75</v>
      </c>
      <c r="AB101" s="33"/>
      <c r="AC101" s="33"/>
      <c r="AD101" s="0" t="e">
        <f aca="false">VLOOKUP(AB101,INCNG,3,FALSE())</f>
        <v>#N/A</v>
      </c>
    </row>
    <row r="102" customFormat="false" ht="12.75" hidden="false" customHeight="false" outlineLevel="0" collapsed="false">
      <c r="A102" s="0" t="s">
        <v>486</v>
      </c>
      <c r="B102" s="0" t="s">
        <v>487</v>
      </c>
      <c r="C102" s="0" t="s">
        <v>292</v>
      </c>
      <c r="D102" s="0" t="n">
        <v>3405001</v>
      </c>
      <c r="E102" s="0" t="s">
        <v>293</v>
      </c>
      <c r="F102" s="21" t="n">
        <v>37196</v>
      </c>
      <c r="G102" s="21"/>
      <c r="H102" s="21"/>
      <c r="I102" s="21" t="s">
        <v>446</v>
      </c>
      <c r="J102" s="0" t="n">
        <f aca="false">IF(ISNA(VLOOKUP(C102,CNGx,2,FALSE())),"na",(VLOOKUP(C102,CNGx,2,FALSE())))</f>
        <v>4</v>
      </c>
      <c r="K102" s="0" t="n">
        <f aca="false">IF(ISNA(VLOOKUP(C102,CNGx,3,0)),0,VLOOKUP(C102,CNGx,3,FALSE()))</f>
        <v>6</v>
      </c>
      <c r="L102" s="29" t="n">
        <f aca="false">VLOOKUP(I102,Retention,2,FALSE())</f>
        <v>0</v>
      </c>
      <c r="M102" s="30" t="n">
        <f aca="false">IF(OR(I102="TD",I102="TW"),0,J102*0.0228)</f>
        <v>0</v>
      </c>
      <c r="N102" s="30" t="n">
        <f aca="false">IF(OR(I102="TD",I102="TW"),0,K102*0.0228)</f>
        <v>0</v>
      </c>
      <c r="O102" s="30" t="n">
        <f aca="false">J102-ROUND(+$J102*(VLOOKUP($I102,cngded,6,FALSE())),0)</f>
        <v>4</v>
      </c>
      <c r="P102" s="30" t="n">
        <f aca="false">K102-ROUND(+$K102*(VLOOKUP($I102,cngded,6,FALSE())),0)</f>
        <v>6</v>
      </c>
      <c r="Q102" s="23" t="str">
        <f aca="false">IF(ISNA(VLOOKUP(C102,INCNG,1,FALSE())),"--","Y")</f>
        <v>Y</v>
      </c>
      <c r="R102" s="23" t="n">
        <f aca="false">IF(ISNA(VLOOKUP(C102,INCNG,10,FALSE())),0,VLOOKUP(C102,INCNG,10,FALSE()))</f>
        <v>4</v>
      </c>
      <c r="S102" s="0" t="n">
        <f aca="false">+K102-R102</f>
        <v>2</v>
      </c>
      <c r="T102" s="31" t="n">
        <f aca="false">+P102-R102</f>
        <v>2</v>
      </c>
      <c r="U102" s="32" t="n">
        <f aca="false">ROUND(+$K102*(VLOOKUP($I102,Retention,2,FALSE())),0)</f>
        <v>0</v>
      </c>
      <c r="V102" s="32" t="n">
        <f aca="false">ROUND(+$K102*(VLOOKUP($I102,Retention,3,FALSE())),0)</f>
        <v>0</v>
      </c>
      <c r="W102" s="32" t="n">
        <f aca="false">ROUND(+$K102*(VLOOKUP($I102,Retention,4,FALSE())),0)</f>
        <v>0</v>
      </c>
      <c r="X102" s="32" t="n">
        <f aca="false">ROUND(+$K102*(VLOOKUP($I102,Retention,5,FALSE())),0)</f>
        <v>0</v>
      </c>
      <c r="Y102" s="31" t="n">
        <f aca="false">SUM(U102:X102)</f>
        <v>0</v>
      </c>
      <c r="AB102" s="33"/>
      <c r="AC102" s="33"/>
      <c r="AD102" s="0" t="e">
        <f aca="false">VLOOKUP(AB102,INCNG,3,FALSE())</f>
        <v>#N/A</v>
      </c>
    </row>
    <row r="103" customFormat="false" ht="12.75" hidden="false" customHeight="false" outlineLevel="0" collapsed="false">
      <c r="A103" s="0" t="s">
        <v>486</v>
      </c>
      <c r="B103" s="0" t="s">
        <v>273</v>
      </c>
      <c r="C103" s="0" t="s">
        <v>220</v>
      </c>
      <c r="D103" s="0" t="n">
        <v>3405301</v>
      </c>
      <c r="E103" s="0" t="s">
        <v>452</v>
      </c>
      <c r="F103" s="21" t="n">
        <v>37196</v>
      </c>
      <c r="G103" s="21"/>
      <c r="H103" s="21"/>
      <c r="I103" s="21" t="s">
        <v>450</v>
      </c>
      <c r="J103" s="0" t="n">
        <f aca="false">IF(ISNA(VLOOKUP(C103,CNGx,2,FALSE())),"na",(VLOOKUP(C103,CNGx,2,FALSE())))</f>
        <v>271</v>
      </c>
      <c r="K103" s="0" t="n">
        <f aca="false">IF(ISNA(VLOOKUP(C103,CNGx,3,0)),0,VLOOKUP(C103,CNGx,3,FALSE()))</f>
        <v>286</v>
      </c>
      <c r="L103" s="29" t="n">
        <f aca="false">VLOOKUP(I103,Retention,2,FALSE())</f>
        <v>0.0228</v>
      </c>
      <c r="M103" s="30" t="n">
        <f aca="false">IF(OR(I103="TD",I103="TW"),0,J103*0.0228)</f>
        <v>6.1788</v>
      </c>
      <c r="N103" s="30" t="n">
        <f aca="false">IF(OR(I103="TD",I103="TW"),0,K103*0.0228)</f>
        <v>6.5208</v>
      </c>
      <c r="O103" s="30" t="n">
        <f aca="false">J103-ROUND(+$J103*(VLOOKUP($I103,cngded,6,FALSE())),0)</f>
        <v>235</v>
      </c>
      <c r="P103" s="30" t="n">
        <f aca="false">K103-ROUND(+$K103*(VLOOKUP($I103,cngded,6,FALSE())),0)</f>
        <v>248</v>
      </c>
      <c r="Q103" s="23" t="str">
        <f aca="false">IF(ISNA(VLOOKUP(C103,INCNG,1,FALSE())),"--","Y")</f>
        <v>Y</v>
      </c>
      <c r="R103" s="23" t="n">
        <f aca="false">IF(ISNA(VLOOKUP(C103,INCNG,10,FALSE())),0,VLOOKUP(C103,INCNG,10,FALSE()))</f>
        <v>235</v>
      </c>
      <c r="S103" s="0" t="n">
        <f aca="false">+K103-R103</f>
        <v>51</v>
      </c>
      <c r="T103" s="31" t="n">
        <f aca="false">+P103-R103</f>
        <v>13</v>
      </c>
      <c r="U103" s="32" t="n">
        <f aca="false">ROUND(+$K103*(VLOOKUP($I103,Retention,2,FALSE())),0)</f>
        <v>7</v>
      </c>
      <c r="V103" s="32" t="n">
        <f aca="false">ROUND(+$K103*(VLOOKUP($I103,Retention,3,FALSE())),0)</f>
        <v>20</v>
      </c>
      <c r="W103" s="32" t="n">
        <f aca="false">ROUND(+$K103*(VLOOKUP($I103,Retention,4,FALSE())),0)</f>
        <v>9</v>
      </c>
      <c r="X103" s="32" t="n">
        <f aca="false">ROUND(+$K103*(VLOOKUP($I103,Retention,5,FALSE())),0)</f>
        <v>3</v>
      </c>
      <c r="Y103" s="31" t="n">
        <f aca="false">SUM(U103:X103)</f>
        <v>39</v>
      </c>
      <c r="AB103" s="33"/>
      <c r="AC103" s="33"/>
      <c r="AD103" s="0" t="e">
        <f aca="false">VLOOKUP(AB103,INCNG,3,FALSE())</f>
        <v>#N/A</v>
      </c>
    </row>
    <row r="104" customFormat="false" ht="12.75" hidden="false" customHeight="false" outlineLevel="0" collapsed="false">
      <c r="A104" s="0" t="s">
        <v>486</v>
      </c>
      <c r="B104" s="0" t="s">
        <v>273</v>
      </c>
      <c r="C104" s="0" t="s">
        <v>252</v>
      </c>
      <c r="D104" s="0" t="n">
        <v>3409901</v>
      </c>
      <c r="E104" s="0" t="s">
        <v>459</v>
      </c>
      <c r="F104" s="21" t="n">
        <v>37196</v>
      </c>
      <c r="G104" s="21"/>
      <c r="H104" s="21"/>
      <c r="I104" s="21" t="s">
        <v>450</v>
      </c>
      <c r="J104" s="0" t="n">
        <f aca="false">IF(ISNA(VLOOKUP(C104,CNGx,2,FALSE())),"na",(VLOOKUP(C104,CNGx,2,FALSE())))</f>
        <v>518</v>
      </c>
      <c r="K104" s="0" t="n">
        <f aca="false">IF(ISNA(VLOOKUP(C104,CNGx,3,0)),0,VLOOKUP(C104,CNGx,3,FALSE()))</f>
        <v>649</v>
      </c>
      <c r="L104" s="29" t="n">
        <f aca="false">VLOOKUP(I104,Retention,2,FALSE())</f>
        <v>0.0228</v>
      </c>
      <c r="M104" s="30" t="n">
        <f aca="false">IF(OR(I104="TD",I104="TW"),0,J104*0.0228)</f>
        <v>11.8104</v>
      </c>
      <c r="N104" s="30" t="n">
        <f aca="false">IF(OR(I104="TD",I104="TW"),0,K104*0.0228)</f>
        <v>14.7972</v>
      </c>
      <c r="O104" s="30" t="n">
        <f aca="false">J104-ROUND(+$J104*(VLOOKUP($I104,cngded,6,FALSE())),0)</f>
        <v>449</v>
      </c>
      <c r="P104" s="30" t="n">
        <f aca="false">K104-ROUND(+$K104*(VLOOKUP($I104,cngded,6,FALSE())),0)</f>
        <v>563</v>
      </c>
      <c r="Q104" s="23" t="str">
        <f aca="false">IF(ISNA(VLOOKUP(C104,INCNG,1,FALSE())),"--","Y")</f>
        <v>Y</v>
      </c>
      <c r="R104" s="23" t="n">
        <f aca="false">IF(ISNA(VLOOKUP(C104,INCNG,10,FALSE())),0,VLOOKUP(C104,INCNG,10,FALSE()))</f>
        <v>449</v>
      </c>
      <c r="S104" s="0" t="n">
        <f aca="false">+K104-R104</f>
        <v>200</v>
      </c>
      <c r="T104" s="31" t="n">
        <f aca="false">+P104-R104</f>
        <v>114</v>
      </c>
      <c r="U104" s="32" t="n">
        <f aca="false">ROUND(+$K104*(VLOOKUP($I104,Retention,2,FALSE())),0)</f>
        <v>15</v>
      </c>
      <c r="V104" s="32" t="n">
        <f aca="false">ROUND(+$K104*(VLOOKUP($I104,Retention,3,FALSE())),0)</f>
        <v>46</v>
      </c>
      <c r="W104" s="32" t="n">
        <f aca="false">ROUND(+$K104*(VLOOKUP($I104,Retention,4,FALSE())),0)</f>
        <v>19</v>
      </c>
      <c r="X104" s="32" t="n">
        <f aca="false">ROUND(+$K104*(VLOOKUP($I104,Retention,5,FALSE())),0)</f>
        <v>6</v>
      </c>
      <c r="Y104" s="31" t="n">
        <f aca="false">SUM(U104:X104)</f>
        <v>86</v>
      </c>
      <c r="AB104" s="33"/>
      <c r="AC104" s="33"/>
      <c r="AD104" s="0" t="e">
        <f aca="false">VLOOKUP(AB104,INCNG,3,FALSE())</f>
        <v>#N/A</v>
      </c>
    </row>
    <row r="105" customFormat="false" ht="12.75" hidden="false" customHeight="false" outlineLevel="0" collapsed="false">
      <c r="A105" s="0" t="s">
        <v>486</v>
      </c>
      <c r="B105" s="0" t="s">
        <v>273</v>
      </c>
      <c r="C105" s="0" t="s">
        <v>375</v>
      </c>
      <c r="D105" s="0" t="n">
        <v>3410301</v>
      </c>
      <c r="E105" s="0" t="s">
        <v>456</v>
      </c>
      <c r="F105" s="21" t="n">
        <v>37196</v>
      </c>
      <c r="G105" s="21"/>
      <c r="H105" s="21"/>
      <c r="I105" s="21" t="s">
        <v>450</v>
      </c>
      <c r="J105" s="0" t="n">
        <f aca="false">IF(ISNA(VLOOKUP(C105,CNGx,2,FALSE())),"na",(VLOOKUP(C105,CNGx,2,FALSE())))</f>
        <v>67</v>
      </c>
      <c r="K105" s="0" t="n">
        <f aca="false">IF(ISNA(VLOOKUP(C105,CNGx,3,0)),0,VLOOKUP(C105,CNGx,3,FALSE()))</f>
        <v>124</v>
      </c>
      <c r="L105" s="29" t="n">
        <f aca="false">VLOOKUP(I105,Retention,2,FALSE())</f>
        <v>0.0228</v>
      </c>
      <c r="M105" s="30" t="n">
        <f aca="false">IF(OR(I105="TD",I105="TW"),0,J105*0.0228)</f>
        <v>1.5276</v>
      </c>
      <c r="N105" s="30" t="n">
        <f aca="false">IF(OR(I105="TD",I105="TW"),0,K105*0.0228)</f>
        <v>2.8272</v>
      </c>
      <c r="O105" s="30" t="n">
        <f aca="false">J105-ROUND(+$J105*(VLOOKUP($I105,cngded,6,FALSE())),0)</f>
        <v>58</v>
      </c>
      <c r="P105" s="30" t="n">
        <f aca="false">K105-ROUND(+$K105*(VLOOKUP($I105,cngded,6,FALSE())),0)</f>
        <v>108</v>
      </c>
      <c r="Q105" s="23" t="str">
        <f aca="false">IF(ISNA(VLOOKUP(C105,INCNG,1,FALSE())),"--","Y")</f>
        <v>Y</v>
      </c>
      <c r="R105" s="23" t="n">
        <f aca="false">IF(ISNA(VLOOKUP(C105,INCNG,10,FALSE())),0,VLOOKUP(C105,INCNG,10,FALSE()))</f>
        <v>58</v>
      </c>
      <c r="S105" s="0" t="n">
        <f aca="false">+K105-R105</f>
        <v>66</v>
      </c>
      <c r="T105" s="31" t="n">
        <f aca="false">+P105-R105</f>
        <v>50</v>
      </c>
      <c r="U105" s="32" t="n">
        <f aca="false">ROUND(+$K105*(VLOOKUP($I105,Retention,2,FALSE())),0)</f>
        <v>3</v>
      </c>
      <c r="V105" s="32" t="n">
        <f aca="false">ROUND(+$K105*(VLOOKUP($I105,Retention,3,FALSE())),0)</f>
        <v>9</v>
      </c>
      <c r="W105" s="32" t="n">
        <f aca="false">ROUND(+$K105*(VLOOKUP($I105,Retention,4,FALSE())),0)</f>
        <v>4</v>
      </c>
      <c r="X105" s="32" t="n">
        <f aca="false">ROUND(+$K105*(VLOOKUP($I105,Retention,5,FALSE())),0)</f>
        <v>1</v>
      </c>
      <c r="Y105" s="31" t="n">
        <f aca="false">SUM(U105:X105)</f>
        <v>17</v>
      </c>
      <c r="AB105" s="33"/>
      <c r="AC105" s="33"/>
      <c r="AD105" s="0" t="e">
        <f aca="false">VLOOKUP(AB105,INCNG,3,FALSE())</f>
        <v>#N/A</v>
      </c>
    </row>
    <row r="106" customFormat="false" ht="12.75" hidden="false" customHeight="false" outlineLevel="0" collapsed="false">
      <c r="A106" s="0" t="s">
        <v>486</v>
      </c>
      <c r="B106" s="0" t="s">
        <v>273</v>
      </c>
      <c r="C106" s="0" t="s">
        <v>376</v>
      </c>
      <c r="D106" s="0" t="n">
        <v>3415201</v>
      </c>
      <c r="E106" s="0" t="s">
        <v>456</v>
      </c>
      <c r="F106" s="21" t="n">
        <v>37196</v>
      </c>
      <c r="G106" s="21"/>
      <c r="H106" s="21"/>
      <c r="I106" s="21" t="s">
        <v>450</v>
      </c>
      <c r="J106" s="0" t="n">
        <f aca="false">IF(ISNA(VLOOKUP(C106,CNGx,2,FALSE())),"na",(VLOOKUP(C106,CNGx,2,FALSE())))</f>
        <v>0</v>
      </c>
      <c r="K106" s="0" t="n">
        <f aca="false">IF(ISNA(VLOOKUP(C106,CNGx,3,0)),0,VLOOKUP(C106,CNGx,3,FALSE()))</f>
        <v>0</v>
      </c>
      <c r="L106" s="29" t="n">
        <f aca="false">VLOOKUP(I106,Retention,2,FALSE())</f>
        <v>0.0228</v>
      </c>
      <c r="M106" s="30" t="n">
        <f aca="false">IF(OR(I106="TD",I106="TW"),0,J106*0.0228)</f>
        <v>0</v>
      </c>
      <c r="N106" s="30" t="n">
        <f aca="false">IF(OR(I106="TD",I106="TW"),0,K106*0.0228)</f>
        <v>0</v>
      </c>
      <c r="O106" s="30" t="n">
        <f aca="false">J106-ROUND(+$J106*(VLOOKUP($I106,cngded,6,FALSE())),0)</f>
        <v>0</v>
      </c>
      <c r="P106" s="30" t="n">
        <f aca="false">K106-ROUND(+$K106*(VLOOKUP($I106,cngded,6,FALSE())),0)</f>
        <v>0</v>
      </c>
      <c r="Q106" s="23" t="str">
        <f aca="false">IF(ISNA(VLOOKUP(C106,INCNG,1,FALSE())),"--","Y")</f>
        <v>Y</v>
      </c>
      <c r="R106" s="23" t="n">
        <f aca="false">IF(ISNA(VLOOKUP(C106,INCNG,10,FALSE())),0,VLOOKUP(C106,INCNG,10,FALSE()))</f>
        <v>0</v>
      </c>
      <c r="S106" s="0" t="n">
        <f aca="false">+K106-R106</f>
        <v>0</v>
      </c>
      <c r="T106" s="31" t="n">
        <f aca="false">+P106-R106</f>
        <v>0</v>
      </c>
      <c r="U106" s="32" t="n">
        <f aca="false">ROUND(+$K106*(VLOOKUP($I106,Retention,2,FALSE())),0)</f>
        <v>0</v>
      </c>
      <c r="V106" s="32" t="n">
        <f aca="false">ROUND(+$K106*(VLOOKUP($I106,Retention,3,FALSE())),0)</f>
        <v>0</v>
      </c>
      <c r="W106" s="32" t="n">
        <f aca="false">ROUND(+$K106*(VLOOKUP($I106,Retention,4,FALSE())),0)</f>
        <v>0</v>
      </c>
      <c r="X106" s="32" t="n">
        <f aca="false">ROUND(+$K106*(VLOOKUP($I106,Retention,5,FALSE())),0)</f>
        <v>0</v>
      </c>
      <c r="Y106" s="31" t="n">
        <f aca="false">SUM(U106:X106)</f>
        <v>0</v>
      </c>
      <c r="AB106" s="33"/>
      <c r="AC106" s="33"/>
      <c r="AD106" s="0" t="e">
        <f aca="false">VLOOKUP(AB106,INCNG,3,FALSE())</f>
        <v>#N/A</v>
      </c>
    </row>
    <row r="107" customFormat="false" ht="12.75" hidden="false" customHeight="false" outlineLevel="0" collapsed="false">
      <c r="A107" s="0" t="s">
        <v>486</v>
      </c>
      <c r="B107" s="0" t="s">
        <v>273</v>
      </c>
      <c r="C107" s="0" t="s">
        <v>294</v>
      </c>
      <c r="D107" s="0" t="n">
        <v>3420401</v>
      </c>
      <c r="E107" s="0" t="s">
        <v>293</v>
      </c>
      <c r="F107" s="21" t="n">
        <v>37196</v>
      </c>
      <c r="G107" s="21"/>
      <c r="H107" s="21"/>
      <c r="I107" s="21" t="s">
        <v>450</v>
      </c>
      <c r="J107" s="0" t="n">
        <f aca="false">IF(ISNA(VLOOKUP(C107,CNGx,2,FALSE())),"na",(VLOOKUP(C107,CNGx,2,FALSE())))</f>
        <v>0</v>
      </c>
      <c r="K107" s="0" t="n">
        <f aca="false">IF(ISNA(VLOOKUP(C107,CNGx,3,0)),0,VLOOKUP(C107,CNGx,3,FALSE()))</f>
        <v>0</v>
      </c>
      <c r="L107" s="29" t="n">
        <f aca="false">VLOOKUP(I107,Retention,2,FALSE())</f>
        <v>0.0228</v>
      </c>
      <c r="M107" s="30" t="n">
        <f aca="false">IF(OR(I107="TD",I107="TW"),0,J107*0.0228)</f>
        <v>0</v>
      </c>
      <c r="N107" s="30" t="n">
        <f aca="false">IF(OR(I107="TD",I107="TW"),0,K107*0.0228)</f>
        <v>0</v>
      </c>
      <c r="O107" s="30" t="n">
        <f aca="false">J107-ROUND(+$J107*(VLOOKUP($I107,cngded,6,FALSE())),0)</f>
        <v>0</v>
      </c>
      <c r="P107" s="30" t="n">
        <f aca="false">K107-ROUND(+$K107*(VLOOKUP($I107,cngded,6,FALSE())),0)</f>
        <v>0</v>
      </c>
      <c r="Q107" s="23" t="str">
        <f aca="false">IF(ISNA(VLOOKUP(C107,INCNG,1,FALSE())),"--","Y")</f>
        <v>Y</v>
      </c>
      <c r="R107" s="23" t="n">
        <f aca="false">IF(ISNA(VLOOKUP(C107,INCNG,10,FALSE())),0,VLOOKUP(C107,INCNG,10,FALSE()))</f>
        <v>0</v>
      </c>
      <c r="S107" s="0" t="n">
        <f aca="false">+K107-R107</f>
        <v>0</v>
      </c>
      <c r="T107" s="31" t="n">
        <f aca="false">+P107-R107</f>
        <v>0</v>
      </c>
      <c r="U107" s="32" t="n">
        <f aca="false">ROUND(+$K107*(VLOOKUP($I107,Retention,2,FALSE())),0)</f>
        <v>0</v>
      </c>
      <c r="V107" s="32" t="n">
        <f aca="false">ROUND(+$K107*(VLOOKUP($I107,Retention,3,FALSE())),0)</f>
        <v>0</v>
      </c>
      <c r="W107" s="32" t="n">
        <f aca="false">ROUND(+$K107*(VLOOKUP($I107,Retention,4,FALSE())),0)</f>
        <v>0</v>
      </c>
      <c r="X107" s="32" t="n">
        <f aca="false">ROUND(+$K107*(VLOOKUP($I107,Retention,5,FALSE())),0)</f>
        <v>0</v>
      </c>
      <c r="Y107" s="31" t="n">
        <f aca="false">SUM(U107:X107)</f>
        <v>0</v>
      </c>
      <c r="AB107" s="33"/>
      <c r="AC107" s="33"/>
      <c r="AD107" s="0" t="e">
        <f aca="false">VLOOKUP(AB107,INCNG,3,FALSE())</f>
        <v>#N/A</v>
      </c>
    </row>
    <row r="108" customFormat="false" ht="12.75" hidden="false" customHeight="false" outlineLevel="0" collapsed="false">
      <c r="A108" s="0" t="s">
        <v>486</v>
      </c>
      <c r="B108" s="0" t="s">
        <v>487</v>
      </c>
      <c r="C108" s="0" t="s">
        <v>81</v>
      </c>
      <c r="D108" s="0" t="n">
        <v>3421301</v>
      </c>
      <c r="E108" s="0" t="s">
        <v>454</v>
      </c>
      <c r="F108" s="21" t="n">
        <v>37196</v>
      </c>
      <c r="G108" s="21"/>
      <c r="H108" s="21"/>
      <c r="I108" s="21" t="s">
        <v>446</v>
      </c>
      <c r="J108" s="0" t="n">
        <f aca="false">IF(ISNA(VLOOKUP(C108,CNGx,2,FALSE())),"na",(VLOOKUP(C108,CNGx,2,FALSE())))</f>
        <v>24</v>
      </c>
      <c r="K108" s="0" t="n">
        <f aca="false">IF(ISNA(VLOOKUP(C108,CNGx,3,0)),0,VLOOKUP(C108,CNGx,3,FALSE()))</f>
        <v>30</v>
      </c>
      <c r="L108" s="29" t="n">
        <f aca="false">VLOOKUP(I108,Retention,2,FALSE())</f>
        <v>0</v>
      </c>
      <c r="M108" s="30" t="n">
        <f aca="false">IF(OR(I108="TD",I108="TW"),0,J108*0.0228)</f>
        <v>0</v>
      </c>
      <c r="N108" s="30" t="n">
        <f aca="false">IF(OR(I108="TD",I108="TW"),0,K108*0.0228)</f>
        <v>0</v>
      </c>
      <c r="O108" s="30" t="n">
        <f aca="false">J108-ROUND(+$J108*(VLOOKUP($I108,cngded,6,FALSE())),0)</f>
        <v>23</v>
      </c>
      <c r="P108" s="30" t="n">
        <f aca="false">K108-ROUND(+$K108*(VLOOKUP($I108,cngded,6,FALSE())),0)</f>
        <v>29</v>
      </c>
      <c r="Q108" s="23" t="str">
        <f aca="false">IF(ISNA(VLOOKUP(C108,INCNG,1,FALSE())),"--","Y")</f>
        <v>Y</v>
      </c>
      <c r="R108" s="23" t="n">
        <f aca="false">IF(ISNA(VLOOKUP(C108,INCNG,10,FALSE())),0,VLOOKUP(C108,INCNG,10,FALSE()))</f>
        <v>23</v>
      </c>
      <c r="S108" s="0" t="n">
        <f aca="false">+K108-R108</f>
        <v>7</v>
      </c>
      <c r="T108" s="31" t="n">
        <f aca="false">+P108-R108</f>
        <v>6</v>
      </c>
      <c r="U108" s="32" t="n">
        <f aca="false">ROUND(+$K108*(VLOOKUP($I108,Retention,2,FALSE())),0)</f>
        <v>0</v>
      </c>
      <c r="V108" s="32" t="n">
        <f aca="false">ROUND(+$K108*(VLOOKUP($I108,Retention,3,FALSE())),0)</f>
        <v>0</v>
      </c>
      <c r="W108" s="32" t="n">
        <f aca="false">ROUND(+$K108*(VLOOKUP($I108,Retention,4,FALSE())),0)</f>
        <v>1</v>
      </c>
      <c r="X108" s="32" t="n">
        <f aca="false">ROUND(+$K108*(VLOOKUP($I108,Retention,5,FALSE())),0)</f>
        <v>0</v>
      </c>
      <c r="Y108" s="31" t="n">
        <f aca="false">SUM(U108:X108)</f>
        <v>1</v>
      </c>
      <c r="AB108" s="33"/>
      <c r="AC108" s="33"/>
      <c r="AD108" s="0" t="e">
        <f aca="false">VLOOKUP(AB108,INCNG,3,FALSE())</f>
        <v>#N/A</v>
      </c>
    </row>
    <row r="109" customFormat="false" ht="12.75" hidden="false" customHeight="false" outlineLevel="0" collapsed="false">
      <c r="A109" s="0" t="s">
        <v>486</v>
      </c>
      <c r="B109" s="0" t="s">
        <v>273</v>
      </c>
      <c r="C109" s="0" t="s">
        <v>382</v>
      </c>
      <c r="D109" s="0" t="n">
        <v>3422001</v>
      </c>
      <c r="E109" s="0" t="s">
        <v>383</v>
      </c>
      <c r="F109" s="21" t="n">
        <v>37196</v>
      </c>
      <c r="G109" s="21"/>
      <c r="H109" s="21"/>
      <c r="I109" s="21" t="s">
        <v>450</v>
      </c>
      <c r="J109" s="0" t="n">
        <f aca="false">IF(ISNA(VLOOKUP(C109,CNGx,2,FALSE())),"na",(VLOOKUP(C109,CNGx,2,FALSE())))</f>
        <v>0</v>
      </c>
      <c r="K109" s="0" t="n">
        <f aca="false">IF(ISNA(VLOOKUP(C109,CNGx,3,0)),0,VLOOKUP(C109,CNGx,3,FALSE()))</f>
        <v>0</v>
      </c>
      <c r="L109" s="29" t="n">
        <f aca="false">VLOOKUP(I109,Retention,2,FALSE())</f>
        <v>0.0228</v>
      </c>
      <c r="M109" s="30" t="n">
        <f aca="false">IF(OR(I109="TD",I109="TW"),0,J109*0.0228)</f>
        <v>0</v>
      </c>
      <c r="N109" s="30" t="n">
        <f aca="false">IF(OR(I109="TD",I109="TW"),0,K109*0.0228)</f>
        <v>0</v>
      </c>
      <c r="O109" s="30" t="n">
        <f aca="false">J109-ROUND(+$J109*(VLOOKUP($I109,cngded,6,FALSE())),0)</f>
        <v>0</v>
      </c>
      <c r="P109" s="30" t="n">
        <f aca="false">K109-ROUND(+$K109*(VLOOKUP($I109,cngded,6,FALSE())),0)</f>
        <v>0</v>
      </c>
      <c r="Q109" s="23" t="str">
        <f aca="false">IF(ISNA(VLOOKUP(C109,INCNG,1,FALSE())),"--","Y")</f>
        <v>Y</v>
      </c>
      <c r="R109" s="23" t="n">
        <f aca="false">IF(ISNA(VLOOKUP(C109,INCNG,10,FALSE())),0,VLOOKUP(C109,INCNG,10,FALSE()))</f>
        <v>0</v>
      </c>
      <c r="S109" s="0" t="n">
        <f aca="false">+K109-R109</f>
        <v>0</v>
      </c>
      <c r="T109" s="31" t="n">
        <f aca="false">+P109-R109</f>
        <v>0</v>
      </c>
      <c r="U109" s="32" t="n">
        <f aca="false">ROUND(+$K109*(VLOOKUP($I109,Retention,2,FALSE())),0)</f>
        <v>0</v>
      </c>
      <c r="V109" s="32" t="n">
        <f aca="false">ROUND(+$K109*(VLOOKUP($I109,Retention,3,FALSE())),0)</f>
        <v>0</v>
      </c>
      <c r="W109" s="32" t="n">
        <f aca="false">ROUND(+$K109*(VLOOKUP($I109,Retention,4,FALSE())),0)</f>
        <v>0</v>
      </c>
      <c r="X109" s="32" t="n">
        <f aca="false">ROUND(+$K109*(VLOOKUP($I109,Retention,5,FALSE())),0)</f>
        <v>0</v>
      </c>
      <c r="Y109" s="31" t="n">
        <f aca="false">SUM(U109:X109)</f>
        <v>0</v>
      </c>
      <c r="AB109" s="33"/>
      <c r="AC109" s="33"/>
      <c r="AD109" s="0" t="e">
        <f aca="false">VLOOKUP(AB109,INCNG,3,FALSE())</f>
        <v>#N/A</v>
      </c>
    </row>
    <row r="110" customFormat="false" ht="12.75" hidden="false" customHeight="false" outlineLevel="0" collapsed="false">
      <c r="A110" s="0" t="s">
        <v>486</v>
      </c>
      <c r="B110" s="0" t="s">
        <v>273</v>
      </c>
      <c r="C110" s="0" t="s">
        <v>221</v>
      </c>
      <c r="D110" s="0" t="n">
        <v>3422901</v>
      </c>
      <c r="E110" s="0" t="s">
        <v>452</v>
      </c>
      <c r="F110" s="21" t="n">
        <v>37196</v>
      </c>
      <c r="G110" s="21"/>
      <c r="H110" s="21"/>
      <c r="I110" s="21" t="s">
        <v>450</v>
      </c>
      <c r="J110" s="0" t="n">
        <f aca="false">IF(ISNA(VLOOKUP(C110,CNGx,2,FALSE())),"na",(VLOOKUP(C110,CNGx,2,FALSE())))</f>
        <v>114</v>
      </c>
      <c r="K110" s="0" t="n">
        <f aca="false">IF(ISNA(VLOOKUP(C110,CNGx,3,0)),0,VLOOKUP(C110,CNGx,3,FALSE()))</f>
        <v>127</v>
      </c>
      <c r="L110" s="29" t="n">
        <f aca="false">VLOOKUP(I110,Retention,2,FALSE())</f>
        <v>0.0228</v>
      </c>
      <c r="M110" s="30" t="n">
        <f aca="false">IF(OR(I110="TD",I110="TW"),0,J110*0.0228)</f>
        <v>2.5992</v>
      </c>
      <c r="N110" s="30" t="n">
        <f aca="false">IF(OR(I110="TD",I110="TW"),0,K110*0.0228)</f>
        <v>2.8956</v>
      </c>
      <c r="O110" s="30" t="n">
        <f aca="false">J110-ROUND(+$J110*(VLOOKUP($I110,cngded,6,FALSE())),0)</f>
        <v>99</v>
      </c>
      <c r="P110" s="30" t="n">
        <f aca="false">K110-ROUND(+$K110*(VLOOKUP($I110,cngded,6,FALSE())),0)</f>
        <v>110</v>
      </c>
      <c r="Q110" s="23" t="str">
        <f aca="false">IF(ISNA(VLOOKUP(C110,INCNG,1,FALSE())),"--","Y")</f>
        <v>Y</v>
      </c>
      <c r="R110" s="23" t="n">
        <f aca="false">IF(ISNA(VLOOKUP(C110,INCNG,10,FALSE())),0,VLOOKUP(C110,INCNG,10,FALSE()))</f>
        <v>99</v>
      </c>
      <c r="S110" s="0" t="n">
        <f aca="false">+K110-R110</f>
        <v>28</v>
      </c>
      <c r="T110" s="31" t="n">
        <f aca="false">+P110-R110</f>
        <v>11</v>
      </c>
      <c r="U110" s="32" t="n">
        <f aca="false">ROUND(+$K110*(VLOOKUP($I110,Retention,2,FALSE())),0)</f>
        <v>3</v>
      </c>
      <c r="V110" s="32" t="n">
        <f aca="false">ROUND(+$K110*(VLOOKUP($I110,Retention,3,FALSE())),0)</f>
        <v>9</v>
      </c>
      <c r="W110" s="32" t="n">
        <f aca="false">ROUND(+$K110*(VLOOKUP($I110,Retention,4,FALSE())),0)</f>
        <v>4</v>
      </c>
      <c r="X110" s="32" t="n">
        <f aca="false">ROUND(+$K110*(VLOOKUP($I110,Retention,5,FALSE())),0)</f>
        <v>1</v>
      </c>
      <c r="Y110" s="31" t="n">
        <f aca="false">SUM(U110:X110)</f>
        <v>17</v>
      </c>
      <c r="AB110" s="33"/>
      <c r="AC110" s="33"/>
      <c r="AD110" s="0" t="e">
        <f aca="false">VLOOKUP(AB110,INCNG,3,FALSE())</f>
        <v>#N/A</v>
      </c>
    </row>
    <row r="111" customFormat="false" ht="12.75" hidden="false" customHeight="false" outlineLevel="0" collapsed="false">
      <c r="A111" s="0" t="s">
        <v>486</v>
      </c>
      <c r="B111" s="0" t="s">
        <v>273</v>
      </c>
      <c r="C111" s="0" t="s">
        <v>98</v>
      </c>
      <c r="D111" s="0" t="n">
        <v>3423501</v>
      </c>
      <c r="E111" s="0" t="s">
        <v>455</v>
      </c>
      <c r="F111" s="21" t="n">
        <v>37196</v>
      </c>
      <c r="G111" s="21"/>
      <c r="H111" s="21"/>
      <c r="I111" s="21" t="s">
        <v>450</v>
      </c>
      <c r="J111" s="0" t="n">
        <f aca="false">IF(ISNA(VLOOKUP(C111,CNGx,2,FALSE())),"na",(VLOOKUP(C111,CNGx,2,FALSE())))</f>
        <v>0</v>
      </c>
      <c r="K111" s="0" t="n">
        <f aca="false">IF(ISNA(VLOOKUP(C111,CNGx,3,0)),0,VLOOKUP(C111,CNGx,3,FALSE()))</f>
        <v>0</v>
      </c>
      <c r="L111" s="29" t="n">
        <f aca="false">VLOOKUP(I111,Retention,2,FALSE())</f>
        <v>0.0228</v>
      </c>
      <c r="M111" s="30" t="n">
        <f aca="false">IF(OR(I111="TD",I111="TW"),0,J111*0.0228)</f>
        <v>0</v>
      </c>
      <c r="N111" s="30" t="n">
        <f aca="false">IF(OR(I111="TD",I111="TW"),0,K111*0.0228)</f>
        <v>0</v>
      </c>
      <c r="O111" s="30" t="n">
        <f aca="false">J111-ROUND(+$J111*(VLOOKUP($I111,cngded,6,FALSE())),0)</f>
        <v>0</v>
      </c>
      <c r="P111" s="30" t="n">
        <f aca="false">K111-ROUND(+$K111*(VLOOKUP($I111,cngded,6,FALSE())),0)</f>
        <v>0</v>
      </c>
      <c r="Q111" s="23" t="str">
        <f aca="false">IF(ISNA(VLOOKUP(C111,INCNG,1,FALSE())),"--","Y")</f>
        <v>Y</v>
      </c>
      <c r="R111" s="23" t="n">
        <f aca="false">IF(ISNA(VLOOKUP(C111,INCNG,10,FALSE())),0,VLOOKUP(C111,INCNG,10,FALSE()))</f>
        <v>0</v>
      </c>
      <c r="S111" s="0" t="n">
        <f aca="false">+K111-R111</f>
        <v>0</v>
      </c>
      <c r="T111" s="31" t="n">
        <f aca="false">+P111-R111</f>
        <v>0</v>
      </c>
      <c r="U111" s="32" t="n">
        <f aca="false">ROUND(+$K111*(VLOOKUP($I111,Retention,2,FALSE())),0)</f>
        <v>0</v>
      </c>
      <c r="V111" s="32" t="n">
        <f aca="false">ROUND(+$K111*(VLOOKUP($I111,Retention,3,FALSE())),0)</f>
        <v>0</v>
      </c>
      <c r="W111" s="32" t="n">
        <f aca="false">ROUND(+$K111*(VLOOKUP($I111,Retention,4,FALSE())),0)</f>
        <v>0</v>
      </c>
      <c r="X111" s="32" t="n">
        <f aca="false">ROUND(+$K111*(VLOOKUP($I111,Retention,5,FALSE())),0)</f>
        <v>0</v>
      </c>
      <c r="Y111" s="31" t="n">
        <f aca="false">SUM(U111:X111)</f>
        <v>0</v>
      </c>
      <c r="AB111" s="33"/>
      <c r="AC111" s="33"/>
      <c r="AD111" s="0" t="e">
        <f aca="false">VLOOKUP(AB111,INCNG,3,FALSE())</f>
        <v>#N/A</v>
      </c>
    </row>
    <row r="112" customFormat="false" ht="12.75" hidden="false" customHeight="false" outlineLevel="0" collapsed="false">
      <c r="A112" s="0" t="s">
        <v>486</v>
      </c>
      <c r="B112" s="0" t="s">
        <v>273</v>
      </c>
      <c r="C112" s="0" t="s">
        <v>100</v>
      </c>
      <c r="D112" s="0" t="n">
        <v>3423601</v>
      </c>
      <c r="E112" s="0" t="s">
        <v>455</v>
      </c>
      <c r="F112" s="21" t="n">
        <v>37196</v>
      </c>
      <c r="G112" s="21"/>
      <c r="H112" s="21"/>
      <c r="I112" s="21" t="s">
        <v>450</v>
      </c>
      <c r="J112" s="0" t="n">
        <f aca="false">IF(ISNA(VLOOKUP(C112,CNGx,2,FALSE())),"na",(VLOOKUP(C112,CNGx,2,FALSE())))</f>
        <v>97</v>
      </c>
      <c r="K112" s="0" t="n">
        <f aca="false">IF(ISNA(VLOOKUP(C112,CNGx,3,0)),0,VLOOKUP(C112,CNGx,3,FALSE()))</f>
        <v>124</v>
      </c>
      <c r="L112" s="29" t="n">
        <f aca="false">VLOOKUP(I112,Retention,2,FALSE())</f>
        <v>0.0228</v>
      </c>
      <c r="M112" s="30" t="n">
        <f aca="false">IF(OR(I112="TD",I112="TW"),0,J112*0.0228)</f>
        <v>2.2116</v>
      </c>
      <c r="N112" s="30" t="n">
        <f aca="false">IF(OR(I112="TD",I112="TW"),0,K112*0.0228)</f>
        <v>2.8272</v>
      </c>
      <c r="O112" s="30" t="n">
        <f aca="false">J112-ROUND(+$J112*(VLOOKUP($I112,cngded,6,FALSE())),0)</f>
        <v>84</v>
      </c>
      <c r="P112" s="30" t="n">
        <f aca="false">K112-ROUND(+$K112*(VLOOKUP($I112,cngded,6,FALSE())),0)</f>
        <v>108</v>
      </c>
      <c r="Q112" s="23" t="str">
        <f aca="false">IF(ISNA(VLOOKUP(C112,INCNG,1,FALSE())),"--","Y")</f>
        <v>Y</v>
      </c>
      <c r="R112" s="23" t="n">
        <f aca="false">IF(ISNA(VLOOKUP(C112,INCNG,10,FALSE())),0,VLOOKUP(C112,INCNG,10,FALSE()))</f>
        <v>84</v>
      </c>
      <c r="S112" s="0" t="n">
        <f aca="false">+K112-R112</f>
        <v>40</v>
      </c>
      <c r="T112" s="31" t="n">
        <f aca="false">+P112-R112</f>
        <v>24</v>
      </c>
      <c r="U112" s="32" t="n">
        <f aca="false">ROUND(+$K112*(VLOOKUP($I112,Retention,2,FALSE())),0)</f>
        <v>3</v>
      </c>
      <c r="V112" s="32" t="n">
        <f aca="false">ROUND(+$K112*(VLOOKUP($I112,Retention,3,FALSE())),0)</f>
        <v>9</v>
      </c>
      <c r="W112" s="32" t="n">
        <f aca="false">ROUND(+$K112*(VLOOKUP($I112,Retention,4,FALSE())),0)</f>
        <v>4</v>
      </c>
      <c r="X112" s="32" t="n">
        <f aca="false">ROUND(+$K112*(VLOOKUP($I112,Retention,5,FALSE())),0)</f>
        <v>1</v>
      </c>
      <c r="Y112" s="31" t="n">
        <f aca="false">SUM(U112:X112)</f>
        <v>17</v>
      </c>
      <c r="AB112" s="33"/>
      <c r="AC112" s="33"/>
      <c r="AD112" s="0" t="e">
        <f aca="false">VLOOKUP(AB112,INCNG,3,FALSE())</f>
        <v>#N/A</v>
      </c>
    </row>
    <row r="113" customFormat="false" ht="12.75" hidden="false" customHeight="false" outlineLevel="0" collapsed="false">
      <c r="A113" s="0" t="s">
        <v>486</v>
      </c>
      <c r="B113" s="0" t="s">
        <v>273</v>
      </c>
      <c r="C113" s="0" t="s">
        <v>101</v>
      </c>
      <c r="D113" s="0" t="n">
        <v>3423701</v>
      </c>
      <c r="E113" s="0" t="s">
        <v>455</v>
      </c>
      <c r="F113" s="21" t="n">
        <v>37196</v>
      </c>
      <c r="G113" s="21"/>
      <c r="H113" s="21"/>
      <c r="I113" s="21" t="s">
        <v>450</v>
      </c>
      <c r="J113" s="0" t="n">
        <f aca="false">IF(ISNA(VLOOKUP(C113,CNGx,2,FALSE())),"na",(VLOOKUP(C113,CNGx,2,FALSE())))</f>
        <v>123</v>
      </c>
      <c r="K113" s="0" t="n">
        <f aca="false">IF(ISNA(VLOOKUP(C113,CNGx,3,0)),0,VLOOKUP(C113,CNGx,3,FALSE()))</f>
        <v>146</v>
      </c>
      <c r="L113" s="29" t="n">
        <f aca="false">VLOOKUP(I113,Retention,2,FALSE())</f>
        <v>0.0228</v>
      </c>
      <c r="M113" s="30" t="n">
        <f aca="false">IF(OR(I113="TD",I113="TW"),0,J113*0.0228)</f>
        <v>2.8044</v>
      </c>
      <c r="N113" s="30" t="n">
        <f aca="false">IF(OR(I113="TD",I113="TW"),0,K113*0.0228)</f>
        <v>3.3288</v>
      </c>
      <c r="O113" s="30" t="n">
        <f aca="false">J113-ROUND(+$J113*(VLOOKUP($I113,cngded,6,FALSE())),0)</f>
        <v>107</v>
      </c>
      <c r="P113" s="30" t="n">
        <f aca="false">K113-ROUND(+$K113*(VLOOKUP($I113,cngded,6,FALSE())),0)</f>
        <v>127</v>
      </c>
      <c r="Q113" s="23" t="str">
        <f aca="false">IF(ISNA(VLOOKUP(C113,INCNG,1,FALSE())),"--","Y")</f>
        <v>Y</v>
      </c>
      <c r="R113" s="23" t="n">
        <f aca="false">IF(ISNA(VLOOKUP(C113,INCNG,10,FALSE())),0,VLOOKUP(C113,INCNG,10,FALSE()))</f>
        <v>107</v>
      </c>
      <c r="S113" s="0" t="n">
        <f aca="false">+K113-R113</f>
        <v>39</v>
      </c>
      <c r="T113" s="31" t="n">
        <f aca="false">+P113-R113</f>
        <v>20</v>
      </c>
      <c r="U113" s="32" t="n">
        <f aca="false">ROUND(+$K113*(VLOOKUP($I113,Retention,2,FALSE())),0)</f>
        <v>3</v>
      </c>
      <c r="V113" s="32" t="n">
        <f aca="false">ROUND(+$K113*(VLOOKUP($I113,Retention,3,FALSE())),0)</f>
        <v>10</v>
      </c>
      <c r="W113" s="32" t="n">
        <f aca="false">ROUND(+$K113*(VLOOKUP($I113,Retention,4,FALSE())),0)</f>
        <v>4</v>
      </c>
      <c r="X113" s="32" t="n">
        <f aca="false">ROUND(+$K113*(VLOOKUP($I113,Retention,5,FALSE())),0)</f>
        <v>1</v>
      </c>
      <c r="Y113" s="31" t="n">
        <f aca="false">SUM(U113:X113)</f>
        <v>18</v>
      </c>
      <c r="AB113" s="33"/>
      <c r="AC113" s="33"/>
      <c r="AD113" s="0" t="e">
        <f aca="false">VLOOKUP(AB113,INCNG,3,FALSE())</f>
        <v>#N/A</v>
      </c>
    </row>
    <row r="114" customFormat="false" ht="12.75" hidden="false" customHeight="false" outlineLevel="0" collapsed="false">
      <c r="A114" s="0" t="s">
        <v>486</v>
      </c>
      <c r="B114" s="0" t="s">
        <v>273</v>
      </c>
      <c r="C114" s="0" t="s">
        <v>102</v>
      </c>
      <c r="D114" s="0" t="n">
        <v>3423801</v>
      </c>
      <c r="E114" s="0" t="s">
        <v>455</v>
      </c>
      <c r="F114" s="21" t="n">
        <v>37196</v>
      </c>
      <c r="G114" s="21"/>
      <c r="H114" s="21"/>
      <c r="I114" s="21" t="s">
        <v>450</v>
      </c>
      <c r="J114" s="0" t="n">
        <f aca="false">IF(ISNA(VLOOKUP(C114,CNGx,2,FALSE())),"na",(VLOOKUP(C114,CNGx,2,FALSE())))</f>
        <v>498</v>
      </c>
      <c r="K114" s="0" t="n">
        <f aca="false">IF(ISNA(VLOOKUP(C114,CNGx,3,0)),0,VLOOKUP(C114,CNGx,3,FALSE()))</f>
        <v>606</v>
      </c>
      <c r="L114" s="29" t="n">
        <f aca="false">VLOOKUP(I114,Retention,2,FALSE())</f>
        <v>0.0228</v>
      </c>
      <c r="M114" s="30" t="n">
        <f aca="false">IF(OR(I114="TD",I114="TW"),0,J114*0.0228)</f>
        <v>11.3544</v>
      </c>
      <c r="N114" s="30" t="n">
        <f aca="false">IF(OR(I114="TD",I114="TW"),0,K114*0.0228)</f>
        <v>13.8168</v>
      </c>
      <c r="O114" s="30" t="n">
        <f aca="false">J114-ROUND(+$J114*(VLOOKUP($I114,cngded,6,FALSE())),0)</f>
        <v>432</v>
      </c>
      <c r="P114" s="30" t="n">
        <f aca="false">K114-ROUND(+$K114*(VLOOKUP($I114,cngded,6,FALSE())),0)</f>
        <v>526</v>
      </c>
      <c r="Q114" s="23" t="str">
        <f aca="false">IF(ISNA(VLOOKUP(C114,INCNG,1,FALSE())),"--","Y")</f>
        <v>Y</v>
      </c>
      <c r="R114" s="23" t="n">
        <f aca="false">IF(ISNA(VLOOKUP(C114,INCNG,10,FALSE())),0,VLOOKUP(C114,INCNG,10,FALSE()))</f>
        <v>432</v>
      </c>
      <c r="S114" s="0" t="n">
        <f aca="false">+K114-R114</f>
        <v>174</v>
      </c>
      <c r="T114" s="31" t="n">
        <f aca="false">+P114-R114</f>
        <v>94</v>
      </c>
      <c r="U114" s="32" t="n">
        <f aca="false">ROUND(+$K114*(VLOOKUP($I114,Retention,2,FALSE())),0)</f>
        <v>14</v>
      </c>
      <c r="V114" s="32" t="n">
        <f aca="false">ROUND(+$K114*(VLOOKUP($I114,Retention,3,FALSE())),0)</f>
        <v>43</v>
      </c>
      <c r="W114" s="32" t="n">
        <f aca="false">ROUND(+$K114*(VLOOKUP($I114,Retention,4,FALSE())),0)</f>
        <v>18</v>
      </c>
      <c r="X114" s="32" t="n">
        <f aca="false">ROUND(+$K114*(VLOOKUP($I114,Retention,5,FALSE())),0)</f>
        <v>6</v>
      </c>
      <c r="Y114" s="31" t="n">
        <f aca="false">SUM(U114:X114)</f>
        <v>81</v>
      </c>
      <c r="AB114" s="33"/>
      <c r="AC114" s="33"/>
      <c r="AD114" s="0" t="e">
        <f aca="false">VLOOKUP(AB114,INCNG,3,FALSE())</f>
        <v>#N/A</v>
      </c>
    </row>
    <row r="115" customFormat="false" ht="12.75" hidden="false" customHeight="false" outlineLevel="0" collapsed="false">
      <c r="A115" s="0" t="s">
        <v>486</v>
      </c>
      <c r="B115" s="0" t="s">
        <v>273</v>
      </c>
      <c r="C115" s="0" t="s">
        <v>83</v>
      </c>
      <c r="D115" s="0" t="n">
        <v>3425201</v>
      </c>
      <c r="E115" s="0" t="s">
        <v>454</v>
      </c>
      <c r="F115" s="21" t="n">
        <v>37196</v>
      </c>
      <c r="G115" s="21"/>
      <c r="H115" s="21"/>
      <c r="I115" s="21" t="s">
        <v>450</v>
      </c>
      <c r="J115" s="0" t="n">
        <f aca="false">IF(ISNA(VLOOKUP(C115,CNGx,2,FALSE())),"na",(VLOOKUP(C115,CNGx,2,FALSE())))</f>
        <v>45</v>
      </c>
      <c r="K115" s="0" t="n">
        <f aca="false">IF(ISNA(VLOOKUP(C115,CNGx,3,0)),0,VLOOKUP(C115,CNGx,3,FALSE()))</f>
        <v>62</v>
      </c>
      <c r="L115" s="29" t="n">
        <f aca="false">VLOOKUP(I115,Retention,2,FALSE())</f>
        <v>0.0228</v>
      </c>
      <c r="M115" s="30" t="n">
        <f aca="false">IF(OR(I115="TD",I115="TW"),0,J115*0.0228)</f>
        <v>1.026</v>
      </c>
      <c r="N115" s="30" t="n">
        <f aca="false">IF(OR(I115="TD",I115="TW"),0,K115*0.0228)</f>
        <v>1.4136</v>
      </c>
      <c r="O115" s="30" t="n">
        <f aca="false">J115-ROUND(+$J115*(VLOOKUP($I115,cngded,6,FALSE())),0)</f>
        <v>39</v>
      </c>
      <c r="P115" s="30" t="n">
        <f aca="false">K115-ROUND(+$K115*(VLOOKUP($I115,cngded,6,FALSE())),0)</f>
        <v>54</v>
      </c>
      <c r="Q115" s="23" t="str">
        <f aca="false">IF(ISNA(VLOOKUP(C115,INCNG,1,FALSE())),"--","Y")</f>
        <v>Y</v>
      </c>
      <c r="R115" s="23" t="n">
        <f aca="false">IF(ISNA(VLOOKUP(C115,INCNG,10,FALSE())),0,VLOOKUP(C115,INCNG,10,FALSE()))</f>
        <v>39</v>
      </c>
      <c r="S115" s="0" t="n">
        <f aca="false">+K115-R115</f>
        <v>23</v>
      </c>
      <c r="T115" s="31" t="n">
        <f aca="false">+P115-R115</f>
        <v>15</v>
      </c>
      <c r="U115" s="32" t="n">
        <f aca="false">ROUND(+$K115*(VLOOKUP($I115,Retention,2,FALSE())),0)</f>
        <v>1</v>
      </c>
      <c r="V115" s="32" t="n">
        <f aca="false">ROUND(+$K115*(VLOOKUP($I115,Retention,3,FALSE())),0)</f>
        <v>4</v>
      </c>
      <c r="W115" s="32" t="n">
        <f aca="false">ROUND(+$K115*(VLOOKUP($I115,Retention,4,FALSE())),0)</f>
        <v>2</v>
      </c>
      <c r="X115" s="32" t="n">
        <f aca="false">ROUND(+$K115*(VLOOKUP($I115,Retention,5,FALSE())),0)</f>
        <v>1</v>
      </c>
      <c r="Y115" s="31" t="n">
        <f aca="false">SUM(U115:X115)</f>
        <v>8</v>
      </c>
      <c r="AB115" s="33"/>
      <c r="AC115" s="33"/>
      <c r="AD115" s="0" t="e">
        <f aca="false">VLOOKUP(AB115,INCNG,3,FALSE())</f>
        <v>#N/A</v>
      </c>
    </row>
    <row r="116" customFormat="false" ht="12.75" hidden="false" customHeight="false" outlineLevel="0" collapsed="false">
      <c r="A116" s="0" t="s">
        <v>486</v>
      </c>
      <c r="B116" s="0" t="s">
        <v>273</v>
      </c>
      <c r="C116" s="0" t="s">
        <v>439</v>
      </c>
      <c r="D116" s="0" t="n">
        <v>3425301</v>
      </c>
      <c r="E116" s="0" t="s">
        <v>440</v>
      </c>
      <c r="F116" s="21" t="n">
        <v>37196</v>
      </c>
      <c r="G116" s="21"/>
      <c r="H116" s="21"/>
      <c r="I116" s="21" t="s">
        <v>450</v>
      </c>
      <c r="J116" s="0" t="n">
        <f aca="false">IF(ISNA(VLOOKUP(C116,CNGx,2,FALSE())),"na",(VLOOKUP(C116,CNGx,2,FALSE())))</f>
        <v>312</v>
      </c>
      <c r="K116" s="0" t="n">
        <f aca="false">IF(ISNA(VLOOKUP(C116,CNGx,3,0)),0,VLOOKUP(C116,CNGx,3,FALSE()))</f>
        <v>443</v>
      </c>
      <c r="L116" s="29" t="n">
        <f aca="false">VLOOKUP(I116,Retention,2,FALSE())</f>
        <v>0.0228</v>
      </c>
      <c r="M116" s="30" t="n">
        <f aca="false">IF(OR(I116="TD",I116="TW"),0,J116*0.0228)</f>
        <v>7.1136</v>
      </c>
      <c r="N116" s="30" t="n">
        <f aca="false">IF(OR(I116="TD",I116="TW"),0,K116*0.0228)</f>
        <v>10.1004</v>
      </c>
      <c r="O116" s="30" t="n">
        <f aca="false">J116-ROUND(+$J116*(VLOOKUP($I116,cngded,6,FALSE())),0)</f>
        <v>271</v>
      </c>
      <c r="P116" s="30" t="n">
        <f aca="false">K116-ROUND(+$K116*(VLOOKUP($I116,cngded,6,FALSE())),0)</f>
        <v>384</v>
      </c>
      <c r="Q116" s="23" t="str">
        <f aca="false">IF(ISNA(VLOOKUP(C116,INCNG,1,FALSE())),"--","Y")</f>
        <v>Y</v>
      </c>
      <c r="R116" s="23" t="n">
        <f aca="false">IF(ISNA(VLOOKUP(C116,INCNG,10,FALSE())),0,VLOOKUP(C116,INCNG,10,FALSE()))</f>
        <v>271</v>
      </c>
      <c r="S116" s="0" t="n">
        <f aca="false">+K116-R116</f>
        <v>172</v>
      </c>
      <c r="T116" s="31" t="n">
        <f aca="false">+P116-R116</f>
        <v>113</v>
      </c>
      <c r="U116" s="32" t="n">
        <f aca="false">ROUND(+$K116*(VLOOKUP($I116,Retention,2,FALSE())),0)</f>
        <v>10</v>
      </c>
      <c r="V116" s="32" t="n">
        <f aca="false">ROUND(+$K116*(VLOOKUP($I116,Retention,3,FALSE())),0)</f>
        <v>31</v>
      </c>
      <c r="W116" s="32" t="n">
        <f aca="false">ROUND(+$K116*(VLOOKUP($I116,Retention,4,FALSE())),0)</f>
        <v>13</v>
      </c>
      <c r="X116" s="32" t="n">
        <f aca="false">ROUND(+$K116*(VLOOKUP($I116,Retention,5,FALSE())),0)</f>
        <v>4</v>
      </c>
      <c r="Y116" s="31" t="n">
        <f aca="false">SUM(U116:X116)</f>
        <v>58</v>
      </c>
      <c r="AB116" s="33"/>
      <c r="AC116" s="33"/>
      <c r="AD116" s="0" t="e">
        <f aca="false">VLOOKUP(AB116,INCNG,3,FALSE())</f>
        <v>#N/A</v>
      </c>
    </row>
    <row r="117" customFormat="false" ht="12.75" hidden="false" customHeight="false" outlineLevel="0" collapsed="false">
      <c r="A117" s="0" t="s">
        <v>486</v>
      </c>
      <c r="B117" s="0" t="s">
        <v>273</v>
      </c>
      <c r="C117" s="0" t="s">
        <v>377</v>
      </c>
      <c r="D117" s="0" t="n">
        <v>3425601</v>
      </c>
      <c r="E117" s="0" t="s">
        <v>456</v>
      </c>
      <c r="F117" s="21" t="n">
        <v>37196</v>
      </c>
      <c r="G117" s="21"/>
      <c r="H117" s="21"/>
      <c r="I117" s="21" t="s">
        <v>450</v>
      </c>
      <c r="J117" s="0" t="n">
        <f aca="false">IF(ISNA(VLOOKUP(C117,CNGx,2,FALSE())),"na",(VLOOKUP(C117,CNGx,2,FALSE())))</f>
        <v>288</v>
      </c>
      <c r="K117" s="0" t="n">
        <f aca="false">IF(ISNA(VLOOKUP(C117,CNGx,3,0)),0,VLOOKUP(C117,CNGx,3,FALSE()))</f>
        <v>400</v>
      </c>
      <c r="L117" s="29" t="n">
        <f aca="false">VLOOKUP(I117,Retention,2,FALSE())</f>
        <v>0.0228</v>
      </c>
      <c r="M117" s="30" t="n">
        <f aca="false">IF(OR(I117="TD",I117="TW"),0,J117*0.0228)</f>
        <v>6.5664</v>
      </c>
      <c r="N117" s="30" t="n">
        <f aca="false">IF(OR(I117="TD",I117="TW"),0,K117*0.0228)</f>
        <v>9.12</v>
      </c>
      <c r="O117" s="30" t="n">
        <f aca="false">J117-ROUND(+$J117*(VLOOKUP($I117,cngded,6,FALSE())),0)</f>
        <v>250</v>
      </c>
      <c r="P117" s="30" t="n">
        <f aca="false">K117-ROUND(+$K117*(VLOOKUP($I117,cngded,6,FALSE())),0)</f>
        <v>347</v>
      </c>
      <c r="Q117" s="23" t="str">
        <f aca="false">IF(ISNA(VLOOKUP(C117,INCNG,1,FALSE())),"--","Y")</f>
        <v>Y</v>
      </c>
      <c r="R117" s="23" t="n">
        <f aca="false">IF(ISNA(VLOOKUP(C117,INCNG,10,FALSE())),0,VLOOKUP(C117,INCNG,10,FALSE()))</f>
        <v>250</v>
      </c>
      <c r="S117" s="0" t="n">
        <f aca="false">+K117-R117</f>
        <v>150</v>
      </c>
      <c r="T117" s="31" t="n">
        <f aca="false">+P117-R117</f>
        <v>97</v>
      </c>
      <c r="U117" s="32" t="n">
        <f aca="false">ROUND(+$K117*(VLOOKUP($I117,Retention,2,FALSE())),0)</f>
        <v>9</v>
      </c>
      <c r="V117" s="32" t="n">
        <f aca="false">ROUND(+$K117*(VLOOKUP($I117,Retention,3,FALSE())),0)</f>
        <v>28</v>
      </c>
      <c r="W117" s="32" t="n">
        <f aca="false">ROUND(+$K117*(VLOOKUP($I117,Retention,4,FALSE())),0)</f>
        <v>12</v>
      </c>
      <c r="X117" s="32" t="n">
        <f aca="false">ROUND(+$K117*(VLOOKUP($I117,Retention,5,FALSE())),0)</f>
        <v>4</v>
      </c>
      <c r="Y117" s="31" t="n">
        <f aca="false">SUM(U117:X117)</f>
        <v>53</v>
      </c>
      <c r="AB117" s="33"/>
      <c r="AC117" s="33"/>
      <c r="AD117" s="0" t="e">
        <f aca="false">VLOOKUP(AB117,INCNG,3,FALSE())</f>
        <v>#N/A</v>
      </c>
    </row>
    <row r="118" customFormat="false" ht="12.75" hidden="false" customHeight="false" outlineLevel="0" collapsed="false">
      <c r="A118" s="0" t="s">
        <v>486</v>
      </c>
      <c r="B118" s="0" t="s">
        <v>487</v>
      </c>
      <c r="C118" s="0" t="s">
        <v>85</v>
      </c>
      <c r="D118" s="0" t="n">
        <v>3425901</v>
      </c>
      <c r="E118" s="0" t="s">
        <v>454</v>
      </c>
      <c r="F118" s="21" t="n">
        <v>37196</v>
      </c>
      <c r="G118" s="21"/>
      <c r="H118" s="21"/>
      <c r="I118" s="21" t="s">
        <v>446</v>
      </c>
      <c r="J118" s="0" t="n">
        <f aca="false">IF(ISNA(VLOOKUP(C118,CNGx,2,FALSE())),"na",(VLOOKUP(C118,CNGx,2,FALSE())))</f>
        <v>0</v>
      </c>
      <c r="K118" s="0" t="n">
        <f aca="false">IF(ISNA(VLOOKUP(C118,CNGx,3,0)),0,VLOOKUP(C118,CNGx,3,FALSE()))</f>
        <v>0</v>
      </c>
      <c r="L118" s="29" t="n">
        <f aca="false">VLOOKUP(I118,Retention,2,FALSE())</f>
        <v>0</v>
      </c>
      <c r="M118" s="30" t="n">
        <f aca="false">IF(OR(I118="TD",I118="TW"),0,J118*0.0228)</f>
        <v>0</v>
      </c>
      <c r="N118" s="30" t="n">
        <f aca="false">IF(OR(I118="TD",I118="TW"),0,K118*0.0228)</f>
        <v>0</v>
      </c>
      <c r="O118" s="30" t="n">
        <f aca="false">J118-ROUND(+$J118*(VLOOKUP($I118,cngded,6,FALSE())),0)</f>
        <v>0</v>
      </c>
      <c r="P118" s="30" t="n">
        <f aca="false">K118-ROUND(+$K118*(VLOOKUP($I118,cngded,6,FALSE())),0)</f>
        <v>0</v>
      </c>
      <c r="Q118" s="23" t="str">
        <f aca="false">IF(ISNA(VLOOKUP(C118,INCNG,1,FALSE())),"--","Y")</f>
        <v>Y</v>
      </c>
      <c r="R118" s="23" t="n">
        <f aca="false">IF(ISNA(VLOOKUP(C118,INCNG,10,FALSE())),0,VLOOKUP(C118,INCNG,10,FALSE()))</f>
        <v>0</v>
      </c>
      <c r="S118" s="0" t="n">
        <f aca="false">+K118-R118</f>
        <v>0</v>
      </c>
      <c r="T118" s="31" t="n">
        <f aca="false">+P118-R118</f>
        <v>0</v>
      </c>
      <c r="U118" s="32" t="n">
        <f aca="false">ROUND(+$K118*(VLOOKUP($I118,Retention,2,FALSE())),0)</f>
        <v>0</v>
      </c>
      <c r="V118" s="32" t="n">
        <f aca="false">ROUND(+$K118*(VLOOKUP($I118,Retention,3,FALSE())),0)</f>
        <v>0</v>
      </c>
      <c r="W118" s="32" t="n">
        <f aca="false">ROUND(+$K118*(VLOOKUP($I118,Retention,4,FALSE())),0)</f>
        <v>0</v>
      </c>
      <c r="X118" s="32" t="n">
        <f aca="false">ROUND(+$K118*(VLOOKUP($I118,Retention,5,FALSE())),0)</f>
        <v>0</v>
      </c>
      <c r="Y118" s="31" t="n">
        <f aca="false">SUM(U118:X118)</f>
        <v>0</v>
      </c>
      <c r="AB118" s="33"/>
      <c r="AC118" s="33"/>
      <c r="AD118" s="0" t="e">
        <f aca="false">VLOOKUP(AB118,INCNG,3,FALSE())</f>
        <v>#N/A</v>
      </c>
    </row>
    <row r="119" customFormat="false" ht="12.75" hidden="false" customHeight="false" outlineLevel="0" collapsed="false">
      <c r="A119" s="0" t="s">
        <v>486</v>
      </c>
      <c r="B119" s="0" t="s">
        <v>273</v>
      </c>
      <c r="C119" s="0" t="s">
        <v>295</v>
      </c>
      <c r="D119" s="0" t="n">
        <v>3426101</v>
      </c>
      <c r="E119" s="0" t="s">
        <v>293</v>
      </c>
      <c r="F119" s="21" t="n">
        <v>37196</v>
      </c>
      <c r="G119" s="21"/>
      <c r="H119" s="21"/>
      <c r="I119" s="21" t="s">
        <v>450</v>
      </c>
      <c r="J119" s="0" t="n">
        <f aca="false">IF(ISNA(VLOOKUP(C119,CNGx,2,FALSE())),"na",(VLOOKUP(C119,CNGx,2,FALSE())))</f>
        <v>164</v>
      </c>
      <c r="K119" s="0" t="n">
        <f aca="false">IF(ISNA(VLOOKUP(C119,CNGx,3,0)),0,VLOOKUP(C119,CNGx,3,FALSE()))</f>
        <v>203</v>
      </c>
      <c r="L119" s="29" t="n">
        <f aca="false">VLOOKUP(I119,Retention,2,FALSE())</f>
        <v>0.0228</v>
      </c>
      <c r="M119" s="30" t="n">
        <f aca="false">IF(OR(I119="TD",I119="TW"),0,J119*0.0228)</f>
        <v>3.7392</v>
      </c>
      <c r="N119" s="30" t="n">
        <f aca="false">IF(OR(I119="TD",I119="TW"),0,K119*0.0228)</f>
        <v>4.6284</v>
      </c>
      <c r="O119" s="30" t="n">
        <f aca="false">J119-ROUND(+$J119*(VLOOKUP($I119,cngded,6,FALSE())),0)</f>
        <v>142</v>
      </c>
      <c r="P119" s="30" t="n">
        <f aca="false">K119-ROUND(+$K119*(VLOOKUP($I119,cngded,6,FALSE())),0)</f>
        <v>176</v>
      </c>
      <c r="Q119" s="23" t="str">
        <f aca="false">IF(ISNA(VLOOKUP(C119,INCNG,1,FALSE())),"--","Y")</f>
        <v>Y</v>
      </c>
      <c r="R119" s="23" t="n">
        <f aca="false">IF(ISNA(VLOOKUP(C119,INCNG,10,FALSE())),0,VLOOKUP(C119,INCNG,10,FALSE()))</f>
        <v>142</v>
      </c>
      <c r="S119" s="0" t="n">
        <f aca="false">+K119-R119</f>
        <v>61</v>
      </c>
      <c r="T119" s="31" t="n">
        <f aca="false">+P119-R119</f>
        <v>34</v>
      </c>
      <c r="U119" s="32" t="n">
        <f aca="false">ROUND(+$K119*(VLOOKUP($I119,Retention,2,FALSE())),0)</f>
        <v>5</v>
      </c>
      <c r="V119" s="32" t="n">
        <f aca="false">ROUND(+$K119*(VLOOKUP($I119,Retention,3,FALSE())),0)</f>
        <v>14</v>
      </c>
      <c r="W119" s="32" t="n">
        <f aca="false">ROUND(+$K119*(VLOOKUP($I119,Retention,4,FALSE())),0)</f>
        <v>6</v>
      </c>
      <c r="X119" s="32" t="n">
        <f aca="false">ROUND(+$K119*(VLOOKUP($I119,Retention,5,FALSE())),0)</f>
        <v>2</v>
      </c>
      <c r="Y119" s="31" t="n">
        <f aca="false">SUM(U119:X119)</f>
        <v>27</v>
      </c>
      <c r="AB119" s="33"/>
      <c r="AC119" s="33"/>
      <c r="AD119" s="0" t="e">
        <f aca="false">VLOOKUP(AB119,INCNG,3,FALSE())</f>
        <v>#N/A</v>
      </c>
    </row>
    <row r="120" customFormat="false" ht="12.75" hidden="false" customHeight="false" outlineLevel="0" collapsed="false">
      <c r="A120" s="0" t="s">
        <v>486</v>
      </c>
      <c r="B120" s="0" t="s">
        <v>273</v>
      </c>
      <c r="C120" s="0" t="s">
        <v>232</v>
      </c>
      <c r="D120" s="0" t="n">
        <v>3427001</v>
      </c>
      <c r="E120" s="0" t="s">
        <v>233</v>
      </c>
      <c r="F120" s="21" t="n">
        <v>37196</v>
      </c>
      <c r="G120" s="21"/>
      <c r="H120" s="21"/>
      <c r="I120" s="21" t="s">
        <v>450</v>
      </c>
      <c r="J120" s="0" t="n">
        <f aca="false">IF(ISNA(VLOOKUP(C120,CNGx,2,FALSE())),"na",(VLOOKUP(C120,CNGx,2,FALSE())))</f>
        <v>279</v>
      </c>
      <c r="K120" s="0" t="n">
        <f aca="false">IF(ISNA(VLOOKUP(C120,CNGx,3,0)),0,VLOOKUP(C120,CNGx,3,FALSE()))</f>
        <v>339</v>
      </c>
      <c r="L120" s="29" t="n">
        <f aca="false">VLOOKUP(I120,Retention,2,FALSE())</f>
        <v>0.0228</v>
      </c>
      <c r="M120" s="30" t="n">
        <f aca="false">IF(OR(I120="TD",I120="TW"),0,J120*0.0228)</f>
        <v>6.3612</v>
      </c>
      <c r="N120" s="30" t="n">
        <f aca="false">IF(OR(I120="TD",I120="TW"),0,K120*0.0228)</f>
        <v>7.7292</v>
      </c>
      <c r="O120" s="30" t="n">
        <f aca="false">J120-ROUND(+$J120*(VLOOKUP($I120,cngded,6,FALSE())),0)</f>
        <v>242</v>
      </c>
      <c r="P120" s="30" t="n">
        <f aca="false">K120-ROUND(+$K120*(VLOOKUP($I120,cngded,6,FALSE())),0)</f>
        <v>294</v>
      </c>
      <c r="Q120" s="23" t="str">
        <f aca="false">IF(ISNA(VLOOKUP(C120,INCNG,1,FALSE())),"--","Y")</f>
        <v>Y</v>
      </c>
      <c r="R120" s="23" t="n">
        <f aca="false">IF(ISNA(VLOOKUP(C120,INCNG,10,FALSE())),0,VLOOKUP(C120,INCNG,10,FALSE()))</f>
        <v>242</v>
      </c>
      <c r="S120" s="0" t="n">
        <f aca="false">+K120-R120</f>
        <v>97</v>
      </c>
      <c r="T120" s="31" t="n">
        <f aca="false">+P120-R120</f>
        <v>52</v>
      </c>
      <c r="U120" s="32" t="n">
        <f aca="false">ROUND(+$K120*(VLOOKUP($I120,Retention,2,FALSE())),0)</f>
        <v>8</v>
      </c>
      <c r="V120" s="32" t="n">
        <f aca="false">ROUND(+$K120*(VLOOKUP($I120,Retention,3,FALSE())),0)</f>
        <v>24</v>
      </c>
      <c r="W120" s="32" t="n">
        <f aca="false">ROUND(+$K120*(VLOOKUP($I120,Retention,4,FALSE())),0)</f>
        <v>10</v>
      </c>
      <c r="X120" s="32" t="n">
        <f aca="false">ROUND(+$K120*(VLOOKUP($I120,Retention,5,FALSE())),0)</f>
        <v>3</v>
      </c>
      <c r="Y120" s="31" t="n">
        <f aca="false">SUM(U120:X120)</f>
        <v>45</v>
      </c>
      <c r="AB120" s="33"/>
      <c r="AC120" s="33"/>
      <c r="AD120" s="0" t="e">
        <f aca="false">VLOOKUP(AB120,INCNG,3,FALSE())</f>
        <v>#N/A</v>
      </c>
    </row>
    <row r="121" customFormat="false" ht="12.75" hidden="false" customHeight="false" outlineLevel="0" collapsed="false">
      <c r="A121" s="0" t="s">
        <v>486</v>
      </c>
      <c r="B121" s="0" t="s">
        <v>273</v>
      </c>
      <c r="C121" s="0" t="s">
        <v>408</v>
      </c>
      <c r="D121" s="0" t="n">
        <v>3427701</v>
      </c>
      <c r="E121" s="0" t="s">
        <v>406</v>
      </c>
      <c r="F121" s="21" t="n">
        <v>37196</v>
      </c>
      <c r="G121" s="21"/>
      <c r="H121" s="21"/>
      <c r="I121" s="21" t="s">
        <v>450</v>
      </c>
      <c r="J121" s="0" t="n">
        <f aca="false">IF(ISNA(VLOOKUP(C121,CNGx,2,FALSE())),"na",(VLOOKUP(C121,CNGx,2,FALSE())))</f>
        <v>116</v>
      </c>
      <c r="K121" s="0" t="n">
        <f aca="false">IF(ISNA(VLOOKUP(C121,CNGx,3,0)),0,VLOOKUP(C121,CNGx,3,FALSE()))</f>
        <v>134</v>
      </c>
      <c r="L121" s="29" t="n">
        <f aca="false">VLOOKUP(I121,Retention,2,FALSE())</f>
        <v>0.0228</v>
      </c>
      <c r="M121" s="30" t="n">
        <f aca="false">IF(OR(I121="TD",I121="TW"),0,J121*0.0228)</f>
        <v>2.6448</v>
      </c>
      <c r="N121" s="30" t="n">
        <f aca="false">IF(OR(I121="TD",I121="TW"),0,K121*0.0228)</f>
        <v>3.0552</v>
      </c>
      <c r="O121" s="30" t="n">
        <f aca="false">J121-ROUND(+$J121*(VLOOKUP($I121,cngded,6,FALSE())),0)</f>
        <v>101</v>
      </c>
      <c r="P121" s="30" t="n">
        <f aca="false">K121-ROUND(+$K121*(VLOOKUP($I121,cngded,6,FALSE())),0)</f>
        <v>116</v>
      </c>
      <c r="Q121" s="23" t="str">
        <f aca="false">IF(ISNA(VLOOKUP(C121,INCNG,1,FALSE())),"--","Y")</f>
        <v>Y</v>
      </c>
      <c r="R121" s="23" t="n">
        <f aca="false">IF(ISNA(VLOOKUP(C121,INCNG,10,FALSE())),0,VLOOKUP(C121,INCNG,10,FALSE()))</f>
        <v>101</v>
      </c>
      <c r="S121" s="0" t="n">
        <f aca="false">+K121-R121</f>
        <v>33</v>
      </c>
      <c r="T121" s="31" t="n">
        <f aca="false">+P121-R121</f>
        <v>15</v>
      </c>
      <c r="U121" s="32" t="n">
        <f aca="false">ROUND(+$K121*(VLOOKUP($I121,Retention,2,FALSE())),0)</f>
        <v>3</v>
      </c>
      <c r="V121" s="32" t="n">
        <f aca="false">ROUND(+$K121*(VLOOKUP($I121,Retention,3,FALSE())),0)</f>
        <v>9</v>
      </c>
      <c r="W121" s="32" t="n">
        <f aca="false">ROUND(+$K121*(VLOOKUP($I121,Retention,4,FALSE())),0)</f>
        <v>4</v>
      </c>
      <c r="X121" s="32" t="n">
        <f aca="false">ROUND(+$K121*(VLOOKUP($I121,Retention,5,FALSE())),0)</f>
        <v>1</v>
      </c>
      <c r="Y121" s="31" t="n">
        <f aca="false">SUM(U121:X121)</f>
        <v>17</v>
      </c>
      <c r="AB121" s="33"/>
      <c r="AC121" s="33"/>
      <c r="AD121" s="0" t="e">
        <f aca="false">VLOOKUP(AB121,INCNG,3,FALSE())</f>
        <v>#N/A</v>
      </c>
    </row>
    <row r="122" customFormat="false" ht="12.75" hidden="false" customHeight="false" outlineLevel="0" collapsed="false">
      <c r="A122" s="0" t="s">
        <v>486</v>
      </c>
      <c r="B122" s="0" t="s">
        <v>273</v>
      </c>
      <c r="C122" s="0" t="s">
        <v>107</v>
      </c>
      <c r="D122" s="0" t="n">
        <v>3428401</v>
      </c>
      <c r="E122" s="0" t="s">
        <v>455</v>
      </c>
      <c r="F122" s="21" t="n">
        <v>37196</v>
      </c>
      <c r="G122" s="21"/>
      <c r="H122" s="21"/>
      <c r="I122" s="21" t="s">
        <v>450</v>
      </c>
      <c r="J122" s="0" t="n">
        <f aca="false">IF(ISNA(VLOOKUP(C122,CNGx,2,FALSE())),"na",(VLOOKUP(C122,CNGx,2,FALSE())))</f>
        <v>149</v>
      </c>
      <c r="K122" s="0" t="n">
        <f aca="false">IF(ISNA(VLOOKUP(C122,CNGx,3,0)),0,VLOOKUP(C122,CNGx,3,FALSE()))</f>
        <v>183</v>
      </c>
      <c r="L122" s="29" t="n">
        <f aca="false">VLOOKUP(I122,Retention,2,FALSE())</f>
        <v>0.0228</v>
      </c>
      <c r="M122" s="30" t="n">
        <f aca="false">IF(OR(I122="TD",I122="TW"),0,J122*0.0228)</f>
        <v>3.3972</v>
      </c>
      <c r="N122" s="30" t="n">
        <f aca="false">IF(OR(I122="TD",I122="TW"),0,K122*0.0228)</f>
        <v>4.1724</v>
      </c>
      <c r="O122" s="30" t="n">
        <f aca="false">J122-ROUND(+$J122*(VLOOKUP($I122,cngded,6,FALSE())),0)</f>
        <v>129</v>
      </c>
      <c r="P122" s="30" t="n">
        <f aca="false">K122-ROUND(+$K122*(VLOOKUP($I122,cngded,6,FALSE())),0)</f>
        <v>159</v>
      </c>
      <c r="Q122" s="23" t="str">
        <f aca="false">IF(ISNA(VLOOKUP(C122,INCNG,1,FALSE())),"--","Y")</f>
        <v>Y</v>
      </c>
      <c r="R122" s="23" t="n">
        <f aca="false">IF(ISNA(VLOOKUP(C122,INCNG,10,FALSE())),0,VLOOKUP(C122,INCNG,10,FALSE()))</f>
        <v>129</v>
      </c>
      <c r="S122" s="0" t="n">
        <f aca="false">+K122-R122</f>
        <v>54</v>
      </c>
      <c r="T122" s="31" t="n">
        <f aca="false">+P122-R122</f>
        <v>30</v>
      </c>
      <c r="U122" s="32" t="n">
        <f aca="false">ROUND(+$K122*(VLOOKUP($I122,Retention,2,FALSE())),0)</f>
        <v>4</v>
      </c>
      <c r="V122" s="32" t="n">
        <f aca="false">ROUND(+$K122*(VLOOKUP($I122,Retention,3,FALSE())),0)</f>
        <v>13</v>
      </c>
      <c r="W122" s="32" t="n">
        <f aca="false">ROUND(+$K122*(VLOOKUP($I122,Retention,4,FALSE())),0)</f>
        <v>5</v>
      </c>
      <c r="X122" s="32" t="n">
        <f aca="false">ROUND(+$K122*(VLOOKUP($I122,Retention,5,FALSE())),0)</f>
        <v>2</v>
      </c>
      <c r="Y122" s="31" t="n">
        <f aca="false">SUM(U122:X122)</f>
        <v>24</v>
      </c>
      <c r="AB122" s="33"/>
      <c r="AC122" s="33"/>
      <c r="AD122" s="0" t="e">
        <f aca="false">VLOOKUP(AB122,INCNG,3,FALSE())</f>
        <v>#N/A</v>
      </c>
    </row>
    <row r="123" customFormat="false" ht="12.75" hidden="false" customHeight="false" outlineLevel="0" collapsed="false">
      <c r="A123" s="0" t="s">
        <v>486</v>
      </c>
      <c r="B123" s="0" t="s">
        <v>273</v>
      </c>
      <c r="C123" s="0" t="s">
        <v>109</v>
      </c>
      <c r="D123" s="0" t="n">
        <v>3429001</v>
      </c>
      <c r="E123" s="0" t="s">
        <v>455</v>
      </c>
      <c r="F123" s="21" t="n">
        <v>37196</v>
      </c>
      <c r="G123" s="21"/>
      <c r="H123" s="21"/>
      <c r="I123" s="21" t="s">
        <v>450</v>
      </c>
      <c r="J123" s="0" t="n">
        <f aca="false">IF(ISNA(VLOOKUP(C123,CNGx,2,FALSE())),"na",(VLOOKUP(C123,CNGx,2,FALSE())))</f>
        <v>650</v>
      </c>
      <c r="K123" s="0" t="n">
        <f aca="false">IF(ISNA(VLOOKUP(C123,CNGx,3,0)),0,VLOOKUP(C123,CNGx,3,FALSE()))</f>
        <v>798</v>
      </c>
      <c r="L123" s="29" t="n">
        <f aca="false">VLOOKUP(I123,Retention,2,FALSE())</f>
        <v>0.0228</v>
      </c>
      <c r="M123" s="30" t="n">
        <f aca="false">IF(OR(I123="TD",I123="TW"),0,J123*0.0228)</f>
        <v>14.82</v>
      </c>
      <c r="N123" s="30" t="n">
        <f aca="false">IF(OR(I123="TD",I123="TW"),0,K123*0.0228)</f>
        <v>18.1944</v>
      </c>
      <c r="O123" s="30" t="n">
        <f aca="false">J123-ROUND(+$J123*(VLOOKUP($I123,cngded,6,FALSE())),0)</f>
        <v>564</v>
      </c>
      <c r="P123" s="30" t="n">
        <f aca="false">K123-ROUND(+$K123*(VLOOKUP($I123,cngded,6,FALSE())),0)</f>
        <v>692</v>
      </c>
      <c r="Q123" s="23" t="str">
        <f aca="false">IF(ISNA(VLOOKUP(C123,INCNG,1,FALSE())),"--","Y")</f>
        <v>Y</v>
      </c>
      <c r="R123" s="23" t="n">
        <f aca="false">IF(ISNA(VLOOKUP(C123,INCNG,10,FALSE())),0,VLOOKUP(C123,INCNG,10,FALSE()))</f>
        <v>564</v>
      </c>
      <c r="S123" s="0" t="n">
        <f aca="false">+K123-R123</f>
        <v>234</v>
      </c>
      <c r="T123" s="31" t="n">
        <f aca="false">+P123-R123</f>
        <v>128</v>
      </c>
      <c r="U123" s="32" t="n">
        <f aca="false">ROUND(+$K123*(VLOOKUP($I123,Retention,2,FALSE())),0)</f>
        <v>18</v>
      </c>
      <c r="V123" s="32" t="n">
        <f aca="false">ROUND(+$K123*(VLOOKUP($I123,Retention,3,FALSE())),0)</f>
        <v>56</v>
      </c>
      <c r="W123" s="32" t="n">
        <f aca="false">ROUND(+$K123*(VLOOKUP($I123,Retention,4,FALSE())),0)</f>
        <v>24</v>
      </c>
      <c r="X123" s="32" t="n">
        <f aca="false">ROUND(+$K123*(VLOOKUP($I123,Retention,5,FALSE())),0)</f>
        <v>7</v>
      </c>
      <c r="Y123" s="31" t="n">
        <f aca="false">SUM(U123:X123)</f>
        <v>105</v>
      </c>
      <c r="AB123" s="33"/>
      <c r="AC123" s="33"/>
      <c r="AD123" s="0" t="e">
        <f aca="false">VLOOKUP(AB123,INCNG,3,FALSE())</f>
        <v>#N/A</v>
      </c>
    </row>
    <row r="124" customFormat="false" ht="12.75" hidden="false" customHeight="false" outlineLevel="0" collapsed="false">
      <c r="A124" s="0" t="s">
        <v>486</v>
      </c>
      <c r="B124" s="0" t="s">
        <v>273</v>
      </c>
      <c r="C124" s="0" t="s">
        <v>103</v>
      </c>
      <c r="D124" s="0" t="n">
        <v>3429601</v>
      </c>
      <c r="E124" s="0" t="s">
        <v>455</v>
      </c>
      <c r="F124" s="21" t="n">
        <v>37196</v>
      </c>
      <c r="G124" s="21"/>
      <c r="H124" s="21"/>
      <c r="I124" s="21" t="s">
        <v>450</v>
      </c>
      <c r="J124" s="0" t="n">
        <f aca="false">IF(ISNA(VLOOKUP(C124,CNGx,2,FALSE())),"na",(VLOOKUP(C124,CNGx,2,FALSE())))</f>
        <v>240</v>
      </c>
      <c r="K124" s="0" t="n">
        <f aca="false">IF(ISNA(VLOOKUP(C124,CNGx,3,0)),0,VLOOKUP(C124,CNGx,3,FALSE()))</f>
        <v>317</v>
      </c>
      <c r="L124" s="29" t="n">
        <f aca="false">VLOOKUP(I124,Retention,2,FALSE())</f>
        <v>0.0228</v>
      </c>
      <c r="M124" s="30" t="n">
        <f aca="false">IF(OR(I124="TD",I124="TW"),0,J124*0.0228)</f>
        <v>5.472</v>
      </c>
      <c r="N124" s="30" t="n">
        <f aca="false">IF(OR(I124="TD",I124="TW"),0,K124*0.0228)</f>
        <v>7.2276</v>
      </c>
      <c r="O124" s="30" t="n">
        <f aca="false">J124-ROUND(+$J124*(VLOOKUP($I124,cngded,6,FALSE())),0)</f>
        <v>208</v>
      </c>
      <c r="P124" s="30" t="n">
        <f aca="false">K124-ROUND(+$K124*(VLOOKUP($I124,cngded,6,FALSE())),0)</f>
        <v>275</v>
      </c>
      <c r="Q124" s="23" t="str">
        <f aca="false">IF(ISNA(VLOOKUP(C124,INCNG,1,FALSE())),"--","Y")</f>
        <v>Y</v>
      </c>
      <c r="R124" s="23" t="n">
        <f aca="false">IF(ISNA(VLOOKUP(C124,INCNG,10,FALSE())),0,VLOOKUP(C124,INCNG,10,FALSE()))</f>
        <v>208</v>
      </c>
      <c r="S124" s="0" t="n">
        <f aca="false">+K124-R124</f>
        <v>109</v>
      </c>
      <c r="T124" s="31" t="n">
        <f aca="false">+P124-R124</f>
        <v>67</v>
      </c>
      <c r="U124" s="32" t="n">
        <f aca="false">ROUND(+$K124*(VLOOKUP($I124,Retention,2,FALSE())),0)</f>
        <v>7</v>
      </c>
      <c r="V124" s="32" t="n">
        <f aca="false">ROUND(+$K124*(VLOOKUP($I124,Retention,3,FALSE())),0)</f>
        <v>22</v>
      </c>
      <c r="W124" s="32" t="n">
        <f aca="false">ROUND(+$K124*(VLOOKUP($I124,Retention,4,FALSE())),0)</f>
        <v>10</v>
      </c>
      <c r="X124" s="32" t="n">
        <f aca="false">ROUND(+$K124*(VLOOKUP($I124,Retention,5,FALSE())),0)</f>
        <v>3</v>
      </c>
      <c r="Y124" s="31" t="n">
        <f aca="false">SUM(U124:X124)</f>
        <v>42</v>
      </c>
      <c r="AB124" s="33"/>
      <c r="AC124" s="33"/>
      <c r="AD124" s="0" t="e">
        <f aca="false">VLOOKUP(AB124,INCNG,3,FALSE())</f>
        <v>#N/A</v>
      </c>
    </row>
    <row r="125" customFormat="false" ht="12.75" hidden="false" customHeight="false" outlineLevel="0" collapsed="false">
      <c r="A125" s="0" t="s">
        <v>486</v>
      </c>
      <c r="B125" s="0" t="s">
        <v>273</v>
      </c>
      <c r="C125" s="0" t="s">
        <v>86</v>
      </c>
      <c r="D125" s="0" t="n">
        <v>3472501</v>
      </c>
      <c r="E125" s="0" t="s">
        <v>454</v>
      </c>
      <c r="F125" s="21" t="n">
        <v>37196</v>
      </c>
      <c r="G125" s="21"/>
      <c r="H125" s="21"/>
      <c r="I125" s="21" t="s">
        <v>450</v>
      </c>
      <c r="J125" s="0" t="n">
        <f aca="false">IF(ISNA(VLOOKUP(C125,CNGx,2,FALSE())),"na",(VLOOKUP(C125,CNGx,2,FALSE())))</f>
        <v>0</v>
      </c>
      <c r="K125" s="0" t="n">
        <f aca="false">IF(ISNA(VLOOKUP(C125,CNGx,3,0)),0,VLOOKUP(C125,CNGx,3,FALSE()))</f>
        <v>0</v>
      </c>
      <c r="L125" s="29" t="n">
        <f aca="false">VLOOKUP(I125,Retention,2,FALSE())</f>
        <v>0.0228</v>
      </c>
      <c r="M125" s="30" t="n">
        <f aca="false">IF(OR(I125="TD",I125="TW"),0,J125*0.0228)</f>
        <v>0</v>
      </c>
      <c r="N125" s="30" t="n">
        <f aca="false">IF(OR(I125="TD",I125="TW"),0,K125*0.0228)</f>
        <v>0</v>
      </c>
      <c r="O125" s="30" t="n">
        <f aca="false">J125-ROUND(+$J125*(VLOOKUP($I125,cngded,6,FALSE())),0)</f>
        <v>0</v>
      </c>
      <c r="P125" s="30" t="n">
        <f aca="false">K125-ROUND(+$K125*(VLOOKUP($I125,cngded,6,FALSE())),0)</f>
        <v>0</v>
      </c>
      <c r="Q125" s="23" t="str">
        <f aca="false">IF(ISNA(VLOOKUP(C125,INCNG,1,FALSE())),"--","Y")</f>
        <v>Y</v>
      </c>
      <c r="R125" s="23" t="n">
        <f aca="false">IF(ISNA(VLOOKUP(C125,INCNG,10,FALSE())),0,VLOOKUP(C125,INCNG,10,FALSE()))</f>
        <v>0</v>
      </c>
      <c r="S125" s="0" t="n">
        <f aca="false">+K125-R125</f>
        <v>0</v>
      </c>
      <c r="T125" s="31" t="n">
        <f aca="false">+P125-R125</f>
        <v>0</v>
      </c>
      <c r="U125" s="32" t="n">
        <f aca="false">ROUND(+$K125*(VLOOKUP($I125,Retention,2,FALSE())),0)</f>
        <v>0</v>
      </c>
      <c r="V125" s="32" t="n">
        <f aca="false">ROUND(+$K125*(VLOOKUP($I125,Retention,3,FALSE())),0)</f>
        <v>0</v>
      </c>
      <c r="W125" s="32" t="n">
        <f aca="false">ROUND(+$K125*(VLOOKUP($I125,Retention,4,FALSE())),0)</f>
        <v>0</v>
      </c>
      <c r="X125" s="32" t="n">
        <f aca="false">ROUND(+$K125*(VLOOKUP($I125,Retention,5,FALSE())),0)</f>
        <v>0</v>
      </c>
      <c r="Y125" s="31" t="n">
        <f aca="false">SUM(U125:X125)</f>
        <v>0</v>
      </c>
      <c r="AB125" s="33"/>
      <c r="AC125" s="33"/>
      <c r="AD125" s="0" t="e">
        <f aca="false">VLOOKUP(AB125,INCNG,3,FALSE())</f>
        <v>#N/A</v>
      </c>
    </row>
    <row r="126" customFormat="false" ht="12.75" hidden="false" customHeight="false" outlineLevel="0" collapsed="false">
      <c r="A126" s="0" t="s">
        <v>486</v>
      </c>
      <c r="B126" s="0" t="s">
        <v>273</v>
      </c>
      <c r="C126" s="0" t="s">
        <v>296</v>
      </c>
      <c r="D126" s="0" t="n">
        <v>3475001</v>
      </c>
      <c r="E126" s="0" t="s">
        <v>293</v>
      </c>
      <c r="F126" s="21" t="n">
        <v>37196</v>
      </c>
      <c r="G126" s="21"/>
      <c r="H126" s="21"/>
      <c r="I126" s="21" t="s">
        <v>450</v>
      </c>
      <c r="J126" s="0" t="n">
        <f aca="false">IF(ISNA(VLOOKUP(C126,CNGx,2,FALSE())),"na",(VLOOKUP(C126,CNGx,2,FALSE())))</f>
        <v>105</v>
      </c>
      <c r="K126" s="0" t="n">
        <f aca="false">IF(ISNA(VLOOKUP(C126,CNGx,3,0)),0,VLOOKUP(C126,CNGx,3,FALSE()))</f>
        <v>138</v>
      </c>
      <c r="L126" s="29" t="n">
        <f aca="false">VLOOKUP(I126,Retention,2,FALSE())</f>
        <v>0.0228</v>
      </c>
      <c r="M126" s="30" t="n">
        <f aca="false">IF(OR(I126="TD",I126="TW"),0,J126*0.0228)</f>
        <v>2.394</v>
      </c>
      <c r="N126" s="30" t="n">
        <f aca="false">IF(OR(I126="TD",I126="TW"),0,K126*0.0228)</f>
        <v>3.1464</v>
      </c>
      <c r="O126" s="30" t="n">
        <f aca="false">J126-ROUND(+$J126*(VLOOKUP($I126,cngded,6,FALSE())),0)</f>
        <v>91</v>
      </c>
      <c r="P126" s="30" t="n">
        <f aca="false">K126-ROUND(+$K126*(VLOOKUP($I126,cngded,6,FALSE())),0)</f>
        <v>120</v>
      </c>
      <c r="Q126" s="23" t="str">
        <f aca="false">IF(ISNA(VLOOKUP(C126,INCNG,1,FALSE())),"--","Y")</f>
        <v>Y</v>
      </c>
      <c r="R126" s="23" t="n">
        <f aca="false">IF(ISNA(VLOOKUP(C126,INCNG,10,FALSE())),0,VLOOKUP(C126,INCNG,10,FALSE()))</f>
        <v>91</v>
      </c>
      <c r="S126" s="0" t="n">
        <f aca="false">+K126-R126</f>
        <v>47</v>
      </c>
      <c r="T126" s="31" t="n">
        <f aca="false">+P126-R126</f>
        <v>29</v>
      </c>
      <c r="U126" s="32" t="n">
        <f aca="false">ROUND(+$K126*(VLOOKUP($I126,Retention,2,FALSE())),0)</f>
        <v>3</v>
      </c>
      <c r="V126" s="32" t="n">
        <f aca="false">ROUND(+$K126*(VLOOKUP($I126,Retention,3,FALSE())),0)</f>
        <v>10</v>
      </c>
      <c r="W126" s="32" t="n">
        <f aca="false">ROUND(+$K126*(VLOOKUP($I126,Retention,4,FALSE())),0)</f>
        <v>4</v>
      </c>
      <c r="X126" s="32" t="n">
        <f aca="false">ROUND(+$K126*(VLOOKUP($I126,Retention,5,FALSE())),0)</f>
        <v>1</v>
      </c>
      <c r="Y126" s="31" t="n">
        <f aca="false">SUM(U126:X126)</f>
        <v>18</v>
      </c>
      <c r="AB126" s="33"/>
      <c r="AC126" s="33"/>
      <c r="AD126" s="0" t="e">
        <f aca="false">VLOOKUP(AB126,INCNG,3,FALSE())</f>
        <v>#N/A</v>
      </c>
    </row>
    <row r="127" customFormat="false" ht="12.75" hidden="false" customHeight="false" outlineLevel="0" collapsed="false">
      <c r="A127" s="0" t="s">
        <v>486</v>
      </c>
      <c r="B127" s="0" t="s">
        <v>487</v>
      </c>
      <c r="C127" s="0" t="s">
        <v>105</v>
      </c>
      <c r="D127" s="0" t="n">
        <v>3478201</v>
      </c>
      <c r="E127" s="0" t="s">
        <v>455</v>
      </c>
      <c r="F127" s="21" t="n">
        <v>37196</v>
      </c>
      <c r="G127" s="21"/>
      <c r="H127" s="21"/>
      <c r="I127" s="21" t="s">
        <v>446</v>
      </c>
      <c r="J127" s="0" t="n">
        <f aca="false">IF(ISNA(VLOOKUP(C127,CNGx,2,FALSE())),"na",(VLOOKUP(C127,CNGx,2,FALSE())))</f>
        <v>111</v>
      </c>
      <c r="K127" s="0" t="n">
        <f aca="false">IF(ISNA(VLOOKUP(C127,CNGx,3,0)),0,VLOOKUP(C127,CNGx,3,FALSE()))</f>
        <v>140</v>
      </c>
      <c r="L127" s="29" t="n">
        <f aca="false">VLOOKUP(I127,Retention,2,FALSE())</f>
        <v>0</v>
      </c>
      <c r="M127" s="30" t="n">
        <f aca="false">IF(OR(I127="TD",I127="TW"),0,J127*0.0228)</f>
        <v>0</v>
      </c>
      <c r="N127" s="30" t="n">
        <f aca="false">IF(OR(I127="TD",I127="TW"),0,K127*0.0228)</f>
        <v>0</v>
      </c>
      <c r="O127" s="30" t="n">
        <f aca="false">J127-ROUND(+$J127*(VLOOKUP($I127,cngded,6,FALSE())),0)</f>
        <v>107</v>
      </c>
      <c r="P127" s="30" t="n">
        <f aca="false">K127-ROUND(+$K127*(VLOOKUP($I127,cngded,6,FALSE())),0)</f>
        <v>135</v>
      </c>
      <c r="Q127" s="23" t="str">
        <f aca="false">IF(ISNA(VLOOKUP(C127,INCNG,1,FALSE())),"--","Y")</f>
        <v>Y</v>
      </c>
      <c r="R127" s="23" t="n">
        <f aca="false">IF(ISNA(VLOOKUP(C127,INCNG,10,FALSE())),0,VLOOKUP(C127,INCNG,10,FALSE()))</f>
        <v>107</v>
      </c>
      <c r="S127" s="0" t="n">
        <f aca="false">+K127-R127</f>
        <v>33</v>
      </c>
      <c r="T127" s="31" t="n">
        <f aca="false">+P127-R127</f>
        <v>28</v>
      </c>
      <c r="U127" s="32" t="n">
        <f aca="false">ROUND(+$K127*(VLOOKUP($I127,Retention,2,FALSE())),0)</f>
        <v>0</v>
      </c>
      <c r="V127" s="32" t="n">
        <f aca="false">ROUND(+$K127*(VLOOKUP($I127,Retention,3,FALSE())),0)</f>
        <v>0</v>
      </c>
      <c r="W127" s="32" t="n">
        <f aca="false">ROUND(+$K127*(VLOOKUP($I127,Retention,4,FALSE())),0)</f>
        <v>4</v>
      </c>
      <c r="X127" s="32" t="n">
        <f aca="false">ROUND(+$K127*(VLOOKUP($I127,Retention,5,FALSE())),0)</f>
        <v>1</v>
      </c>
      <c r="Y127" s="31" t="n">
        <f aca="false">SUM(U127:X127)</f>
        <v>5</v>
      </c>
      <c r="AB127" s="33"/>
      <c r="AC127" s="33"/>
      <c r="AD127" s="0" t="e">
        <f aca="false">VLOOKUP(AB127,INCNG,3,FALSE())</f>
        <v>#N/A</v>
      </c>
    </row>
    <row r="128" customFormat="false" ht="12.75" hidden="false" customHeight="false" outlineLevel="0" collapsed="false">
      <c r="A128" s="0" t="s">
        <v>486</v>
      </c>
      <c r="B128" s="0" t="s">
        <v>273</v>
      </c>
      <c r="C128" s="0" t="s">
        <v>106</v>
      </c>
      <c r="D128" s="0" t="n">
        <v>3502801</v>
      </c>
      <c r="E128" s="0" t="s">
        <v>455</v>
      </c>
      <c r="F128" s="21" t="n">
        <v>37196</v>
      </c>
      <c r="G128" s="21"/>
      <c r="H128" s="21"/>
      <c r="I128" s="21" t="s">
        <v>450</v>
      </c>
      <c r="J128" s="0" t="n">
        <f aca="false">IF(ISNA(VLOOKUP(C128,CNGx,2,FALSE())),"na",(VLOOKUP(C128,CNGx,2,FALSE())))</f>
        <v>0</v>
      </c>
      <c r="K128" s="0" t="n">
        <f aca="false">IF(ISNA(VLOOKUP(C128,CNGx,3,0)),0,VLOOKUP(C128,CNGx,3,FALSE()))</f>
        <v>0</v>
      </c>
      <c r="L128" s="29" t="n">
        <f aca="false">VLOOKUP(I128,Retention,2,FALSE())</f>
        <v>0.0228</v>
      </c>
      <c r="M128" s="30" t="n">
        <f aca="false">IF(OR(I128="TD",I128="TW"),0,J128*0.0228)</f>
        <v>0</v>
      </c>
      <c r="N128" s="30" t="n">
        <f aca="false">IF(OR(I128="TD",I128="TW"),0,K128*0.0228)</f>
        <v>0</v>
      </c>
      <c r="O128" s="30" t="n">
        <f aca="false">J128-ROUND(+$J128*(VLOOKUP($I128,cngded,6,FALSE())),0)</f>
        <v>0</v>
      </c>
      <c r="P128" s="30" t="n">
        <f aca="false">K128-ROUND(+$K128*(VLOOKUP($I128,cngded,6,FALSE())),0)</f>
        <v>0</v>
      </c>
      <c r="Q128" s="23" t="str">
        <f aca="false">IF(ISNA(VLOOKUP(C128,INCNG,1,FALSE())),"--","Y")</f>
        <v>Y</v>
      </c>
      <c r="R128" s="23" t="n">
        <f aca="false">IF(ISNA(VLOOKUP(C128,INCNG,10,FALSE())),0,VLOOKUP(C128,INCNG,10,FALSE()))</f>
        <v>0</v>
      </c>
      <c r="S128" s="0" t="n">
        <f aca="false">+K128-R128</f>
        <v>0</v>
      </c>
      <c r="T128" s="31" t="n">
        <f aca="false">+P128-R128</f>
        <v>0</v>
      </c>
      <c r="U128" s="32" t="n">
        <f aca="false">ROUND(+$K128*(VLOOKUP($I128,Retention,2,FALSE())),0)</f>
        <v>0</v>
      </c>
      <c r="V128" s="32" t="n">
        <f aca="false">ROUND(+$K128*(VLOOKUP($I128,Retention,3,FALSE())),0)</f>
        <v>0</v>
      </c>
      <c r="W128" s="32" t="n">
        <f aca="false">ROUND(+$K128*(VLOOKUP($I128,Retention,4,FALSE())),0)</f>
        <v>0</v>
      </c>
      <c r="X128" s="32" t="n">
        <f aca="false">ROUND(+$K128*(VLOOKUP($I128,Retention,5,FALSE())),0)</f>
        <v>0</v>
      </c>
      <c r="Y128" s="31" t="n">
        <f aca="false">SUM(U128:X128)</f>
        <v>0</v>
      </c>
      <c r="AB128" s="33"/>
      <c r="AC128" s="33"/>
      <c r="AD128" s="0" t="e">
        <f aca="false">VLOOKUP(AB128,INCNG,3,FALSE())</f>
        <v>#N/A</v>
      </c>
    </row>
    <row r="129" customFormat="false" ht="12.75" hidden="false" customHeight="false" outlineLevel="0" collapsed="false">
      <c r="A129" s="0" t="s">
        <v>486</v>
      </c>
      <c r="B129" s="0" t="s">
        <v>273</v>
      </c>
      <c r="C129" s="0" t="s">
        <v>9</v>
      </c>
      <c r="D129" s="0" t="n">
        <v>3505301</v>
      </c>
      <c r="E129" s="0" t="s">
        <v>10</v>
      </c>
      <c r="F129" s="21" t="n">
        <v>37196</v>
      </c>
      <c r="G129" s="21"/>
      <c r="H129" s="21"/>
      <c r="I129" s="21" t="s">
        <v>450</v>
      </c>
      <c r="J129" s="0" t="n">
        <f aca="false">IF(ISNA(VLOOKUP(C129,CNGx,2,FALSE())),"na",(VLOOKUP(C129,CNGx,2,FALSE())))</f>
        <v>982</v>
      </c>
      <c r="K129" s="0" t="n">
        <f aca="false">IF(ISNA(VLOOKUP(C129,CNGx,3,0)),0,VLOOKUP(C129,CNGx,3,FALSE()))</f>
        <v>1175</v>
      </c>
      <c r="L129" s="29" t="n">
        <f aca="false">VLOOKUP(I129,Retention,2,FALSE())</f>
        <v>0.0228</v>
      </c>
      <c r="M129" s="30" t="n">
        <f aca="false">IF(OR(I129="TD",I129="TW"),0,J129*0.0228)</f>
        <v>22.3896</v>
      </c>
      <c r="N129" s="30" t="n">
        <f aca="false">IF(OR(I129="TD",I129="TW"),0,K129*0.0228)</f>
        <v>26.79</v>
      </c>
      <c r="O129" s="30" t="n">
        <f aca="false">J129-ROUND(+$J129*(VLOOKUP($I129,cngded,6,FALSE())),0)</f>
        <v>852</v>
      </c>
      <c r="P129" s="30" t="n">
        <f aca="false">K129-ROUND(+$K129*(VLOOKUP($I129,cngded,6,FALSE())),0)</f>
        <v>1019</v>
      </c>
      <c r="Q129" s="23" t="str">
        <f aca="false">IF(ISNA(VLOOKUP(C129,INCNG,1,FALSE())),"--","Y")</f>
        <v>Y</v>
      </c>
      <c r="R129" s="23" t="n">
        <f aca="false">IF(ISNA(VLOOKUP(C129,INCNG,10,FALSE())),0,VLOOKUP(C129,INCNG,10,FALSE()))</f>
        <v>852</v>
      </c>
      <c r="S129" s="0" t="n">
        <f aca="false">+K129-R129</f>
        <v>323</v>
      </c>
      <c r="T129" s="31" t="n">
        <f aca="false">+P129-R129</f>
        <v>167</v>
      </c>
      <c r="U129" s="32" t="n">
        <f aca="false">ROUND(+$K129*(VLOOKUP($I129,Retention,2,FALSE())),0)</f>
        <v>27</v>
      </c>
      <c r="V129" s="32" t="n">
        <f aca="false">ROUND(+$K129*(VLOOKUP($I129,Retention,3,FALSE())),0)</f>
        <v>83</v>
      </c>
      <c r="W129" s="32" t="n">
        <f aca="false">ROUND(+$K129*(VLOOKUP($I129,Retention,4,FALSE())),0)</f>
        <v>35</v>
      </c>
      <c r="X129" s="32" t="n">
        <f aca="false">ROUND(+$K129*(VLOOKUP($I129,Retention,5,FALSE())),0)</f>
        <v>11</v>
      </c>
      <c r="Y129" s="31" t="n">
        <f aca="false">SUM(U129:X129)</f>
        <v>156</v>
      </c>
      <c r="AB129" s="33"/>
      <c r="AC129" s="33"/>
      <c r="AD129" s="0" t="e">
        <f aca="false">VLOOKUP(AB129,INCNG,3,FALSE())</f>
        <v>#N/A</v>
      </c>
    </row>
    <row r="130" customFormat="false" ht="12.75" hidden="false" customHeight="false" outlineLevel="0" collapsed="false">
      <c r="A130" s="0" t="s">
        <v>486</v>
      </c>
      <c r="B130" s="0" t="s">
        <v>273</v>
      </c>
      <c r="C130" s="0" t="s">
        <v>297</v>
      </c>
      <c r="D130" s="0" t="n">
        <v>3506201</v>
      </c>
      <c r="E130" s="0" t="s">
        <v>293</v>
      </c>
      <c r="F130" s="21" t="n">
        <v>37196</v>
      </c>
      <c r="G130" s="21"/>
      <c r="H130" s="21"/>
      <c r="I130" s="21" t="s">
        <v>450</v>
      </c>
      <c r="J130" s="0" t="n">
        <f aca="false">IF(ISNA(VLOOKUP(C130,CNGx,2,FALSE())),"na",(VLOOKUP(C130,CNGx,2,FALSE())))</f>
        <v>41</v>
      </c>
      <c r="K130" s="0" t="n">
        <f aca="false">IF(ISNA(VLOOKUP(C130,CNGx,3,0)),0,VLOOKUP(C130,CNGx,3,FALSE()))</f>
        <v>50</v>
      </c>
      <c r="L130" s="29" t="n">
        <f aca="false">VLOOKUP(I130,Retention,2,FALSE())</f>
        <v>0.0228</v>
      </c>
      <c r="M130" s="30" t="n">
        <f aca="false">IF(OR(I130="TD",I130="TW"),0,J130*0.0228)</f>
        <v>0.9348</v>
      </c>
      <c r="N130" s="30" t="n">
        <f aca="false">IF(OR(I130="TD",I130="TW"),0,K130*0.0228)</f>
        <v>1.14</v>
      </c>
      <c r="O130" s="30" t="n">
        <f aca="false">J130-ROUND(+$J130*(VLOOKUP($I130,cngded,6,FALSE())),0)</f>
        <v>36</v>
      </c>
      <c r="P130" s="30" t="n">
        <f aca="false">K130-ROUND(+$K130*(VLOOKUP($I130,cngded,6,FALSE())),0)</f>
        <v>43</v>
      </c>
      <c r="Q130" s="23" t="str">
        <f aca="false">IF(ISNA(VLOOKUP(C130,INCNG,1,FALSE())),"--","Y")</f>
        <v>Y</v>
      </c>
      <c r="R130" s="23" t="n">
        <f aca="false">IF(ISNA(VLOOKUP(C130,INCNG,10,FALSE())),0,VLOOKUP(C130,INCNG,10,FALSE()))</f>
        <v>36</v>
      </c>
      <c r="S130" s="0" t="n">
        <f aca="false">+K130-R130</f>
        <v>14</v>
      </c>
      <c r="T130" s="31" t="n">
        <f aca="false">+P130-R130</f>
        <v>7</v>
      </c>
      <c r="U130" s="32" t="n">
        <f aca="false">ROUND(+$K130*(VLOOKUP($I130,Retention,2,FALSE())),0)</f>
        <v>1</v>
      </c>
      <c r="V130" s="32" t="n">
        <f aca="false">ROUND(+$K130*(VLOOKUP($I130,Retention,3,FALSE())),0)</f>
        <v>4</v>
      </c>
      <c r="W130" s="32" t="n">
        <f aca="false">ROUND(+$K130*(VLOOKUP($I130,Retention,4,FALSE())),0)</f>
        <v>2</v>
      </c>
      <c r="X130" s="32" t="n">
        <f aca="false">ROUND(+$K130*(VLOOKUP($I130,Retention,5,FALSE())),0)</f>
        <v>0</v>
      </c>
      <c r="Y130" s="31" t="n">
        <f aca="false">SUM(U130:X130)</f>
        <v>7</v>
      </c>
      <c r="AB130" s="33"/>
      <c r="AC130" s="33"/>
      <c r="AD130" s="0" t="e">
        <f aca="false">VLOOKUP(AB130,INCNG,3,FALSE())</f>
        <v>#N/A</v>
      </c>
    </row>
    <row r="131" customFormat="false" ht="12.75" hidden="false" customHeight="false" outlineLevel="0" collapsed="false">
      <c r="A131" s="0" t="s">
        <v>486</v>
      </c>
      <c r="B131" s="0" t="s">
        <v>273</v>
      </c>
      <c r="C131" s="0" t="s">
        <v>234</v>
      </c>
      <c r="D131" s="0" t="n">
        <v>3507801</v>
      </c>
      <c r="E131" s="0" t="s">
        <v>233</v>
      </c>
      <c r="F131" s="21" t="n">
        <v>37196</v>
      </c>
      <c r="G131" s="21"/>
      <c r="H131" s="21"/>
      <c r="I131" s="21" t="s">
        <v>450</v>
      </c>
      <c r="J131" s="0" t="n">
        <f aca="false">IF(ISNA(VLOOKUP(C131,CNGx,2,FALSE())),"na",(VLOOKUP(C131,CNGx,2,FALSE())))</f>
        <v>553</v>
      </c>
      <c r="K131" s="0" t="n">
        <f aca="false">IF(ISNA(VLOOKUP(C131,CNGx,3,0)),0,VLOOKUP(C131,CNGx,3,FALSE()))</f>
        <v>692</v>
      </c>
      <c r="L131" s="29" t="n">
        <f aca="false">VLOOKUP(I131,Retention,2,FALSE())</f>
        <v>0.0228</v>
      </c>
      <c r="M131" s="30" t="n">
        <f aca="false">IF(OR(I131="TD",I131="TW"),0,J131*0.0228)</f>
        <v>12.6084</v>
      </c>
      <c r="N131" s="30" t="n">
        <f aca="false">IF(OR(I131="TD",I131="TW"),0,K131*0.0228)</f>
        <v>15.7776</v>
      </c>
      <c r="O131" s="30" t="n">
        <f aca="false">J131-ROUND(+$J131*(VLOOKUP($I131,cngded,6,FALSE())),0)</f>
        <v>480</v>
      </c>
      <c r="P131" s="30" t="n">
        <f aca="false">K131-ROUND(+$K131*(VLOOKUP($I131,cngded,6,FALSE())),0)</f>
        <v>600</v>
      </c>
      <c r="Q131" s="23" t="str">
        <f aca="false">IF(ISNA(VLOOKUP(C131,INCNG,1,FALSE())),"--","Y")</f>
        <v>Y</v>
      </c>
      <c r="R131" s="23" t="n">
        <f aca="false">IF(ISNA(VLOOKUP(C131,INCNG,10,FALSE())),0,VLOOKUP(C131,INCNG,10,FALSE()))</f>
        <v>480</v>
      </c>
      <c r="S131" s="0" t="n">
        <f aca="false">+K131-R131</f>
        <v>212</v>
      </c>
      <c r="T131" s="31" t="n">
        <f aca="false">+P131-R131</f>
        <v>120</v>
      </c>
      <c r="U131" s="32" t="n">
        <f aca="false">ROUND(+$K131*(VLOOKUP($I131,Retention,2,FALSE())),0)</f>
        <v>16</v>
      </c>
      <c r="V131" s="32" t="n">
        <f aca="false">ROUND(+$K131*(VLOOKUP($I131,Retention,3,FALSE())),0)</f>
        <v>49</v>
      </c>
      <c r="W131" s="32" t="n">
        <f aca="false">ROUND(+$K131*(VLOOKUP($I131,Retention,4,FALSE())),0)</f>
        <v>21</v>
      </c>
      <c r="X131" s="32" t="n">
        <f aca="false">ROUND(+$K131*(VLOOKUP($I131,Retention,5,FALSE())),0)</f>
        <v>6</v>
      </c>
      <c r="Y131" s="31" t="n">
        <f aca="false">SUM(U131:X131)</f>
        <v>92</v>
      </c>
      <c r="AB131" s="33"/>
      <c r="AC131" s="33"/>
      <c r="AD131" s="0" t="e">
        <f aca="false">VLOOKUP(AB131,INCNG,3,FALSE())</f>
        <v>#N/A</v>
      </c>
    </row>
    <row r="132" customFormat="false" ht="12.75" hidden="false" customHeight="false" outlineLevel="0" collapsed="false">
      <c r="A132" s="0" t="s">
        <v>486</v>
      </c>
      <c r="B132" s="0" t="s">
        <v>273</v>
      </c>
      <c r="C132" s="0" t="s">
        <v>235</v>
      </c>
      <c r="D132" s="0" t="n">
        <v>3507901</v>
      </c>
      <c r="E132" s="0" t="s">
        <v>233</v>
      </c>
      <c r="F132" s="21" t="n">
        <v>37196</v>
      </c>
      <c r="G132" s="21"/>
      <c r="H132" s="21"/>
      <c r="I132" s="21" t="s">
        <v>450</v>
      </c>
      <c r="J132" s="0" t="n">
        <f aca="false">IF(ISNA(VLOOKUP(C132,CNGx,2,FALSE())),"na",(VLOOKUP(C132,CNGx,2,FALSE())))</f>
        <v>343</v>
      </c>
      <c r="K132" s="0" t="n">
        <f aca="false">IF(ISNA(VLOOKUP(C132,CNGx,3,0)),0,VLOOKUP(C132,CNGx,3,FALSE()))</f>
        <v>413</v>
      </c>
      <c r="L132" s="29" t="n">
        <f aca="false">VLOOKUP(I132,Retention,2,FALSE())</f>
        <v>0.0228</v>
      </c>
      <c r="M132" s="30" t="n">
        <f aca="false">IF(OR(I132="TD",I132="TW"),0,J132*0.0228)</f>
        <v>7.8204</v>
      </c>
      <c r="N132" s="30" t="n">
        <f aca="false">IF(OR(I132="TD",I132="TW"),0,K132*0.0228)</f>
        <v>9.4164</v>
      </c>
      <c r="O132" s="30" t="n">
        <f aca="false">J132-ROUND(+$J132*(VLOOKUP($I132,cngded,6,FALSE())),0)</f>
        <v>298</v>
      </c>
      <c r="P132" s="30" t="n">
        <f aca="false">K132-ROUND(+$K132*(VLOOKUP($I132,cngded,6,FALSE())),0)</f>
        <v>358</v>
      </c>
      <c r="Q132" s="23" t="str">
        <f aca="false">IF(ISNA(VLOOKUP(C132,INCNG,1,FALSE())),"--","Y")</f>
        <v>Y</v>
      </c>
      <c r="R132" s="23" t="n">
        <f aca="false">IF(ISNA(VLOOKUP(C132,INCNG,10,FALSE())),0,VLOOKUP(C132,INCNG,10,FALSE()))</f>
        <v>298</v>
      </c>
      <c r="S132" s="0" t="n">
        <f aca="false">+K132-R132</f>
        <v>115</v>
      </c>
      <c r="T132" s="31" t="n">
        <f aca="false">+P132-R132</f>
        <v>60</v>
      </c>
      <c r="U132" s="32" t="n">
        <f aca="false">ROUND(+$K132*(VLOOKUP($I132,Retention,2,FALSE())),0)</f>
        <v>9</v>
      </c>
      <c r="V132" s="32" t="n">
        <f aca="false">ROUND(+$K132*(VLOOKUP($I132,Retention,3,FALSE())),0)</f>
        <v>29</v>
      </c>
      <c r="W132" s="32" t="n">
        <f aca="false">ROUND(+$K132*(VLOOKUP($I132,Retention,4,FALSE())),0)</f>
        <v>12</v>
      </c>
      <c r="X132" s="32" t="n">
        <f aca="false">ROUND(+$K132*(VLOOKUP($I132,Retention,5,FALSE())),0)</f>
        <v>4</v>
      </c>
      <c r="Y132" s="31" t="n">
        <f aca="false">SUM(U132:X132)</f>
        <v>54</v>
      </c>
      <c r="AB132" s="33"/>
      <c r="AC132" s="33"/>
      <c r="AD132" s="0" t="e">
        <f aca="false">VLOOKUP(AB132,INCNG,3,FALSE())</f>
        <v>#N/A</v>
      </c>
    </row>
    <row r="133" customFormat="false" ht="12.75" hidden="false" customHeight="false" outlineLevel="0" collapsed="false">
      <c r="A133" s="0" t="s">
        <v>486</v>
      </c>
      <c r="B133" s="0" t="s">
        <v>273</v>
      </c>
      <c r="C133" s="0" t="s">
        <v>236</v>
      </c>
      <c r="D133" s="0" t="n">
        <v>3508401</v>
      </c>
      <c r="E133" s="0" t="s">
        <v>233</v>
      </c>
      <c r="F133" s="21" t="n">
        <v>37196</v>
      </c>
      <c r="G133" s="21"/>
      <c r="H133" s="21"/>
      <c r="I133" s="21" t="s">
        <v>450</v>
      </c>
      <c r="J133" s="0" t="n">
        <f aca="false">IF(ISNA(VLOOKUP(C133,CNGx,2,FALSE())),"na",(VLOOKUP(C133,CNGx,2,FALSE())))</f>
        <v>47</v>
      </c>
      <c r="K133" s="0" t="n">
        <f aca="false">IF(ISNA(VLOOKUP(C133,CNGx,3,0)),0,VLOOKUP(C133,CNGx,3,FALSE()))</f>
        <v>57</v>
      </c>
      <c r="L133" s="29" t="n">
        <f aca="false">VLOOKUP(I133,Retention,2,FALSE())</f>
        <v>0.0228</v>
      </c>
      <c r="M133" s="30" t="n">
        <f aca="false">IF(OR(I133="TD",I133="TW"),0,J133*0.0228)</f>
        <v>1.0716</v>
      </c>
      <c r="N133" s="30" t="n">
        <f aca="false">IF(OR(I133="TD",I133="TW"),0,K133*0.0228)</f>
        <v>1.2996</v>
      </c>
      <c r="O133" s="30" t="n">
        <f aca="false">J133-ROUND(+$J133*(VLOOKUP($I133,cngded,6,FALSE())),0)</f>
        <v>41</v>
      </c>
      <c r="P133" s="30" t="n">
        <f aca="false">K133-ROUND(+$K133*(VLOOKUP($I133,cngded,6,FALSE())),0)</f>
        <v>49</v>
      </c>
      <c r="Q133" s="23" t="str">
        <f aca="false">IF(ISNA(VLOOKUP(C133,INCNG,1,FALSE())),"--","Y")</f>
        <v>Y</v>
      </c>
      <c r="R133" s="23" t="n">
        <f aca="false">IF(ISNA(VLOOKUP(C133,INCNG,10,FALSE())),0,VLOOKUP(C133,INCNG,10,FALSE()))</f>
        <v>41</v>
      </c>
      <c r="S133" s="0" t="n">
        <f aca="false">+K133-R133</f>
        <v>16</v>
      </c>
      <c r="T133" s="31" t="n">
        <f aca="false">+P133-R133</f>
        <v>8</v>
      </c>
      <c r="U133" s="32" t="n">
        <f aca="false">ROUND(+$K133*(VLOOKUP($I133,Retention,2,FALSE())),0)</f>
        <v>1</v>
      </c>
      <c r="V133" s="32" t="n">
        <f aca="false">ROUND(+$K133*(VLOOKUP($I133,Retention,3,FALSE())),0)</f>
        <v>4</v>
      </c>
      <c r="W133" s="32" t="n">
        <f aca="false">ROUND(+$K133*(VLOOKUP($I133,Retention,4,FALSE())),0)</f>
        <v>2</v>
      </c>
      <c r="X133" s="32" t="n">
        <f aca="false">ROUND(+$K133*(VLOOKUP($I133,Retention,5,FALSE())),0)</f>
        <v>1</v>
      </c>
      <c r="Y133" s="31" t="n">
        <f aca="false">SUM(U133:X133)</f>
        <v>8</v>
      </c>
      <c r="AB133" s="33"/>
      <c r="AC133" s="33"/>
      <c r="AD133" s="0" t="e">
        <f aca="false">VLOOKUP(AB133,INCNG,3,FALSE())</f>
        <v>#N/A</v>
      </c>
    </row>
    <row r="134" customFormat="false" ht="12.75" hidden="false" customHeight="false" outlineLevel="0" collapsed="false">
      <c r="A134" s="0" t="s">
        <v>486</v>
      </c>
      <c r="B134" s="0" t="s">
        <v>273</v>
      </c>
      <c r="C134" s="0" t="s">
        <v>298</v>
      </c>
      <c r="D134" s="0" t="n">
        <v>3509101</v>
      </c>
      <c r="E134" s="0" t="s">
        <v>293</v>
      </c>
      <c r="F134" s="21" t="n">
        <v>37196</v>
      </c>
      <c r="G134" s="21"/>
      <c r="H134" s="21"/>
      <c r="I134" s="21" t="s">
        <v>450</v>
      </c>
      <c r="J134" s="0" t="n">
        <f aca="false">IF(ISNA(VLOOKUP(C134,CNGx,2,FALSE())),"na",(VLOOKUP(C134,CNGx,2,FALSE())))</f>
        <v>45</v>
      </c>
      <c r="K134" s="0" t="n">
        <f aca="false">IF(ISNA(VLOOKUP(C134,CNGx,3,0)),0,VLOOKUP(C134,CNGx,3,FALSE()))</f>
        <v>55</v>
      </c>
      <c r="L134" s="29" t="n">
        <f aca="false">VLOOKUP(I134,Retention,2,FALSE())</f>
        <v>0.0228</v>
      </c>
      <c r="M134" s="30" t="n">
        <f aca="false">IF(OR(I134="TD",I134="TW"),0,J134*0.0228)</f>
        <v>1.026</v>
      </c>
      <c r="N134" s="30" t="n">
        <f aca="false">IF(OR(I134="TD",I134="TW"),0,K134*0.0228)</f>
        <v>1.254</v>
      </c>
      <c r="O134" s="30" t="n">
        <f aca="false">J134-ROUND(+$J134*(VLOOKUP($I134,cngded,6,FALSE())),0)</f>
        <v>39</v>
      </c>
      <c r="P134" s="30" t="n">
        <f aca="false">K134-ROUND(+$K134*(VLOOKUP($I134,cngded,6,FALSE())),0)</f>
        <v>48</v>
      </c>
      <c r="Q134" s="23" t="str">
        <f aca="false">IF(ISNA(VLOOKUP(C134,INCNG,1,FALSE())),"--","Y")</f>
        <v>Y</v>
      </c>
      <c r="R134" s="23" t="n">
        <f aca="false">IF(ISNA(VLOOKUP(C134,INCNG,10,FALSE())),0,VLOOKUP(C134,INCNG,10,FALSE()))</f>
        <v>39</v>
      </c>
      <c r="S134" s="0" t="n">
        <f aca="false">+K134-R134</f>
        <v>16</v>
      </c>
      <c r="T134" s="31" t="n">
        <f aca="false">+P134-R134</f>
        <v>9</v>
      </c>
      <c r="U134" s="32" t="n">
        <f aca="false">ROUND(+$K134*(VLOOKUP($I134,Retention,2,FALSE())),0)</f>
        <v>1</v>
      </c>
      <c r="V134" s="32" t="n">
        <f aca="false">ROUND(+$K134*(VLOOKUP($I134,Retention,3,FALSE())),0)</f>
        <v>4</v>
      </c>
      <c r="W134" s="32" t="n">
        <f aca="false">ROUND(+$K134*(VLOOKUP($I134,Retention,4,FALSE())),0)</f>
        <v>2</v>
      </c>
      <c r="X134" s="32" t="n">
        <f aca="false">ROUND(+$K134*(VLOOKUP($I134,Retention,5,FALSE())),0)</f>
        <v>1</v>
      </c>
      <c r="Y134" s="31" t="n">
        <f aca="false">SUM(U134:X134)</f>
        <v>8</v>
      </c>
      <c r="AB134" s="33"/>
      <c r="AC134" s="33"/>
      <c r="AD134" s="0" t="e">
        <f aca="false">VLOOKUP(AB134,INCNG,3,FALSE())</f>
        <v>#N/A</v>
      </c>
    </row>
    <row r="135" customFormat="false" ht="12.75" hidden="false" customHeight="false" outlineLevel="0" collapsed="false">
      <c r="A135" s="0" t="s">
        <v>486</v>
      </c>
      <c r="B135" s="0" t="s">
        <v>273</v>
      </c>
      <c r="C135" s="0" t="s">
        <v>222</v>
      </c>
      <c r="D135" s="0" t="n">
        <v>3510601</v>
      </c>
      <c r="E135" s="0" t="s">
        <v>452</v>
      </c>
      <c r="F135" s="21" t="n">
        <v>37196</v>
      </c>
      <c r="G135" s="21"/>
      <c r="H135" s="21"/>
      <c r="I135" s="21" t="s">
        <v>450</v>
      </c>
      <c r="J135" s="0" t="n">
        <f aca="false">IF(ISNA(VLOOKUP(C135,CNGx,2,FALSE())),"na",(VLOOKUP(C135,CNGx,2,FALSE())))</f>
        <v>32</v>
      </c>
      <c r="K135" s="0" t="n">
        <f aca="false">IF(ISNA(VLOOKUP(C135,CNGx,3,0)),0,VLOOKUP(C135,CNGx,3,FALSE()))</f>
        <v>35</v>
      </c>
      <c r="L135" s="29" t="n">
        <f aca="false">VLOOKUP(I135,Retention,2,FALSE())</f>
        <v>0.0228</v>
      </c>
      <c r="M135" s="30" t="n">
        <f aca="false">IF(OR(I135="TD",I135="TW"),0,J135*0.0228)</f>
        <v>0.7296</v>
      </c>
      <c r="N135" s="30" t="n">
        <f aca="false">IF(OR(I135="TD",I135="TW"),0,K135*0.0228)</f>
        <v>0.798</v>
      </c>
      <c r="O135" s="30" t="n">
        <f aca="false">J135-ROUND(+$J135*(VLOOKUP($I135,cngded,6,FALSE())),0)</f>
        <v>28</v>
      </c>
      <c r="P135" s="30" t="n">
        <f aca="false">K135-ROUND(+$K135*(VLOOKUP($I135,cngded,6,FALSE())),0)</f>
        <v>30</v>
      </c>
      <c r="Q135" s="23" t="str">
        <f aca="false">IF(ISNA(VLOOKUP(C135,INCNG,1,FALSE())),"--","Y")</f>
        <v>Y</v>
      </c>
      <c r="R135" s="23" t="n">
        <f aca="false">IF(ISNA(VLOOKUP(C135,INCNG,10,FALSE())),0,VLOOKUP(C135,INCNG,10,FALSE()))</f>
        <v>28</v>
      </c>
      <c r="S135" s="0" t="n">
        <f aca="false">+K135-R135</f>
        <v>7</v>
      </c>
      <c r="T135" s="31" t="n">
        <f aca="false">+P135-R135</f>
        <v>2</v>
      </c>
      <c r="U135" s="32" t="n">
        <f aca="false">ROUND(+$K135*(VLOOKUP($I135,Retention,2,FALSE())),0)</f>
        <v>1</v>
      </c>
      <c r="V135" s="32" t="n">
        <f aca="false">ROUND(+$K135*(VLOOKUP($I135,Retention,3,FALSE())),0)</f>
        <v>2</v>
      </c>
      <c r="W135" s="32" t="n">
        <f aca="false">ROUND(+$K135*(VLOOKUP($I135,Retention,4,FALSE())),0)</f>
        <v>1</v>
      </c>
      <c r="X135" s="32" t="n">
        <f aca="false">ROUND(+$K135*(VLOOKUP($I135,Retention,5,FALSE())),0)</f>
        <v>0</v>
      </c>
      <c r="Y135" s="31" t="n">
        <f aca="false">SUM(U135:X135)</f>
        <v>4</v>
      </c>
      <c r="AB135" s="33"/>
      <c r="AC135" s="33"/>
      <c r="AD135" s="0" t="e">
        <f aca="false">VLOOKUP(AB135,INCNG,3,FALSE())</f>
        <v>#N/A</v>
      </c>
    </row>
    <row r="136" customFormat="false" ht="12.75" hidden="false" customHeight="false" outlineLevel="0" collapsed="false">
      <c r="A136" s="0" t="s">
        <v>486</v>
      </c>
      <c r="B136" s="0" t="s">
        <v>273</v>
      </c>
      <c r="C136" s="0" t="s">
        <v>223</v>
      </c>
      <c r="D136" s="0" t="n">
        <v>3510801</v>
      </c>
      <c r="E136" s="0" t="s">
        <v>452</v>
      </c>
      <c r="F136" s="21" t="n">
        <v>37196</v>
      </c>
      <c r="G136" s="21"/>
      <c r="H136" s="21"/>
      <c r="I136" s="21" t="s">
        <v>450</v>
      </c>
      <c r="J136" s="0" t="n">
        <f aca="false">IF(ISNA(VLOOKUP(C136,CNGx,2,FALSE())),"na",(VLOOKUP(C136,CNGx,2,FALSE())))</f>
        <v>0</v>
      </c>
      <c r="K136" s="0" t="n">
        <f aca="false">IF(ISNA(VLOOKUP(C136,CNGx,3,0)),0,VLOOKUP(C136,CNGx,3,FALSE()))</f>
        <v>0</v>
      </c>
      <c r="L136" s="29" t="n">
        <f aca="false">VLOOKUP(I136,Retention,2,FALSE())</f>
        <v>0.0228</v>
      </c>
      <c r="M136" s="30" t="n">
        <f aca="false">IF(OR(I136="TD",I136="TW"),0,J136*0.0228)</f>
        <v>0</v>
      </c>
      <c r="N136" s="30" t="n">
        <f aca="false">IF(OR(I136="TD",I136="TW"),0,K136*0.0228)</f>
        <v>0</v>
      </c>
      <c r="O136" s="30" t="n">
        <f aca="false">J136-ROUND(+$J136*(VLOOKUP($I136,cngded,6,FALSE())),0)</f>
        <v>0</v>
      </c>
      <c r="P136" s="30" t="n">
        <f aca="false">K136-ROUND(+$K136*(VLOOKUP($I136,cngded,6,FALSE())),0)</f>
        <v>0</v>
      </c>
      <c r="Q136" s="23" t="str">
        <f aca="false">IF(ISNA(VLOOKUP(C136,INCNG,1,FALSE())),"--","Y")</f>
        <v>Y</v>
      </c>
      <c r="R136" s="23" t="n">
        <f aca="false">IF(ISNA(VLOOKUP(C136,INCNG,10,FALSE())),0,VLOOKUP(C136,INCNG,10,FALSE()))</f>
        <v>0</v>
      </c>
      <c r="S136" s="0" t="n">
        <f aca="false">+K136-R136</f>
        <v>0</v>
      </c>
      <c r="T136" s="31" t="n">
        <f aca="false">+P136-R136</f>
        <v>0</v>
      </c>
      <c r="U136" s="32" t="n">
        <f aca="false">ROUND(+$K136*(VLOOKUP($I136,Retention,2,FALSE())),0)</f>
        <v>0</v>
      </c>
      <c r="V136" s="32" t="n">
        <f aca="false">ROUND(+$K136*(VLOOKUP($I136,Retention,3,FALSE())),0)</f>
        <v>0</v>
      </c>
      <c r="W136" s="32" t="n">
        <f aca="false">ROUND(+$K136*(VLOOKUP($I136,Retention,4,FALSE())),0)</f>
        <v>0</v>
      </c>
      <c r="X136" s="32" t="n">
        <f aca="false">ROUND(+$K136*(VLOOKUP($I136,Retention,5,FALSE())),0)</f>
        <v>0</v>
      </c>
      <c r="Y136" s="31" t="n">
        <f aca="false">SUM(U136:X136)</f>
        <v>0</v>
      </c>
      <c r="AB136" s="33"/>
      <c r="AC136" s="33"/>
      <c r="AD136" s="0" t="e">
        <f aca="false">VLOOKUP(AB136,INCNG,3,FALSE())</f>
        <v>#N/A</v>
      </c>
    </row>
    <row r="137" customFormat="false" ht="12.75" hidden="false" customHeight="false" outlineLevel="0" collapsed="false">
      <c r="A137" s="0" t="s">
        <v>486</v>
      </c>
      <c r="B137" s="0" t="s">
        <v>273</v>
      </c>
      <c r="C137" s="0" t="s">
        <v>11</v>
      </c>
      <c r="D137" s="0" t="n">
        <v>3511801</v>
      </c>
      <c r="E137" s="0" t="s">
        <v>10</v>
      </c>
      <c r="F137" s="21" t="n">
        <v>37196</v>
      </c>
      <c r="G137" s="21"/>
      <c r="H137" s="21"/>
      <c r="I137" s="21" t="s">
        <v>450</v>
      </c>
      <c r="J137" s="0" t="n">
        <f aca="false">IF(ISNA(VLOOKUP(C137,CNGx,2,FALSE())),"na",(VLOOKUP(C137,CNGx,2,FALSE())))</f>
        <v>1033</v>
      </c>
      <c r="K137" s="0" t="n">
        <f aca="false">IF(ISNA(VLOOKUP(C137,CNGx,3,0)),0,VLOOKUP(C137,CNGx,3,FALSE()))</f>
        <v>1370</v>
      </c>
      <c r="L137" s="29" t="n">
        <f aca="false">VLOOKUP(I137,Retention,2,FALSE())</f>
        <v>0.0228</v>
      </c>
      <c r="M137" s="30" t="n">
        <f aca="false">IF(OR(I137="TD",I137="TW"),0,J137*0.0228)</f>
        <v>23.5524</v>
      </c>
      <c r="N137" s="30" t="n">
        <f aca="false">IF(OR(I137="TD",I137="TW"),0,K137*0.0228)</f>
        <v>31.236</v>
      </c>
      <c r="O137" s="30" t="n">
        <f aca="false">J137-ROUND(+$J137*(VLOOKUP($I137,cngded,6,FALSE())),0)</f>
        <v>896</v>
      </c>
      <c r="P137" s="30" t="n">
        <f aca="false">K137-ROUND(+$K137*(VLOOKUP($I137,cngded,6,FALSE())),0)</f>
        <v>1188</v>
      </c>
      <c r="Q137" s="23" t="str">
        <f aca="false">IF(ISNA(VLOOKUP(C137,INCNG,1,FALSE())),"--","Y")</f>
        <v>Y</v>
      </c>
      <c r="R137" s="23" t="n">
        <f aca="false">IF(ISNA(VLOOKUP(C137,INCNG,10,FALSE())),0,VLOOKUP(C137,INCNG,10,FALSE()))</f>
        <v>896</v>
      </c>
      <c r="S137" s="0" t="n">
        <f aca="false">+K137-R137</f>
        <v>474</v>
      </c>
      <c r="T137" s="31" t="n">
        <f aca="false">+P137-R137</f>
        <v>292</v>
      </c>
      <c r="U137" s="32" t="n">
        <f aca="false">ROUND(+$K137*(VLOOKUP($I137,Retention,2,FALSE())),0)</f>
        <v>31</v>
      </c>
      <c r="V137" s="32" t="n">
        <f aca="false">ROUND(+$K137*(VLOOKUP($I137,Retention,3,FALSE())),0)</f>
        <v>97</v>
      </c>
      <c r="W137" s="32" t="n">
        <f aca="false">ROUND(+$K137*(VLOOKUP($I137,Retention,4,FALSE())),0)</f>
        <v>41</v>
      </c>
      <c r="X137" s="32" t="n">
        <f aca="false">ROUND(+$K137*(VLOOKUP($I137,Retention,5,FALSE())),0)</f>
        <v>12</v>
      </c>
      <c r="Y137" s="31" t="n">
        <f aca="false">SUM(U137:X137)</f>
        <v>181</v>
      </c>
      <c r="AB137" s="33"/>
      <c r="AC137" s="33"/>
      <c r="AD137" s="0" t="e">
        <f aca="false">VLOOKUP(AB137,INCNG,3,FALSE())</f>
        <v>#N/A</v>
      </c>
    </row>
    <row r="138" customFormat="false" ht="12.75" hidden="false" customHeight="false" outlineLevel="0" collapsed="false">
      <c r="A138" s="0" t="s">
        <v>486</v>
      </c>
      <c r="B138" s="0" t="s">
        <v>273</v>
      </c>
      <c r="C138" s="0" t="s">
        <v>224</v>
      </c>
      <c r="D138" s="0" t="n">
        <v>3512101</v>
      </c>
      <c r="E138" s="0" t="s">
        <v>452</v>
      </c>
      <c r="F138" s="21" t="n">
        <v>37196</v>
      </c>
      <c r="G138" s="21"/>
      <c r="H138" s="21"/>
      <c r="I138" s="21" t="s">
        <v>450</v>
      </c>
      <c r="J138" s="0" t="n">
        <f aca="false">IF(ISNA(VLOOKUP(C138,CNGx,2,FALSE())),"na",(VLOOKUP(C138,CNGx,2,FALSE())))</f>
        <v>0</v>
      </c>
      <c r="K138" s="0" t="n">
        <f aca="false">IF(ISNA(VLOOKUP(C138,CNGx,3,0)),0,VLOOKUP(C138,CNGx,3,FALSE()))</f>
        <v>0</v>
      </c>
      <c r="L138" s="29" t="n">
        <f aca="false">VLOOKUP(I138,Retention,2,FALSE())</f>
        <v>0.0228</v>
      </c>
      <c r="M138" s="30" t="n">
        <f aca="false">IF(OR(I138="TD",I138="TW"),0,J138*0.0228)</f>
        <v>0</v>
      </c>
      <c r="N138" s="30" t="n">
        <f aca="false">IF(OR(I138="TD",I138="TW"),0,K138*0.0228)</f>
        <v>0</v>
      </c>
      <c r="O138" s="30" t="n">
        <f aca="false">J138-ROUND(+$J138*(VLOOKUP($I138,cngded,6,FALSE())),0)</f>
        <v>0</v>
      </c>
      <c r="P138" s="30" t="n">
        <f aca="false">K138-ROUND(+$K138*(VLOOKUP($I138,cngded,6,FALSE())),0)</f>
        <v>0</v>
      </c>
      <c r="Q138" s="23" t="str">
        <f aca="false">IF(ISNA(VLOOKUP(C138,INCNG,1,FALSE())),"--","Y")</f>
        <v>Y</v>
      </c>
      <c r="R138" s="23" t="n">
        <f aca="false">IF(ISNA(VLOOKUP(C138,INCNG,10,FALSE())),0,VLOOKUP(C138,INCNG,10,FALSE()))</f>
        <v>0</v>
      </c>
      <c r="S138" s="0" t="n">
        <f aca="false">+K138-R138</f>
        <v>0</v>
      </c>
      <c r="T138" s="31" t="n">
        <f aca="false">+P138-R138</f>
        <v>0</v>
      </c>
      <c r="U138" s="32" t="n">
        <f aca="false">ROUND(+$K138*(VLOOKUP($I138,Retention,2,FALSE())),0)</f>
        <v>0</v>
      </c>
      <c r="V138" s="32" t="n">
        <f aca="false">ROUND(+$K138*(VLOOKUP($I138,Retention,3,FALSE())),0)</f>
        <v>0</v>
      </c>
      <c r="W138" s="32" t="n">
        <f aca="false">ROUND(+$K138*(VLOOKUP($I138,Retention,4,FALSE())),0)</f>
        <v>0</v>
      </c>
      <c r="X138" s="32" t="n">
        <f aca="false">ROUND(+$K138*(VLOOKUP($I138,Retention,5,FALSE())),0)</f>
        <v>0</v>
      </c>
      <c r="Y138" s="31" t="n">
        <f aca="false">SUM(U138:X138)</f>
        <v>0</v>
      </c>
      <c r="AB138" s="33"/>
      <c r="AC138" s="33"/>
      <c r="AD138" s="0" t="e">
        <f aca="false">VLOOKUP(AB138,INCNG,3,FALSE())</f>
        <v>#N/A</v>
      </c>
    </row>
    <row r="139" customFormat="false" ht="12.75" hidden="false" customHeight="false" outlineLevel="0" collapsed="false">
      <c r="A139" s="0" t="s">
        <v>486</v>
      </c>
      <c r="B139" s="0" t="s">
        <v>273</v>
      </c>
      <c r="C139" s="0" t="s">
        <v>225</v>
      </c>
      <c r="D139" s="0" t="n">
        <v>3513301</v>
      </c>
      <c r="E139" s="0" t="s">
        <v>452</v>
      </c>
      <c r="F139" s="21" t="n">
        <v>37196</v>
      </c>
      <c r="G139" s="21"/>
      <c r="H139" s="21"/>
      <c r="I139" s="21" t="s">
        <v>450</v>
      </c>
      <c r="J139" s="0" t="n">
        <f aca="false">IF(ISNA(VLOOKUP(C139,CNGx,2,FALSE())),"na",(VLOOKUP(C139,CNGx,2,FALSE())))</f>
        <v>286</v>
      </c>
      <c r="K139" s="0" t="n">
        <f aca="false">IF(ISNA(VLOOKUP(C139,CNGx,3,0)),0,VLOOKUP(C139,CNGx,3,FALSE()))</f>
        <v>325</v>
      </c>
      <c r="L139" s="29" t="n">
        <f aca="false">VLOOKUP(I139,Retention,2,FALSE())</f>
        <v>0.0228</v>
      </c>
      <c r="M139" s="30" t="n">
        <f aca="false">IF(OR(I139="TD",I139="TW"),0,J139*0.0228)</f>
        <v>6.5208</v>
      </c>
      <c r="N139" s="30" t="n">
        <f aca="false">IF(OR(I139="TD",I139="TW"),0,K139*0.0228)</f>
        <v>7.41</v>
      </c>
      <c r="O139" s="30" t="n">
        <f aca="false">J139-ROUND(+$J139*(VLOOKUP($I139,cngded,6,FALSE())),0)</f>
        <v>248</v>
      </c>
      <c r="P139" s="30" t="n">
        <f aca="false">K139-ROUND(+$K139*(VLOOKUP($I139,cngded,6,FALSE())),0)</f>
        <v>282</v>
      </c>
      <c r="Q139" s="23" t="str">
        <f aca="false">IF(ISNA(VLOOKUP(C139,INCNG,1,FALSE())),"--","Y")</f>
        <v>Y</v>
      </c>
      <c r="R139" s="23" t="n">
        <f aca="false">IF(ISNA(VLOOKUP(C139,INCNG,10,FALSE())),0,VLOOKUP(C139,INCNG,10,FALSE()))</f>
        <v>248</v>
      </c>
      <c r="S139" s="0" t="n">
        <f aca="false">+K139-R139</f>
        <v>77</v>
      </c>
      <c r="T139" s="31" t="n">
        <f aca="false">+P139-R139</f>
        <v>34</v>
      </c>
      <c r="U139" s="32" t="n">
        <f aca="false">ROUND(+$K139*(VLOOKUP($I139,Retention,2,FALSE())),0)</f>
        <v>7</v>
      </c>
      <c r="V139" s="32" t="n">
        <f aca="false">ROUND(+$K139*(VLOOKUP($I139,Retention,3,FALSE())),0)</f>
        <v>23</v>
      </c>
      <c r="W139" s="32" t="n">
        <f aca="false">ROUND(+$K139*(VLOOKUP($I139,Retention,4,FALSE())),0)</f>
        <v>10</v>
      </c>
      <c r="X139" s="32" t="n">
        <f aca="false">ROUND(+$K139*(VLOOKUP($I139,Retention,5,FALSE())),0)</f>
        <v>3</v>
      </c>
      <c r="Y139" s="31" t="n">
        <f aca="false">SUM(U139:X139)</f>
        <v>43</v>
      </c>
      <c r="AB139" s="33"/>
      <c r="AC139" s="33"/>
      <c r="AD139" s="0" t="e">
        <f aca="false">VLOOKUP(AB139,INCNG,3,FALSE())</f>
        <v>#N/A</v>
      </c>
    </row>
    <row r="140" customFormat="false" ht="12.75" hidden="false" customHeight="false" outlineLevel="0" collapsed="false">
      <c r="A140" s="0" t="s">
        <v>486</v>
      </c>
      <c r="B140" s="0" t="s">
        <v>487</v>
      </c>
      <c r="C140" s="0" t="s">
        <v>409</v>
      </c>
      <c r="D140" s="0" t="n">
        <v>3514402</v>
      </c>
      <c r="E140" s="0" t="s">
        <v>406</v>
      </c>
      <c r="F140" s="21" t="n">
        <v>37196</v>
      </c>
      <c r="G140" s="21"/>
      <c r="H140" s="21"/>
      <c r="I140" s="21" t="s">
        <v>446</v>
      </c>
      <c r="J140" s="0" t="n">
        <f aca="false">IF(ISNA(VLOOKUP(C140,CNGx,2,FALSE())),"na",(VLOOKUP(C140,CNGx,2,FALSE())))</f>
        <v>0</v>
      </c>
      <c r="K140" s="0" t="n">
        <f aca="false">IF(ISNA(VLOOKUP(C140,CNGx,3,0)),0,VLOOKUP(C140,CNGx,3,FALSE()))</f>
        <v>0</v>
      </c>
      <c r="L140" s="29" t="n">
        <f aca="false">VLOOKUP(I140,Retention,2,FALSE())</f>
        <v>0</v>
      </c>
      <c r="M140" s="30" t="n">
        <f aca="false">IF(OR(I140="TD",I140="TW"),0,J140*0.0228)</f>
        <v>0</v>
      </c>
      <c r="N140" s="30" t="n">
        <f aca="false">IF(OR(I140="TD",I140="TW"),0,K140*0.0228)</f>
        <v>0</v>
      </c>
      <c r="O140" s="30" t="n">
        <f aca="false">J140-ROUND(+$J140*(VLOOKUP($I140,cngded,6,FALSE())),0)</f>
        <v>0</v>
      </c>
      <c r="P140" s="30" t="n">
        <f aca="false">K140-ROUND(+$K140*(VLOOKUP($I140,cngded,6,FALSE())),0)</f>
        <v>0</v>
      </c>
      <c r="Q140" s="23" t="str">
        <f aca="false">IF(ISNA(VLOOKUP(C140,INCNG,1,FALSE())),"--","Y")</f>
        <v>Y</v>
      </c>
      <c r="R140" s="23" t="n">
        <f aca="false">IF(ISNA(VLOOKUP(C140,INCNG,10,FALSE())),0,VLOOKUP(C140,INCNG,10,FALSE()))</f>
        <v>0</v>
      </c>
      <c r="S140" s="0" t="n">
        <f aca="false">+K140-R140</f>
        <v>0</v>
      </c>
      <c r="T140" s="31" t="n">
        <f aca="false">+P140-R140</f>
        <v>0</v>
      </c>
      <c r="U140" s="32" t="n">
        <f aca="false">ROUND(+$K140*(VLOOKUP($I140,Retention,2,FALSE())),0)</f>
        <v>0</v>
      </c>
      <c r="V140" s="32" t="n">
        <f aca="false">ROUND(+$K140*(VLOOKUP($I140,Retention,3,FALSE())),0)</f>
        <v>0</v>
      </c>
      <c r="W140" s="32" t="n">
        <f aca="false">ROUND(+$K140*(VLOOKUP($I140,Retention,4,FALSE())),0)</f>
        <v>0</v>
      </c>
      <c r="X140" s="32" t="n">
        <f aca="false">ROUND(+$K140*(VLOOKUP($I140,Retention,5,FALSE())),0)</f>
        <v>0</v>
      </c>
      <c r="Y140" s="31" t="n">
        <f aca="false">SUM(U140:X140)</f>
        <v>0</v>
      </c>
      <c r="AB140" s="33"/>
      <c r="AC140" s="33"/>
      <c r="AD140" s="0" t="e">
        <f aca="false">VLOOKUP(AB140,INCNG,3,FALSE())</f>
        <v>#N/A</v>
      </c>
    </row>
    <row r="141" customFormat="false" ht="12.75" hidden="false" customHeight="false" outlineLevel="0" collapsed="false">
      <c r="A141" s="0" t="s">
        <v>486</v>
      </c>
      <c r="B141" s="0" t="s">
        <v>273</v>
      </c>
      <c r="C141" s="0" t="s">
        <v>12</v>
      </c>
      <c r="D141" s="0" t="n">
        <v>3516301</v>
      </c>
      <c r="E141" s="0" t="s">
        <v>10</v>
      </c>
      <c r="F141" s="21" t="n">
        <v>37196</v>
      </c>
      <c r="G141" s="21"/>
      <c r="H141" s="21"/>
      <c r="I141" s="21" t="s">
        <v>450</v>
      </c>
      <c r="J141" s="0" t="n">
        <f aca="false">IF(ISNA(VLOOKUP(C141,CNGx,2,FALSE())),"na",(VLOOKUP(C141,CNGx,2,FALSE())))</f>
        <v>227</v>
      </c>
      <c r="K141" s="0" t="n">
        <f aca="false">IF(ISNA(VLOOKUP(C141,CNGx,3,0)),0,VLOOKUP(C141,CNGx,3,FALSE()))</f>
        <v>263</v>
      </c>
      <c r="L141" s="29" t="n">
        <f aca="false">VLOOKUP(I141,Retention,2,FALSE())</f>
        <v>0.0228</v>
      </c>
      <c r="M141" s="30" t="n">
        <f aca="false">IF(OR(I141="TD",I141="TW"),0,J141*0.0228)</f>
        <v>5.1756</v>
      </c>
      <c r="N141" s="30" t="n">
        <f aca="false">IF(OR(I141="TD",I141="TW"),0,K141*0.0228)</f>
        <v>5.9964</v>
      </c>
      <c r="O141" s="30" t="n">
        <f aca="false">J141-ROUND(+$J141*(VLOOKUP($I141,cngded,6,FALSE())),0)</f>
        <v>197</v>
      </c>
      <c r="P141" s="30" t="n">
        <f aca="false">K141-ROUND(+$K141*(VLOOKUP($I141,cngded,6,FALSE())),0)</f>
        <v>228</v>
      </c>
      <c r="Q141" s="23" t="str">
        <f aca="false">IF(ISNA(VLOOKUP(C141,INCNG,1,FALSE())),"--","Y")</f>
        <v>Y</v>
      </c>
      <c r="R141" s="23" t="n">
        <f aca="false">IF(ISNA(VLOOKUP(C141,INCNG,10,FALSE())),0,VLOOKUP(C141,INCNG,10,FALSE()))</f>
        <v>197</v>
      </c>
      <c r="S141" s="0" t="n">
        <f aca="false">+K141-R141</f>
        <v>66</v>
      </c>
      <c r="T141" s="31" t="n">
        <f aca="false">+P141-R141</f>
        <v>31</v>
      </c>
      <c r="U141" s="32" t="n">
        <f aca="false">ROUND(+$K141*(VLOOKUP($I141,Retention,2,FALSE())),0)</f>
        <v>6</v>
      </c>
      <c r="V141" s="32" t="n">
        <f aca="false">ROUND(+$K141*(VLOOKUP($I141,Retention,3,FALSE())),0)</f>
        <v>19</v>
      </c>
      <c r="W141" s="32" t="n">
        <f aca="false">ROUND(+$K141*(VLOOKUP($I141,Retention,4,FALSE())),0)</f>
        <v>8</v>
      </c>
      <c r="X141" s="32" t="n">
        <f aca="false">ROUND(+$K141*(VLOOKUP($I141,Retention,5,FALSE())),0)</f>
        <v>2</v>
      </c>
      <c r="Y141" s="31" t="n">
        <f aca="false">SUM(U141:X141)</f>
        <v>35</v>
      </c>
      <c r="AB141" s="33"/>
      <c r="AC141" s="33"/>
      <c r="AD141" s="0" t="e">
        <f aca="false">VLOOKUP(AB141,INCNG,3,FALSE())</f>
        <v>#N/A</v>
      </c>
    </row>
    <row r="142" customFormat="false" ht="12.75" hidden="false" customHeight="false" outlineLevel="0" collapsed="false">
      <c r="A142" s="0" t="s">
        <v>486</v>
      </c>
      <c r="B142" s="0" t="s">
        <v>273</v>
      </c>
      <c r="C142" s="0" t="s">
        <v>13</v>
      </c>
      <c r="D142" s="0" t="n">
        <v>3517001</v>
      </c>
      <c r="E142" s="0" t="s">
        <v>10</v>
      </c>
      <c r="F142" s="21" t="n">
        <v>37196</v>
      </c>
      <c r="G142" s="21"/>
      <c r="H142" s="21"/>
      <c r="I142" s="21" t="s">
        <v>450</v>
      </c>
      <c r="J142" s="0" t="n">
        <f aca="false">IF(ISNA(VLOOKUP(C142,CNGx,2,FALSE())),"na",(VLOOKUP(C142,CNGx,2,FALSE())))</f>
        <v>848</v>
      </c>
      <c r="K142" s="0" t="n">
        <f aca="false">IF(ISNA(VLOOKUP(C142,CNGx,3,0)),0,VLOOKUP(C142,CNGx,3,FALSE()))</f>
        <v>1057</v>
      </c>
      <c r="L142" s="29" t="n">
        <f aca="false">VLOOKUP(I142,Retention,2,FALSE())</f>
        <v>0.0228</v>
      </c>
      <c r="M142" s="30" t="n">
        <f aca="false">IF(OR(I142="TD",I142="TW"),0,J142*0.0228)</f>
        <v>19.3344</v>
      </c>
      <c r="N142" s="30" t="n">
        <f aca="false">IF(OR(I142="TD",I142="TW"),0,K142*0.0228)</f>
        <v>24.0996</v>
      </c>
      <c r="O142" s="30" t="n">
        <f aca="false">J142-ROUND(+$J142*(VLOOKUP($I142,cngded,6,FALSE())),0)</f>
        <v>736</v>
      </c>
      <c r="P142" s="30" t="n">
        <f aca="false">K142-ROUND(+$K142*(VLOOKUP($I142,cngded,6,FALSE())),0)</f>
        <v>917</v>
      </c>
      <c r="Q142" s="23" t="str">
        <f aca="false">IF(ISNA(VLOOKUP(C142,INCNG,1,FALSE())),"--","Y")</f>
        <v>Y</v>
      </c>
      <c r="R142" s="23" t="n">
        <f aca="false">IF(ISNA(VLOOKUP(C142,INCNG,10,FALSE())),0,VLOOKUP(C142,INCNG,10,FALSE()))</f>
        <v>736</v>
      </c>
      <c r="S142" s="0" t="n">
        <f aca="false">+K142-R142</f>
        <v>321</v>
      </c>
      <c r="T142" s="31" t="n">
        <f aca="false">+P142-R142</f>
        <v>181</v>
      </c>
      <c r="U142" s="32" t="n">
        <f aca="false">ROUND(+$K142*(VLOOKUP($I142,Retention,2,FALSE())),0)</f>
        <v>24</v>
      </c>
      <c r="V142" s="32" t="n">
        <f aca="false">ROUND(+$K142*(VLOOKUP($I142,Retention,3,FALSE())),0)</f>
        <v>75</v>
      </c>
      <c r="W142" s="32" t="n">
        <f aca="false">ROUND(+$K142*(VLOOKUP($I142,Retention,4,FALSE())),0)</f>
        <v>32</v>
      </c>
      <c r="X142" s="32" t="n">
        <f aca="false">ROUND(+$K142*(VLOOKUP($I142,Retention,5,FALSE())),0)</f>
        <v>10</v>
      </c>
      <c r="Y142" s="31" t="n">
        <f aca="false">SUM(U142:X142)</f>
        <v>141</v>
      </c>
      <c r="AB142" s="33"/>
      <c r="AC142" s="33"/>
      <c r="AD142" s="0" t="e">
        <f aca="false">VLOOKUP(AB142,INCNG,3,FALSE())</f>
        <v>#N/A</v>
      </c>
    </row>
    <row r="143" customFormat="false" ht="12.75" hidden="false" customHeight="false" outlineLevel="0" collapsed="false">
      <c r="A143" s="0" t="s">
        <v>486</v>
      </c>
      <c r="B143" s="0" t="s">
        <v>273</v>
      </c>
      <c r="C143" s="0" t="s">
        <v>14</v>
      </c>
      <c r="D143" s="0" t="n">
        <v>3522201</v>
      </c>
      <c r="E143" s="0" t="s">
        <v>10</v>
      </c>
      <c r="F143" s="21" t="n">
        <v>37196</v>
      </c>
      <c r="G143" s="21"/>
      <c r="H143" s="21"/>
      <c r="I143" s="21" t="s">
        <v>450</v>
      </c>
      <c r="J143" s="0" t="n">
        <f aca="false">IF(ISNA(VLOOKUP(C143,CNGx,2,FALSE())),"na",(VLOOKUP(C143,CNGx,2,FALSE())))</f>
        <v>285</v>
      </c>
      <c r="K143" s="0" t="n">
        <f aca="false">IF(ISNA(VLOOKUP(C143,CNGx,3,0)),0,VLOOKUP(C143,CNGx,3,FALSE()))</f>
        <v>349</v>
      </c>
      <c r="L143" s="29" t="n">
        <f aca="false">VLOOKUP(I143,Retention,2,FALSE())</f>
        <v>0.0228</v>
      </c>
      <c r="M143" s="30" t="n">
        <f aca="false">IF(OR(I143="TD",I143="TW"),0,J143*0.0228)</f>
        <v>6.498</v>
      </c>
      <c r="N143" s="30" t="n">
        <f aca="false">IF(OR(I143="TD",I143="TW"),0,K143*0.0228)</f>
        <v>7.9572</v>
      </c>
      <c r="O143" s="30" t="n">
        <f aca="false">J143-ROUND(+$J143*(VLOOKUP($I143,cngded,6,FALSE())),0)</f>
        <v>247</v>
      </c>
      <c r="P143" s="30" t="n">
        <f aca="false">K143-ROUND(+$K143*(VLOOKUP($I143,cngded,6,FALSE())),0)</f>
        <v>303</v>
      </c>
      <c r="Q143" s="23" t="str">
        <f aca="false">IF(ISNA(VLOOKUP(C143,INCNG,1,FALSE())),"--","Y")</f>
        <v>Y</v>
      </c>
      <c r="R143" s="23" t="n">
        <f aca="false">IF(ISNA(VLOOKUP(C143,INCNG,10,FALSE())),0,VLOOKUP(C143,INCNG,10,FALSE()))</f>
        <v>247</v>
      </c>
      <c r="S143" s="0" t="n">
        <f aca="false">+K143-R143</f>
        <v>102</v>
      </c>
      <c r="T143" s="31" t="n">
        <f aca="false">+P143-R143</f>
        <v>56</v>
      </c>
      <c r="U143" s="32" t="n">
        <f aca="false">ROUND(+$K143*(VLOOKUP($I143,Retention,2,FALSE())),0)</f>
        <v>8</v>
      </c>
      <c r="V143" s="32" t="n">
        <f aca="false">ROUND(+$K143*(VLOOKUP($I143,Retention,3,FALSE())),0)</f>
        <v>25</v>
      </c>
      <c r="W143" s="32" t="n">
        <f aca="false">ROUND(+$K143*(VLOOKUP($I143,Retention,4,FALSE())),0)</f>
        <v>10</v>
      </c>
      <c r="X143" s="32" t="n">
        <f aca="false">ROUND(+$K143*(VLOOKUP($I143,Retention,5,FALSE())),0)</f>
        <v>3</v>
      </c>
      <c r="Y143" s="31" t="n">
        <f aca="false">SUM(U143:X143)</f>
        <v>46</v>
      </c>
      <c r="AB143" s="33"/>
      <c r="AC143" s="33"/>
      <c r="AD143" s="0" t="e">
        <f aca="false">VLOOKUP(AB143,INCNG,3,FALSE())</f>
        <v>#N/A</v>
      </c>
    </row>
    <row r="144" customFormat="false" ht="12.75" hidden="false" customHeight="false" outlineLevel="0" collapsed="false">
      <c r="A144" s="0" t="s">
        <v>486</v>
      </c>
      <c r="B144" s="0" t="s">
        <v>273</v>
      </c>
      <c r="C144" s="0" t="s">
        <v>15</v>
      </c>
      <c r="D144" s="0" t="n">
        <v>3522901</v>
      </c>
      <c r="E144" s="0" t="s">
        <v>10</v>
      </c>
      <c r="F144" s="21" t="n">
        <v>37196</v>
      </c>
      <c r="G144" s="21"/>
      <c r="H144" s="21"/>
      <c r="I144" s="21" t="s">
        <v>450</v>
      </c>
      <c r="J144" s="0" t="n">
        <f aca="false">IF(ISNA(VLOOKUP(C144,CNGx,2,FALSE())),"na",(VLOOKUP(C144,CNGx,2,FALSE())))</f>
        <v>454</v>
      </c>
      <c r="K144" s="0" t="n">
        <f aca="false">IF(ISNA(VLOOKUP(C144,CNGx,3,0)),0,VLOOKUP(C144,CNGx,3,FALSE()))</f>
        <v>574</v>
      </c>
      <c r="L144" s="29" t="n">
        <f aca="false">VLOOKUP(I144,Retention,2,FALSE())</f>
        <v>0.0228</v>
      </c>
      <c r="M144" s="30" t="n">
        <f aca="false">IF(OR(I144="TD",I144="TW"),0,J144*0.0228)</f>
        <v>10.3512</v>
      </c>
      <c r="N144" s="30" t="n">
        <f aca="false">IF(OR(I144="TD",I144="TW"),0,K144*0.0228)</f>
        <v>13.0872</v>
      </c>
      <c r="O144" s="30" t="n">
        <f aca="false">J144-ROUND(+$J144*(VLOOKUP($I144,cngded,6,FALSE())),0)</f>
        <v>394</v>
      </c>
      <c r="P144" s="30" t="n">
        <f aca="false">K144-ROUND(+$K144*(VLOOKUP($I144,cngded,6,FALSE())),0)</f>
        <v>498</v>
      </c>
      <c r="Q144" s="23" t="str">
        <f aca="false">IF(ISNA(VLOOKUP(C144,INCNG,1,FALSE())),"--","Y")</f>
        <v>Y</v>
      </c>
      <c r="R144" s="23" t="n">
        <f aca="false">IF(ISNA(VLOOKUP(C144,INCNG,10,FALSE())),0,VLOOKUP(C144,INCNG,10,FALSE()))</f>
        <v>394</v>
      </c>
      <c r="S144" s="0" t="n">
        <f aca="false">+K144-R144</f>
        <v>180</v>
      </c>
      <c r="T144" s="31" t="n">
        <f aca="false">+P144-R144</f>
        <v>104</v>
      </c>
      <c r="U144" s="32" t="n">
        <f aca="false">ROUND(+$K144*(VLOOKUP($I144,Retention,2,FALSE())),0)</f>
        <v>13</v>
      </c>
      <c r="V144" s="32" t="n">
        <f aca="false">ROUND(+$K144*(VLOOKUP($I144,Retention,3,FALSE())),0)</f>
        <v>41</v>
      </c>
      <c r="W144" s="32" t="n">
        <f aca="false">ROUND(+$K144*(VLOOKUP($I144,Retention,4,FALSE())),0)</f>
        <v>17</v>
      </c>
      <c r="X144" s="32" t="n">
        <f aca="false">ROUND(+$K144*(VLOOKUP($I144,Retention,5,FALSE())),0)</f>
        <v>5</v>
      </c>
      <c r="Y144" s="31" t="n">
        <f aca="false">SUM(U144:X144)</f>
        <v>76</v>
      </c>
      <c r="AB144" s="33"/>
      <c r="AC144" s="33"/>
      <c r="AD144" s="0" t="e">
        <f aca="false">VLOOKUP(AB144,INCNG,3,FALSE())</f>
        <v>#N/A</v>
      </c>
    </row>
    <row r="145" customFormat="false" ht="12.75" hidden="false" customHeight="false" outlineLevel="0" collapsed="false">
      <c r="A145" s="0" t="s">
        <v>486</v>
      </c>
      <c r="B145" s="0" t="s">
        <v>273</v>
      </c>
      <c r="C145" s="0" t="s">
        <v>226</v>
      </c>
      <c r="D145" s="0" t="n">
        <v>3524201</v>
      </c>
      <c r="E145" s="0" t="s">
        <v>452</v>
      </c>
      <c r="F145" s="21" t="n">
        <v>37196</v>
      </c>
      <c r="G145" s="21"/>
      <c r="H145" s="21"/>
      <c r="I145" s="21" t="s">
        <v>450</v>
      </c>
      <c r="J145" s="0" t="n">
        <f aca="false">IF(ISNA(VLOOKUP(C145,CNGx,2,FALSE())),"na",(VLOOKUP(C145,CNGx,2,FALSE())))</f>
        <v>57</v>
      </c>
      <c r="K145" s="0" t="n">
        <f aca="false">IF(ISNA(VLOOKUP(C145,CNGx,3,0)),0,VLOOKUP(C145,CNGx,3,FALSE()))</f>
        <v>66</v>
      </c>
      <c r="L145" s="29" t="n">
        <f aca="false">VLOOKUP(I145,Retention,2,FALSE())</f>
        <v>0.0228</v>
      </c>
      <c r="M145" s="30" t="n">
        <f aca="false">IF(OR(I145="TD",I145="TW"),0,J145*0.0228)</f>
        <v>1.2996</v>
      </c>
      <c r="N145" s="30" t="n">
        <f aca="false">IF(OR(I145="TD",I145="TW"),0,K145*0.0228)</f>
        <v>1.5048</v>
      </c>
      <c r="O145" s="30" t="n">
        <f aca="false">J145-ROUND(+$J145*(VLOOKUP($I145,cngded,6,FALSE())),0)</f>
        <v>49</v>
      </c>
      <c r="P145" s="30" t="n">
        <f aca="false">K145-ROUND(+$K145*(VLOOKUP($I145,cngded,6,FALSE())),0)</f>
        <v>57</v>
      </c>
      <c r="Q145" s="23" t="str">
        <f aca="false">IF(ISNA(VLOOKUP(C145,INCNG,1,FALSE())),"--","Y")</f>
        <v>Y</v>
      </c>
      <c r="R145" s="23" t="n">
        <f aca="false">IF(ISNA(VLOOKUP(C145,INCNG,10,FALSE())),0,VLOOKUP(C145,INCNG,10,FALSE()))</f>
        <v>49</v>
      </c>
      <c r="S145" s="0" t="n">
        <f aca="false">+K145-R145</f>
        <v>17</v>
      </c>
      <c r="T145" s="31" t="n">
        <f aca="false">+P145-R145</f>
        <v>8</v>
      </c>
      <c r="U145" s="32" t="n">
        <f aca="false">ROUND(+$K145*(VLOOKUP($I145,Retention,2,FALSE())),0)</f>
        <v>2</v>
      </c>
      <c r="V145" s="32" t="n">
        <f aca="false">ROUND(+$K145*(VLOOKUP($I145,Retention,3,FALSE())),0)</f>
        <v>5</v>
      </c>
      <c r="W145" s="32" t="n">
        <f aca="false">ROUND(+$K145*(VLOOKUP($I145,Retention,4,FALSE())),0)</f>
        <v>2</v>
      </c>
      <c r="X145" s="32" t="n">
        <f aca="false">ROUND(+$K145*(VLOOKUP($I145,Retention,5,FALSE())),0)</f>
        <v>1</v>
      </c>
      <c r="Y145" s="31" t="n">
        <f aca="false">SUM(U145:X145)</f>
        <v>10</v>
      </c>
      <c r="AB145" s="33"/>
      <c r="AC145" s="33"/>
      <c r="AD145" s="0" t="e">
        <f aca="false">VLOOKUP(AB145,INCNG,3,FALSE())</f>
        <v>#N/A</v>
      </c>
    </row>
    <row r="146" customFormat="false" ht="12.75" hidden="false" customHeight="false" outlineLevel="0" collapsed="false">
      <c r="A146" s="0" t="s">
        <v>486</v>
      </c>
      <c r="B146" s="0" t="s">
        <v>136</v>
      </c>
      <c r="C146" s="0" t="s">
        <v>228</v>
      </c>
      <c r="D146" s="0" t="n">
        <v>3525501</v>
      </c>
      <c r="E146" s="0" t="s">
        <v>452</v>
      </c>
      <c r="F146" s="21" t="n">
        <v>37196</v>
      </c>
      <c r="G146" s="21"/>
      <c r="H146" s="21"/>
      <c r="I146" s="21" t="s">
        <v>451</v>
      </c>
      <c r="J146" s="0" t="n">
        <f aca="false">IF(ISNA(VLOOKUP(C146,CNGx,2,FALSE())),"na",(VLOOKUP(C146,CNGx,2,FALSE())))</f>
        <v>235</v>
      </c>
      <c r="K146" s="0" t="n">
        <f aca="false">IF(ISNA(VLOOKUP(C146,CNGx,3,0)),0,VLOOKUP(C146,CNGx,3,FALSE()))</f>
        <v>340</v>
      </c>
      <c r="L146" s="29" t="n">
        <f aca="false">VLOOKUP(I146,Retention,2,FALSE())</f>
        <v>0.0228</v>
      </c>
      <c r="M146" s="30" t="n">
        <f aca="false">IF(OR(I146="TD",I146="TW"),0,J146*0.0228)</f>
        <v>5.358</v>
      </c>
      <c r="N146" s="30" t="n">
        <f aca="false">IF(OR(I146="TD",I146="TW"),0,K146*0.0228)</f>
        <v>7.752</v>
      </c>
      <c r="O146" s="30" t="n">
        <f aca="false">J146-ROUND(+$J146*(VLOOKUP($I146,cngded,6,FALSE())),0)</f>
        <v>213</v>
      </c>
      <c r="P146" s="30" t="n">
        <f aca="false">K146-ROUND(+$K146*(VLOOKUP($I146,cngded,6,FALSE())),0)</f>
        <v>308</v>
      </c>
      <c r="Q146" s="23" t="str">
        <f aca="false">IF(ISNA(VLOOKUP(C146,INCNG,1,FALSE())),"--","Y")</f>
        <v>Y</v>
      </c>
      <c r="R146" s="23" t="n">
        <f aca="false">IF(ISNA(VLOOKUP(C146,INCNG,10,FALSE())),0,VLOOKUP(C146,INCNG,10,FALSE()))</f>
        <v>213</v>
      </c>
      <c r="S146" s="0" t="n">
        <f aca="false">+K146-R146</f>
        <v>127</v>
      </c>
      <c r="T146" s="31" t="n">
        <f aca="false">+P146-R146</f>
        <v>95</v>
      </c>
      <c r="U146" s="32" t="n">
        <f aca="false">ROUND(+$K146*(VLOOKUP($I146,Retention,2,FALSE())),0)</f>
        <v>8</v>
      </c>
      <c r="V146" s="32" t="n">
        <f aca="false">ROUND(+$K146*(VLOOKUP($I146,Retention,3,FALSE())),0)</f>
        <v>24</v>
      </c>
      <c r="W146" s="32" t="n">
        <f aca="false">ROUND(+$K146*(VLOOKUP($I146,Retention,4,FALSE())),0)</f>
        <v>0</v>
      </c>
      <c r="X146" s="32" t="n">
        <f aca="false">ROUND(+$K146*(VLOOKUP($I146,Retention,5,FALSE())),0)</f>
        <v>0</v>
      </c>
      <c r="Y146" s="31" t="n">
        <f aca="false">SUM(U146:X146)</f>
        <v>32</v>
      </c>
      <c r="AB146" s="33"/>
      <c r="AC146" s="33"/>
      <c r="AD146" s="0" t="e">
        <f aca="false">VLOOKUP(AB146,INCNG,3,FALSE())</f>
        <v>#N/A</v>
      </c>
    </row>
    <row r="147" customFormat="false" ht="12.75" hidden="false" customHeight="false" outlineLevel="0" collapsed="false">
      <c r="A147" s="0" t="s">
        <v>486</v>
      </c>
      <c r="B147" s="0" t="s">
        <v>273</v>
      </c>
      <c r="C147" s="0" t="s">
        <v>229</v>
      </c>
      <c r="D147" s="0" t="n">
        <v>3526101</v>
      </c>
      <c r="E147" s="0" t="s">
        <v>452</v>
      </c>
      <c r="F147" s="21" t="n">
        <v>37196</v>
      </c>
      <c r="G147" s="21"/>
      <c r="H147" s="21"/>
      <c r="I147" s="21" t="s">
        <v>450</v>
      </c>
      <c r="J147" s="0" t="n">
        <f aca="false">IF(ISNA(VLOOKUP(C147,CNGx,2,FALSE())),"na",(VLOOKUP(C147,CNGx,2,FALSE())))</f>
        <v>267</v>
      </c>
      <c r="K147" s="0" t="n">
        <f aca="false">IF(ISNA(VLOOKUP(C147,CNGx,3,0)),0,VLOOKUP(C147,CNGx,3,FALSE()))</f>
        <v>306</v>
      </c>
      <c r="L147" s="29" t="n">
        <f aca="false">VLOOKUP(I147,Retention,2,FALSE())</f>
        <v>0.0228</v>
      </c>
      <c r="M147" s="30" t="n">
        <f aca="false">IF(OR(I147="TD",I147="TW"),0,J147*0.0228)</f>
        <v>6.0876</v>
      </c>
      <c r="N147" s="30" t="n">
        <f aca="false">IF(OR(I147="TD",I147="TW"),0,K147*0.0228)</f>
        <v>6.9768</v>
      </c>
      <c r="O147" s="30" t="n">
        <f aca="false">J147-ROUND(+$J147*(VLOOKUP($I147,cngded,6,FALSE())),0)</f>
        <v>232</v>
      </c>
      <c r="P147" s="30" t="n">
        <f aca="false">K147-ROUND(+$K147*(VLOOKUP($I147,cngded,6,FALSE())),0)</f>
        <v>265</v>
      </c>
      <c r="Q147" s="23" t="str">
        <f aca="false">IF(ISNA(VLOOKUP(C147,INCNG,1,FALSE())),"--","Y")</f>
        <v>Y</v>
      </c>
      <c r="R147" s="23" t="n">
        <f aca="false">IF(ISNA(VLOOKUP(C147,INCNG,10,FALSE())),0,VLOOKUP(C147,INCNG,10,FALSE()))</f>
        <v>232</v>
      </c>
      <c r="S147" s="0" t="n">
        <f aca="false">+K147-R147</f>
        <v>74</v>
      </c>
      <c r="T147" s="31" t="n">
        <f aca="false">+P147-R147</f>
        <v>33</v>
      </c>
      <c r="U147" s="32" t="n">
        <f aca="false">ROUND(+$K147*(VLOOKUP($I147,Retention,2,FALSE())),0)</f>
        <v>7</v>
      </c>
      <c r="V147" s="32" t="n">
        <f aca="false">ROUND(+$K147*(VLOOKUP($I147,Retention,3,FALSE())),0)</f>
        <v>22</v>
      </c>
      <c r="W147" s="32" t="n">
        <f aca="false">ROUND(+$K147*(VLOOKUP($I147,Retention,4,FALSE())),0)</f>
        <v>9</v>
      </c>
      <c r="X147" s="32" t="n">
        <f aca="false">ROUND(+$K147*(VLOOKUP($I147,Retention,5,FALSE())),0)</f>
        <v>3</v>
      </c>
      <c r="Y147" s="31" t="n">
        <f aca="false">SUM(U147:X147)</f>
        <v>41</v>
      </c>
      <c r="AB147" s="33"/>
      <c r="AC147" s="33"/>
      <c r="AD147" s="0" t="e">
        <f aca="false">VLOOKUP(AB147,INCNG,3,FALSE())</f>
        <v>#N/A</v>
      </c>
    </row>
    <row r="148" customFormat="false" ht="12.75" hidden="false" customHeight="false" outlineLevel="0" collapsed="false">
      <c r="A148" s="0" t="s">
        <v>486</v>
      </c>
      <c r="B148" s="0" t="s">
        <v>273</v>
      </c>
      <c r="C148" s="0" t="s">
        <v>16</v>
      </c>
      <c r="D148" s="0" t="n">
        <v>3528901</v>
      </c>
      <c r="E148" s="0" t="s">
        <v>10</v>
      </c>
      <c r="F148" s="21" t="n">
        <v>37196</v>
      </c>
      <c r="G148" s="21"/>
      <c r="H148" s="21"/>
      <c r="I148" s="21" t="s">
        <v>450</v>
      </c>
      <c r="J148" s="0" t="n">
        <f aca="false">IF(ISNA(VLOOKUP(C148,CNGx,2,FALSE())),"na",(VLOOKUP(C148,CNGx,2,FALSE())))</f>
        <v>1561</v>
      </c>
      <c r="K148" s="0" t="n">
        <f aca="false">IF(ISNA(VLOOKUP(C148,CNGx,3,0)),0,VLOOKUP(C148,CNGx,3,FALSE()))</f>
        <v>1995</v>
      </c>
      <c r="L148" s="29" t="n">
        <f aca="false">VLOOKUP(I148,Retention,2,FALSE())</f>
        <v>0.0228</v>
      </c>
      <c r="M148" s="30" t="n">
        <f aca="false">IF(OR(I148="TD",I148="TW"),0,J148*0.0228)</f>
        <v>35.5908</v>
      </c>
      <c r="N148" s="30" t="n">
        <f aca="false">IF(OR(I148="TD",I148="TW"),0,K148*0.0228)</f>
        <v>45.486</v>
      </c>
      <c r="O148" s="30" t="n">
        <f aca="false">J148-ROUND(+$J148*(VLOOKUP($I148,cngded,6,FALSE())),0)</f>
        <v>1354</v>
      </c>
      <c r="P148" s="30" t="n">
        <f aca="false">K148-ROUND(+$K148*(VLOOKUP($I148,cngded,6,FALSE())),0)</f>
        <v>1731</v>
      </c>
      <c r="Q148" s="23" t="str">
        <f aca="false">IF(ISNA(VLOOKUP(C148,INCNG,1,FALSE())),"--","Y")</f>
        <v>Y</v>
      </c>
      <c r="R148" s="23" t="n">
        <f aca="false">IF(ISNA(VLOOKUP(C148,INCNG,10,FALSE())),0,VLOOKUP(C148,INCNG,10,FALSE()))</f>
        <v>1354</v>
      </c>
      <c r="S148" s="0" t="n">
        <f aca="false">+K148-R148</f>
        <v>641</v>
      </c>
      <c r="T148" s="31" t="n">
        <f aca="false">+P148-R148</f>
        <v>377</v>
      </c>
      <c r="U148" s="32" t="n">
        <f aca="false">ROUND(+$K148*(VLOOKUP($I148,Retention,2,FALSE())),0)</f>
        <v>45</v>
      </c>
      <c r="V148" s="32" t="n">
        <f aca="false">ROUND(+$K148*(VLOOKUP($I148,Retention,3,FALSE())),0)</f>
        <v>141</v>
      </c>
      <c r="W148" s="32" t="n">
        <f aca="false">ROUND(+$K148*(VLOOKUP($I148,Retention,4,FALSE())),0)</f>
        <v>60</v>
      </c>
      <c r="X148" s="32" t="n">
        <f aca="false">ROUND(+$K148*(VLOOKUP($I148,Retention,5,FALSE())),0)</f>
        <v>18</v>
      </c>
      <c r="Y148" s="31" t="n">
        <f aca="false">SUM(U148:X148)</f>
        <v>264</v>
      </c>
      <c r="AB148" s="33"/>
      <c r="AC148" s="33"/>
      <c r="AD148" s="0" t="e">
        <f aca="false">VLOOKUP(AB148,INCNG,3,FALSE())</f>
        <v>#N/A</v>
      </c>
    </row>
    <row r="149" customFormat="false" ht="12.75" hidden="false" customHeight="false" outlineLevel="0" collapsed="false">
      <c r="A149" s="0" t="s">
        <v>486</v>
      </c>
      <c r="B149" s="0" t="s">
        <v>273</v>
      </c>
      <c r="C149" s="0" t="s">
        <v>17</v>
      </c>
      <c r="D149" s="0" t="n">
        <v>3529001</v>
      </c>
      <c r="E149" s="0" t="s">
        <v>10</v>
      </c>
      <c r="F149" s="21" t="n">
        <v>37196</v>
      </c>
      <c r="G149" s="21"/>
      <c r="H149" s="21"/>
      <c r="I149" s="21" t="s">
        <v>450</v>
      </c>
      <c r="J149" s="0" t="n">
        <f aca="false">IF(ISNA(VLOOKUP(C149,CNGx,2,FALSE())),"na",(VLOOKUP(C149,CNGx,2,FALSE())))</f>
        <v>291</v>
      </c>
      <c r="K149" s="0" t="n">
        <f aca="false">IF(ISNA(VLOOKUP(C149,CNGx,3,0)),0,VLOOKUP(C149,CNGx,3,FALSE()))</f>
        <v>358</v>
      </c>
      <c r="L149" s="29" t="n">
        <f aca="false">VLOOKUP(I149,Retention,2,FALSE())</f>
        <v>0.0228</v>
      </c>
      <c r="M149" s="30" t="n">
        <f aca="false">IF(OR(I149="TD",I149="TW"),0,J149*0.0228)</f>
        <v>6.6348</v>
      </c>
      <c r="N149" s="30" t="n">
        <f aca="false">IF(OR(I149="TD",I149="TW"),0,K149*0.0228)</f>
        <v>8.1624</v>
      </c>
      <c r="O149" s="30" t="n">
        <f aca="false">J149-ROUND(+$J149*(VLOOKUP($I149,cngded,6,FALSE())),0)</f>
        <v>252</v>
      </c>
      <c r="P149" s="30" t="n">
        <f aca="false">K149-ROUND(+$K149*(VLOOKUP($I149,cngded,6,FALSE())),0)</f>
        <v>311</v>
      </c>
      <c r="Q149" s="23" t="str">
        <f aca="false">IF(ISNA(VLOOKUP(C149,INCNG,1,FALSE())),"--","Y")</f>
        <v>Y</v>
      </c>
      <c r="R149" s="23" t="n">
        <f aca="false">IF(ISNA(VLOOKUP(C149,INCNG,10,FALSE())),0,VLOOKUP(C149,INCNG,10,FALSE()))</f>
        <v>252</v>
      </c>
      <c r="S149" s="0" t="n">
        <f aca="false">+K149-R149</f>
        <v>106</v>
      </c>
      <c r="T149" s="31" t="n">
        <f aca="false">+P149-R149</f>
        <v>59</v>
      </c>
      <c r="U149" s="32" t="n">
        <f aca="false">ROUND(+$K149*(VLOOKUP($I149,Retention,2,FALSE())),0)</f>
        <v>8</v>
      </c>
      <c r="V149" s="32" t="n">
        <f aca="false">ROUND(+$K149*(VLOOKUP($I149,Retention,3,FALSE())),0)</f>
        <v>25</v>
      </c>
      <c r="W149" s="32" t="n">
        <f aca="false">ROUND(+$K149*(VLOOKUP($I149,Retention,4,FALSE())),0)</f>
        <v>11</v>
      </c>
      <c r="X149" s="32" t="n">
        <f aca="false">ROUND(+$K149*(VLOOKUP($I149,Retention,5,FALSE())),0)</f>
        <v>3</v>
      </c>
      <c r="Y149" s="31" t="n">
        <f aca="false">SUM(U149:X149)</f>
        <v>47</v>
      </c>
      <c r="AB149" s="33"/>
      <c r="AC149" s="33"/>
      <c r="AD149" s="0" t="e">
        <f aca="false">VLOOKUP(AB149,INCNG,3,FALSE())</f>
        <v>#N/A</v>
      </c>
    </row>
    <row r="150" customFormat="false" ht="12.75" hidden="false" customHeight="false" outlineLevel="0" collapsed="false">
      <c r="A150" s="0" t="s">
        <v>486</v>
      </c>
      <c r="B150" s="0" t="s">
        <v>273</v>
      </c>
      <c r="C150" s="0" t="s">
        <v>18</v>
      </c>
      <c r="D150" s="0" t="n">
        <v>3529101</v>
      </c>
      <c r="E150" s="0" t="s">
        <v>10</v>
      </c>
      <c r="F150" s="21" t="n">
        <v>37196</v>
      </c>
      <c r="G150" s="21"/>
      <c r="H150" s="21"/>
      <c r="I150" s="21" t="s">
        <v>450</v>
      </c>
      <c r="J150" s="0" t="n">
        <f aca="false">IF(ISNA(VLOOKUP(C150,CNGx,2,FALSE())),"na",(VLOOKUP(C150,CNGx,2,FALSE())))</f>
        <v>356</v>
      </c>
      <c r="K150" s="0" t="n">
        <f aca="false">IF(ISNA(VLOOKUP(C150,CNGx,3,0)),0,VLOOKUP(C150,CNGx,3,FALSE()))</f>
        <v>441</v>
      </c>
      <c r="L150" s="29" t="n">
        <f aca="false">VLOOKUP(I150,Retention,2,FALSE())</f>
        <v>0.0228</v>
      </c>
      <c r="M150" s="30" t="n">
        <f aca="false">IF(OR(I150="TD",I150="TW"),0,J150*0.0228)</f>
        <v>8.1168</v>
      </c>
      <c r="N150" s="30" t="n">
        <f aca="false">IF(OR(I150="TD",I150="TW"),0,K150*0.0228)</f>
        <v>10.0548</v>
      </c>
      <c r="O150" s="30" t="n">
        <f aca="false">J150-ROUND(+$J150*(VLOOKUP($I150,cngded,6,FALSE())),0)</f>
        <v>309</v>
      </c>
      <c r="P150" s="30" t="n">
        <f aca="false">K150-ROUND(+$K150*(VLOOKUP($I150,cngded,6,FALSE())),0)</f>
        <v>383</v>
      </c>
      <c r="Q150" s="23" t="str">
        <f aca="false">IF(ISNA(VLOOKUP(C150,INCNG,1,FALSE())),"--","Y")</f>
        <v>Y</v>
      </c>
      <c r="R150" s="23" t="n">
        <f aca="false">IF(ISNA(VLOOKUP(C150,INCNG,10,FALSE())),0,VLOOKUP(C150,INCNG,10,FALSE()))</f>
        <v>309</v>
      </c>
      <c r="S150" s="0" t="n">
        <f aca="false">+K150-R150</f>
        <v>132</v>
      </c>
      <c r="T150" s="31" t="n">
        <f aca="false">+P150-R150</f>
        <v>74</v>
      </c>
      <c r="U150" s="32" t="n">
        <f aca="false">ROUND(+$K150*(VLOOKUP($I150,Retention,2,FALSE())),0)</f>
        <v>10</v>
      </c>
      <c r="V150" s="32" t="n">
        <f aca="false">ROUND(+$K150*(VLOOKUP($I150,Retention,3,FALSE())),0)</f>
        <v>31</v>
      </c>
      <c r="W150" s="32" t="n">
        <f aca="false">ROUND(+$K150*(VLOOKUP($I150,Retention,4,FALSE())),0)</f>
        <v>13</v>
      </c>
      <c r="X150" s="32" t="n">
        <f aca="false">ROUND(+$K150*(VLOOKUP($I150,Retention,5,FALSE())),0)</f>
        <v>4</v>
      </c>
      <c r="Y150" s="31" t="n">
        <f aca="false">SUM(U150:X150)</f>
        <v>58</v>
      </c>
      <c r="AB150" s="33"/>
      <c r="AC150" s="33"/>
      <c r="AD150" s="0" t="e">
        <f aca="false">VLOOKUP(AB150,INCNG,3,FALSE())</f>
        <v>#N/A</v>
      </c>
    </row>
    <row r="151" customFormat="false" ht="12.75" hidden="false" customHeight="false" outlineLevel="0" collapsed="false">
      <c r="A151" s="0" t="s">
        <v>486</v>
      </c>
      <c r="B151" s="0" t="s">
        <v>273</v>
      </c>
      <c r="C151" s="0" t="s">
        <v>19</v>
      </c>
      <c r="D151" s="0" t="n">
        <v>3532301</v>
      </c>
      <c r="E151" s="0" t="s">
        <v>10</v>
      </c>
      <c r="F151" s="21" t="n">
        <v>37196</v>
      </c>
      <c r="G151" s="21"/>
      <c r="H151" s="21"/>
      <c r="I151" s="21" t="s">
        <v>450</v>
      </c>
      <c r="J151" s="0" t="n">
        <f aca="false">IF(ISNA(VLOOKUP(C151,CNGx,2,FALSE())),"na",(VLOOKUP(C151,CNGx,2,FALSE())))</f>
        <v>906</v>
      </c>
      <c r="K151" s="0" t="n">
        <f aca="false">IF(ISNA(VLOOKUP(C151,CNGx,3,0)),0,VLOOKUP(C151,CNGx,3,FALSE()))</f>
        <v>1123</v>
      </c>
      <c r="L151" s="29" t="n">
        <f aca="false">VLOOKUP(I151,Retention,2,FALSE())</f>
        <v>0.0228</v>
      </c>
      <c r="M151" s="30" t="n">
        <f aca="false">IF(OR(I151="TD",I151="TW"),0,J151*0.0228)</f>
        <v>20.6568</v>
      </c>
      <c r="N151" s="30" t="n">
        <f aca="false">IF(OR(I151="TD",I151="TW"),0,K151*0.0228)</f>
        <v>25.6044</v>
      </c>
      <c r="O151" s="30" t="n">
        <f aca="false">J151-ROUND(+$J151*(VLOOKUP($I151,cngded,6,FALSE())),0)</f>
        <v>786</v>
      </c>
      <c r="P151" s="30" t="n">
        <f aca="false">K151-ROUND(+$K151*(VLOOKUP($I151,cngded,6,FALSE())),0)</f>
        <v>974</v>
      </c>
      <c r="Q151" s="23" t="str">
        <f aca="false">IF(ISNA(VLOOKUP(C151,INCNG,1,FALSE())),"--","Y")</f>
        <v>Y</v>
      </c>
      <c r="R151" s="23" t="n">
        <f aca="false">IF(ISNA(VLOOKUP(C151,INCNG,10,FALSE())),0,VLOOKUP(C151,INCNG,10,FALSE()))</f>
        <v>786</v>
      </c>
      <c r="S151" s="0" t="n">
        <f aca="false">+K151-R151</f>
        <v>337</v>
      </c>
      <c r="T151" s="31" t="n">
        <f aca="false">+P151-R151</f>
        <v>188</v>
      </c>
      <c r="U151" s="32" t="n">
        <f aca="false">ROUND(+$K151*(VLOOKUP($I151,Retention,2,FALSE())),0)</f>
        <v>26</v>
      </c>
      <c r="V151" s="32" t="n">
        <f aca="false">ROUND(+$K151*(VLOOKUP($I151,Retention,3,FALSE())),0)</f>
        <v>79</v>
      </c>
      <c r="W151" s="32" t="n">
        <f aca="false">ROUND(+$K151*(VLOOKUP($I151,Retention,4,FALSE())),0)</f>
        <v>34</v>
      </c>
      <c r="X151" s="32" t="n">
        <f aca="false">ROUND(+$K151*(VLOOKUP($I151,Retention,5,FALSE())),0)</f>
        <v>10</v>
      </c>
      <c r="Y151" s="31" t="n">
        <f aca="false">SUM(U151:X151)</f>
        <v>149</v>
      </c>
      <c r="AB151" s="33"/>
      <c r="AC151" s="33"/>
      <c r="AD151" s="0" t="e">
        <f aca="false">VLOOKUP(AB151,INCNG,3,FALSE())</f>
        <v>#N/A</v>
      </c>
    </row>
    <row r="152" customFormat="false" ht="12.75" hidden="false" customHeight="false" outlineLevel="0" collapsed="false">
      <c r="A152" s="0" t="s">
        <v>486</v>
      </c>
      <c r="B152" s="0" t="s">
        <v>273</v>
      </c>
      <c r="C152" s="0" t="s">
        <v>378</v>
      </c>
      <c r="D152" s="0" t="n">
        <v>3533901</v>
      </c>
      <c r="E152" s="0" t="s">
        <v>456</v>
      </c>
      <c r="F152" s="21" t="n">
        <v>37196</v>
      </c>
      <c r="G152" s="21"/>
      <c r="H152" s="21"/>
      <c r="I152" s="21" t="s">
        <v>450</v>
      </c>
      <c r="J152" s="0" t="n">
        <f aca="false">IF(ISNA(VLOOKUP(C152,CNGx,2,FALSE())),"na",(VLOOKUP(C152,CNGx,2,FALSE())))</f>
        <v>164</v>
      </c>
      <c r="K152" s="0" t="n">
        <f aca="false">IF(ISNA(VLOOKUP(C152,CNGx,3,0)),0,VLOOKUP(C152,CNGx,3,FALSE()))</f>
        <v>208</v>
      </c>
      <c r="L152" s="29" t="n">
        <f aca="false">VLOOKUP(I152,Retention,2,FALSE())</f>
        <v>0.0228</v>
      </c>
      <c r="M152" s="30" t="n">
        <f aca="false">IF(OR(I152="TD",I152="TW"),0,J152*0.0228)</f>
        <v>3.7392</v>
      </c>
      <c r="N152" s="30" t="n">
        <f aca="false">IF(OR(I152="TD",I152="TW"),0,K152*0.0228)</f>
        <v>4.7424</v>
      </c>
      <c r="O152" s="30" t="n">
        <f aca="false">J152-ROUND(+$J152*(VLOOKUP($I152,cngded,6,FALSE())),0)</f>
        <v>142</v>
      </c>
      <c r="P152" s="30" t="n">
        <f aca="false">K152-ROUND(+$K152*(VLOOKUP($I152,cngded,6,FALSE())),0)</f>
        <v>180</v>
      </c>
      <c r="Q152" s="23" t="str">
        <f aca="false">IF(ISNA(VLOOKUP(C152,INCNG,1,FALSE())),"--","Y")</f>
        <v>Y</v>
      </c>
      <c r="R152" s="23" t="n">
        <f aca="false">IF(ISNA(VLOOKUP(C152,INCNG,10,FALSE())),0,VLOOKUP(C152,INCNG,10,FALSE()))</f>
        <v>142</v>
      </c>
      <c r="S152" s="0" t="n">
        <f aca="false">+K152-R152</f>
        <v>66</v>
      </c>
      <c r="T152" s="31" t="n">
        <f aca="false">+P152-R152</f>
        <v>38</v>
      </c>
      <c r="U152" s="32" t="n">
        <f aca="false">ROUND(+$K152*(VLOOKUP($I152,Retention,2,FALSE())),0)</f>
        <v>5</v>
      </c>
      <c r="V152" s="32" t="n">
        <f aca="false">ROUND(+$K152*(VLOOKUP($I152,Retention,3,FALSE())),0)</f>
        <v>15</v>
      </c>
      <c r="W152" s="32" t="n">
        <f aca="false">ROUND(+$K152*(VLOOKUP($I152,Retention,4,FALSE())),0)</f>
        <v>6</v>
      </c>
      <c r="X152" s="32" t="n">
        <f aca="false">ROUND(+$K152*(VLOOKUP($I152,Retention,5,FALSE())),0)</f>
        <v>2</v>
      </c>
      <c r="Y152" s="31" t="n">
        <f aca="false">SUM(U152:X152)</f>
        <v>28</v>
      </c>
      <c r="AB152" s="33"/>
      <c r="AC152" s="33"/>
      <c r="AD152" s="0" t="e">
        <f aca="false">VLOOKUP(AB152,INCNG,3,FALSE())</f>
        <v>#N/A</v>
      </c>
    </row>
    <row r="153" customFormat="false" ht="12.75" hidden="false" customHeight="false" outlineLevel="0" collapsed="false">
      <c r="A153" s="0" t="s">
        <v>486</v>
      </c>
      <c r="B153" s="0" t="s">
        <v>273</v>
      </c>
      <c r="C153" s="0" t="s">
        <v>88</v>
      </c>
      <c r="D153" s="0" t="n">
        <v>3539901</v>
      </c>
      <c r="E153" s="0" t="s">
        <v>454</v>
      </c>
      <c r="F153" s="21" t="n">
        <v>37196</v>
      </c>
      <c r="G153" s="21"/>
      <c r="H153" s="21"/>
      <c r="I153" s="21" t="s">
        <v>450</v>
      </c>
      <c r="J153" s="0" t="n">
        <f aca="false">IF(ISNA(VLOOKUP(C153,CNGx,2,FALSE())),"na",(VLOOKUP(C153,CNGx,2,FALSE())))</f>
        <v>0</v>
      </c>
      <c r="K153" s="0" t="n">
        <f aca="false">IF(ISNA(VLOOKUP(C153,CNGx,3,0)),0,VLOOKUP(C153,CNGx,3,FALSE()))</f>
        <v>0</v>
      </c>
      <c r="L153" s="29" t="n">
        <f aca="false">VLOOKUP(I153,Retention,2,FALSE())</f>
        <v>0.0228</v>
      </c>
      <c r="M153" s="30" t="n">
        <f aca="false">IF(OR(I153="TD",I153="TW"),0,J153*0.0228)</f>
        <v>0</v>
      </c>
      <c r="N153" s="30" t="n">
        <f aca="false">IF(OR(I153="TD",I153="TW"),0,K153*0.0228)</f>
        <v>0</v>
      </c>
      <c r="O153" s="30" t="n">
        <f aca="false">J153-ROUND(+$J153*(VLOOKUP($I153,cngded,6,FALSE())),0)</f>
        <v>0</v>
      </c>
      <c r="P153" s="30" t="n">
        <f aca="false">K153-ROUND(+$K153*(VLOOKUP($I153,cngded,6,FALSE())),0)</f>
        <v>0</v>
      </c>
      <c r="Q153" s="23" t="str">
        <f aca="false">IF(ISNA(VLOOKUP(C153,INCNG,1,FALSE())),"--","Y")</f>
        <v>Y</v>
      </c>
      <c r="R153" s="23" t="n">
        <f aca="false">IF(ISNA(VLOOKUP(C153,INCNG,10,FALSE())),0,VLOOKUP(C153,INCNG,10,FALSE()))</f>
        <v>0</v>
      </c>
      <c r="S153" s="0" t="n">
        <f aca="false">+K153-R153</f>
        <v>0</v>
      </c>
      <c r="T153" s="31" t="n">
        <f aca="false">+P153-R153</f>
        <v>0</v>
      </c>
      <c r="U153" s="32" t="n">
        <f aca="false">ROUND(+$K153*(VLOOKUP($I153,Retention,2,FALSE())),0)</f>
        <v>0</v>
      </c>
      <c r="V153" s="32" t="n">
        <f aca="false">ROUND(+$K153*(VLOOKUP($I153,Retention,3,FALSE())),0)</f>
        <v>0</v>
      </c>
      <c r="W153" s="32" t="n">
        <f aca="false">ROUND(+$K153*(VLOOKUP($I153,Retention,4,FALSE())),0)</f>
        <v>0</v>
      </c>
      <c r="X153" s="32" t="n">
        <f aca="false">ROUND(+$K153*(VLOOKUP($I153,Retention,5,FALSE())),0)</f>
        <v>0</v>
      </c>
      <c r="Y153" s="31" t="n">
        <f aca="false">SUM(U153:X153)</f>
        <v>0</v>
      </c>
      <c r="AB153" s="33"/>
      <c r="AC153" s="33"/>
      <c r="AD153" s="0" t="e">
        <f aca="false">VLOOKUP(AB153,INCNG,3,FALSE())</f>
        <v>#N/A</v>
      </c>
    </row>
    <row r="154" customFormat="false" ht="12.75" hidden="false" customHeight="false" outlineLevel="0" collapsed="false">
      <c r="A154" s="0" t="s">
        <v>486</v>
      </c>
      <c r="B154" s="0" t="s">
        <v>273</v>
      </c>
      <c r="C154" s="0" t="s">
        <v>20</v>
      </c>
      <c r="D154" s="0" t="n">
        <v>3540501</v>
      </c>
      <c r="E154" s="0" t="s">
        <v>10</v>
      </c>
      <c r="F154" s="21" t="n">
        <v>37196</v>
      </c>
      <c r="G154" s="21"/>
      <c r="H154" s="21"/>
      <c r="I154" s="21" t="s">
        <v>450</v>
      </c>
      <c r="J154" s="0" t="n">
        <f aca="false">IF(ISNA(VLOOKUP(C154,CNGx,2,FALSE())),"na",(VLOOKUP(C154,CNGx,2,FALSE())))</f>
        <v>2096</v>
      </c>
      <c r="K154" s="0" t="n">
        <f aca="false">IF(ISNA(VLOOKUP(C154,CNGx,3,0)),0,VLOOKUP(C154,CNGx,3,FALSE()))</f>
        <v>2574</v>
      </c>
      <c r="L154" s="29" t="n">
        <f aca="false">VLOOKUP(I154,Retention,2,FALSE())</f>
        <v>0.0228</v>
      </c>
      <c r="M154" s="30" t="n">
        <f aca="false">IF(OR(I154="TD",I154="TW"),0,J154*0.0228)</f>
        <v>47.7888</v>
      </c>
      <c r="N154" s="30" t="n">
        <f aca="false">IF(OR(I154="TD",I154="TW"),0,K154*0.0228)</f>
        <v>58.6872</v>
      </c>
      <c r="O154" s="30" t="n">
        <f aca="false">J154-ROUND(+$J154*(VLOOKUP($I154,cngded,6,FALSE())),0)</f>
        <v>1818</v>
      </c>
      <c r="P154" s="30" t="n">
        <f aca="false">K154-ROUND(+$K154*(VLOOKUP($I154,cngded,6,FALSE())),0)</f>
        <v>2233</v>
      </c>
      <c r="Q154" s="23" t="str">
        <f aca="false">IF(ISNA(VLOOKUP(C154,INCNG,1,FALSE())),"--","Y")</f>
        <v>Y</v>
      </c>
      <c r="R154" s="23" t="n">
        <f aca="false">IF(ISNA(VLOOKUP(C154,INCNG,10,FALSE())),0,VLOOKUP(C154,INCNG,10,FALSE()))</f>
        <v>1818</v>
      </c>
      <c r="S154" s="0" t="n">
        <f aca="false">+K154-R154</f>
        <v>756</v>
      </c>
      <c r="T154" s="31" t="n">
        <f aca="false">+P154-R154</f>
        <v>415</v>
      </c>
      <c r="U154" s="32" t="n">
        <f aca="false">ROUND(+$K154*(VLOOKUP($I154,Retention,2,FALSE())),0)</f>
        <v>59</v>
      </c>
      <c r="V154" s="32" t="n">
        <f aca="false">ROUND(+$K154*(VLOOKUP($I154,Retention,3,FALSE())),0)</f>
        <v>182</v>
      </c>
      <c r="W154" s="32" t="n">
        <f aca="false">ROUND(+$K154*(VLOOKUP($I154,Retention,4,FALSE())),0)</f>
        <v>77</v>
      </c>
      <c r="X154" s="32" t="n">
        <f aca="false">ROUND(+$K154*(VLOOKUP($I154,Retention,5,FALSE())),0)</f>
        <v>23</v>
      </c>
      <c r="Y154" s="31" t="n">
        <f aca="false">SUM(U154:X154)</f>
        <v>341</v>
      </c>
      <c r="AB154" s="33"/>
      <c r="AC154" s="33"/>
      <c r="AD154" s="0" t="e">
        <f aca="false">VLOOKUP(AB154,INCNG,3,FALSE())</f>
        <v>#N/A</v>
      </c>
    </row>
    <row r="155" customFormat="false" ht="12.75" hidden="false" customHeight="false" outlineLevel="0" collapsed="false">
      <c r="A155" s="0" t="s">
        <v>486</v>
      </c>
      <c r="B155" s="0" t="s">
        <v>273</v>
      </c>
      <c r="C155" s="0" t="s">
        <v>230</v>
      </c>
      <c r="D155" s="0" t="n">
        <v>3541601</v>
      </c>
      <c r="E155" s="0" t="s">
        <v>452</v>
      </c>
      <c r="F155" s="21" t="n">
        <v>37196</v>
      </c>
      <c r="G155" s="21"/>
      <c r="H155" s="21"/>
      <c r="I155" s="21" t="s">
        <v>450</v>
      </c>
      <c r="J155" s="0" t="n">
        <f aca="false">IF(ISNA(VLOOKUP(C155,CNGx,2,FALSE())),"na",(VLOOKUP(C155,CNGx,2,FALSE())))</f>
        <v>52</v>
      </c>
      <c r="K155" s="0" t="n">
        <f aca="false">IF(ISNA(VLOOKUP(C155,CNGx,3,0)),0,VLOOKUP(C155,CNGx,3,FALSE()))</f>
        <v>61</v>
      </c>
      <c r="L155" s="29" t="n">
        <f aca="false">VLOOKUP(I155,Retention,2,FALSE())</f>
        <v>0.0228</v>
      </c>
      <c r="M155" s="30" t="n">
        <f aca="false">IF(OR(I155="TD",I155="TW"),0,J155*0.0228)</f>
        <v>1.1856</v>
      </c>
      <c r="N155" s="30" t="n">
        <f aca="false">IF(OR(I155="TD",I155="TW"),0,K155*0.0228)</f>
        <v>1.3908</v>
      </c>
      <c r="O155" s="30" t="n">
        <f aca="false">J155-ROUND(+$J155*(VLOOKUP($I155,cngded,6,FALSE())),0)</f>
        <v>45</v>
      </c>
      <c r="P155" s="30" t="n">
        <f aca="false">K155-ROUND(+$K155*(VLOOKUP($I155,cngded,6,FALSE())),0)</f>
        <v>53</v>
      </c>
      <c r="Q155" s="23" t="str">
        <f aca="false">IF(ISNA(VLOOKUP(C155,INCNG,1,FALSE())),"--","Y")</f>
        <v>Y</v>
      </c>
      <c r="R155" s="23" t="n">
        <f aca="false">IF(ISNA(VLOOKUP(C155,INCNG,10,FALSE())),0,VLOOKUP(C155,INCNG,10,FALSE()))</f>
        <v>45</v>
      </c>
      <c r="S155" s="0" t="n">
        <f aca="false">+K155-R155</f>
        <v>16</v>
      </c>
      <c r="T155" s="31" t="n">
        <f aca="false">+P155-R155</f>
        <v>8</v>
      </c>
      <c r="U155" s="32" t="n">
        <f aca="false">ROUND(+$K155*(VLOOKUP($I155,Retention,2,FALSE())),0)</f>
        <v>1</v>
      </c>
      <c r="V155" s="32" t="n">
        <f aca="false">ROUND(+$K155*(VLOOKUP($I155,Retention,3,FALSE())),0)</f>
        <v>4</v>
      </c>
      <c r="W155" s="32" t="n">
        <f aca="false">ROUND(+$K155*(VLOOKUP($I155,Retention,4,FALSE())),0)</f>
        <v>2</v>
      </c>
      <c r="X155" s="32" t="n">
        <f aca="false">ROUND(+$K155*(VLOOKUP($I155,Retention,5,FALSE())),0)</f>
        <v>1</v>
      </c>
      <c r="Y155" s="31" t="n">
        <f aca="false">SUM(U155:X155)</f>
        <v>8</v>
      </c>
      <c r="AB155" s="33"/>
      <c r="AC155" s="33"/>
      <c r="AD155" s="0" t="e">
        <f aca="false">VLOOKUP(AB155,INCNG,3,FALSE())</f>
        <v>#N/A</v>
      </c>
    </row>
    <row r="156" customFormat="false" ht="12.75" hidden="false" customHeight="false" outlineLevel="0" collapsed="false">
      <c r="A156" s="0" t="s">
        <v>486</v>
      </c>
      <c r="B156" s="0" t="s">
        <v>273</v>
      </c>
      <c r="C156" s="0" t="s">
        <v>21</v>
      </c>
      <c r="D156" s="0" t="n">
        <v>3542401</v>
      </c>
      <c r="E156" s="0" t="s">
        <v>10</v>
      </c>
      <c r="F156" s="21" t="n">
        <v>37196</v>
      </c>
      <c r="G156" s="21"/>
      <c r="H156" s="21"/>
      <c r="I156" s="21" t="s">
        <v>450</v>
      </c>
      <c r="J156" s="0" t="n">
        <f aca="false">IF(ISNA(VLOOKUP(C156,CNGx,2,FALSE())),"na",(VLOOKUP(C156,CNGx,2,FALSE())))</f>
        <v>328</v>
      </c>
      <c r="K156" s="0" t="n">
        <f aca="false">IF(ISNA(VLOOKUP(C156,CNGx,3,0)),0,VLOOKUP(C156,CNGx,3,FALSE()))</f>
        <v>395</v>
      </c>
      <c r="L156" s="29" t="n">
        <f aca="false">VLOOKUP(I156,Retention,2,FALSE())</f>
        <v>0.0228</v>
      </c>
      <c r="M156" s="30" t="n">
        <f aca="false">IF(OR(I156="TD",I156="TW"),0,J156*0.0228)</f>
        <v>7.4784</v>
      </c>
      <c r="N156" s="30" t="n">
        <f aca="false">IF(OR(I156="TD",I156="TW"),0,K156*0.0228)</f>
        <v>9.006</v>
      </c>
      <c r="O156" s="30" t="n">
        <f aca="false">J156-ROUND(+$J156*(VLOOKUP($I156,cngded,6,FALSE())),0)</f>
        <v>285</v>
      </c>
      <c r="P156" s="30" t="n">
        <f aca="false">K156-ROUND(+$K156*(VLOOKUP($I156,cngded,6,FALSE())),0)</f>
        <v>343</v>
      </c>
      <c r="Q156" s="23" t="str">
        <f aca="false">IF(ISNA(VLOOKUP(C156,INCNG,1,FALSE())),"--","Y")</f>
        <v>Y</v>
      </c>
      <c r="R156" s="23" t="n">
        <f aca="false">IF(ISNA(VLOOKUP(C156,INCNG,10,FALSE())),0,VLOOKUP(C156,INCNG,10,FALSE()))</f>
        <v>285</v>
      </c>
      <c r="S156" s="0" t="n">
        <f aca="false">+K156-R156</f>
        <v>110</v>
      </c>
      <c r="T156" s="31" t="n">
        <f aca="false">+P156-R156</f>
        <v>58</v>
      </c>
      <c r="U156" s="32" t="n">
        <f aca="false">ROUND(+$K156*(VLOOKUP($I156,Retention,2,FALSE())),0)</f>
        <v>9</v>
      </c>
      <c r="V156" s="32" t="n">
        <f aca="false">ROUND(+$K156*(VLOOKUP($I156,Retention,3,FALSE())),0)</f>
        <v>28</v>
      </c>
      <c r="W156" s="32" t="n">
        <f aca="false">ROUND(+$K156*(VLOOKUP($I156,Retention,4,FALSE())),0)</f>
        <v>12</v>
      </c>
      <c r="X156" s="32" t="n">
        <f aca="false">ROUND(+$K156*(VLOOKUP($I156,Retention,5,FALSE())),0)</f>
        <v>4</v>
      </c>
      <c r="Y156" s="31" t="n">
        <f aca="false">SUM(U156:X156)</f>
        <v>53</v>
      </c>
      <c r="AB156" s="33"/>
      <c r="AC156" s="33"/>
      <c r="AD156" s="0" t="e">
        <f aca="false">VLOOKUP(AB156,INCNG,3,FALSE())</f>
        <v>#N/A</v>
      </c>
    </row>
    <row r="157" customFormat="false" ht="12.75" hidden="false" customHeight="false" outlineLevel="0" collapsed="false">
      <c r="A157" s="0" t="s">
        <v>486</v>
      </c>
      <c r="B157" s="0" t="s">
        <v>273</v>
      </c>
      <c r="C157" s="0" t="s">
        <v>32</v>
      </c>
      <c r="D157" s="0" t="n">
        <v>3543801</v>
      </c>
      <c r="E157" s="0" t="s">
        <v>474</v>
      </c>
      <c r="F157" s="21" t="n">
        <v>37196</v>
      </c>
      <c r="G157" s="21"/>
      <c r="H157" s="21"/>
      <c r="I157" s="21" t="s">
        <v>450</v>
      </c>
      <c r="J157" s="0" t="n">
        <f aca="false">IF(ISNA(VLOOKUP(C157,CNGx,2,FALSE())),"na",(VLOOKUP(C157,CNGx,2,FALSE())))</f>
        <v>130</v>
      </c>
      <c r="K157" s="0" t="n">
        <f aca="false">IF(ISNA(VLOOKUP(C157,CNGx,3,0)),0,VLOOKUP(C157,CNGx,3,FALSE()))</f>
        <v>159</v>
      </c>
      <c r="L157" s="29" t="n">
        <f aca="false">VLOOKUP(I157,Retention,2,FALSE())</f>
        <v>0.0228</v>
      </c>
      <c r="M157" s="30" t="n">
        <f aca="false">IF(OR(I157="TD",I157="TW"),0,J157*0.0228)</f>
        <v>2.964</v>
      </c>
      <c r="N157" s="30" t="n">
        <f aca="false">IF(OR(I157="TD",I157="TW"),0,K157*0.0228)</f>
        <v>3.6252</v>
      </c>
      <c r="O157" s="30" t="n">
        <f aca="false">J157-ROUND(+$J157*(VLOOKUP($I157,cngded,6,FALSE())),0)</f>
        <v>113</v>
      </c>
      <c r="P157" s="30" t="n">
        <f aca="false">K157-ROUND(+$K157*(VLOOKUP($I157,cngded,6,FALSE())),0)</f>
        <v>138</v>
      </c>
      <c r="Q157" s="23" t="str">
        <f aca="false">IF(ISNA(VLOOKUP(C157,INCNG,1,FALSE())),"--","Y")</f>
        <v>Y</v>
      </c>
      <c r="R157" s="23" t="n">
        <f aca="false">IF(ISNA(VLOOKUP(C157,INCNG,10,FALSE())),0,VLOOKUP(C157,INCNG,10,FALSE()))</f>
        <v>113</v>
      </c>
      <c r="S157" s="0" t="n">
        <f aca="false">+K157-R157</f>
        <v>46</v>
      </c>
      <c r="T157" s="31" t="n">
        <f aca="false">+P157-R157</f>
        <v>25</v>
      </c>
      <c r="U157" s="32" t="n">
        <f aca="false">ROUND(+$K157*(VLOOKUP($I157,Retention,2,FALSE())),0)</f>
        <v>4</v>
      </c>
      <c r="V157" s="32" t="n">
        <f aca="false">ROUND(+$K157*(VLOOKUP($I157,Retention,3,FALSE())),0)</f>
        <v>11</v>
      </c>
      <c r="W157" s="32" t="n">
        <f aca="false">ROUND(+$K157*(VLOOKUP($I157,Retention,4,FALSE())),0)</f>
        <v>5</v>
      </c>
      <c r="X157" s="32" t="n">
        <f aca="false">ROUND(+$K157*(VLOOKUP($I157,Retention,5,FALSE())),0)</f>
        <v>1</v>
      </c>
      <c r="Y157" s="31" t="n">
        <f aca="false">SUM(U157:X157)</f>
        <v>21</v>
      </c>
      <c r="AB157" s="33"/>
      <c r="AC157" s="33"/>
      <c r="AD157" s="0" t="e">
        <f aca="false">VLOOKUP(AB157,INCNG,3,FALSE())</f>
        <v>#N/A</v>
      </c>
    </row>
    <row r="158" customFormat="false" ht="12.75" hidden="false" customHeight="false" outlineLevel="0" collapsed="false">
      <c r="A158" s="0" t="s">
        <v>486</v>
      </c>
      <c r="B158" s="0" t="s">
        <v>273</v>
      </c>
      <c r="C158" s="0" t="s">
        <v>299</v>
      </c>
      <c r="D158" s="0" t="n">
        <v>3549301</v>
      </c>
      <c r="E158" s="0" t="s">
        <v>293</v>
      </c>
      <c r="F158" s="21" t="n">
        <v>37196</v>
      </c>
      <c r="G158" s="21"/>
      <c r="H158" s="21"/>
      <c r="I158" s="21" t="s">
        <v>450</v>
      </c>
      <c r="J158" s="0" t="n">
        <f aca="false">IF(ISNA(VLOOKUP(C158,CNGx,2,FALSE())),"na",(VLOOKUP(C158,CNGx,2,FALSE())))</f>
        <v>68</v>
      </c>
      <c r="K158" s="0" t="n">
        <f aca="false">IF(ISNA(VLOOKUP(C158,CNGx,3,0)),0,VLOOKUP(C158,CNGx,3,FALSE()))</f>
        <v>88</v>
      </c>
      <c r="L158" s="29" t="n">
        <f aca="false">VLOOKUP(I158,Retention,2,FALSE())</f>
        <v>0.0228</v>
      </c>
      <c r="M158" s="30" t="n">
        <f aca="false">IF(OR(I158="TD",I158="TW"),0,J158*0.0228)</f>
        <v>1.5504</v>
      </c>
      <c r="N158" s="30" t="n">
        <f aca="false">IF(OR(I158="TD",I158="TW"),0,K158*0.0228)</f>
        <v>2.0064</v>
      </c>
      <c r="O158" s="30" t="n">
        <f aca="false">J158-ROUND(+$J158*(VLOOKUP($I158,cngded,6,FALSE())),0)</f>
        <v>59</v>
      </c>
      <c r="P158" s="30" t="n">
        <f aca="false">K158-ROUND(+$K158*(VLOOKUP($I158,cngded,6,FALSE())),0)</f>
        <v>76</v>
      </c>
      <c r="Q158" s="23" t="str">
        <f aca="false">IF(ISNA(VLOOKUP(C158,INCNG,1,FALSE())),"--","Y")</f>
        <v>Y</v>
      </c>
      <c r="R158" s="23" t="n">
        <f aca="false">IF(ISNA(VLOOKUP(C158,INCNG,10,FALSE())),0,VLOOKUP(C158,INCNG,10,FALSE()))</f>
        <v>59</v>
      </c>
      <c r="S158" s="0" t="n">
        <f aca="false">+K158-R158</f>
        <v>29</v>
      </c>
      <c r="T158" s="31" t="n">
        <f aca="false">+P158-R158</f>
        <v>17</v>
      </c>
      <c r="U158" s="32" t="n">
        <f aca="false">ROUND(+$K158*(VLOOKUP($I158,Retention,2,FALSE())),0)</f>
        <v>2</v>
      </c>
      <c r="V158" s="32" t="n">
        <f aca="false">ROUND(+$K158*(VLOOKUP($I158,Retention,3,FALSE())),0)</f>
        <v>6</v>
      </c>
      <c r="W158" s="32" t="n">
        <f aca="false">ROUND(+$K158*(VLOOKUP($I158,Retention,4,FALSE())),0)</f>
        <v>3</v>
      </c>
      <c r="X158" s="32" t="n">
        <f aca="false">ROUND(+$K158*(VLOOKUP($I158,Retention,5,FALSE())),0)</f>
        <v>1</v>
      </c>
      <c r="Y158" s="31" t="n">
        <f aca="false">SUM(U158:X158)</f>
        <v>12</v>
      </c>
      <c r="AB158" s="33"/>
      <c r="AC158" s="33"/>
      <c r="AD158" s="0" t="e">
        <f aca="false">VLOOKUP(AB158,INCNG,3,FALSE())</f>
        <v>#N/A</v>
      </c>
    </row>
    <row r="159" customFormat="false" ht="12.75" hidden="false" customHeight="false" outlineLevel="0" collapsed="false">
      <c r="A159" s="0" t="s">
        <v>486</v>
      </c>
      <c r="B159" s="0" t="s">
        <v>273</v>
      </c>
      <c r="C159" s="0" t="s">
        <v>73</v>
      </c>
      <c r="D159" s="0" t="n">
        <v>3549701</v>
      </c>
      <c r="E159" s="0" t="s">
        <v>46</v>
      </c>
      <c r="F159" s="21" t="n">
        <v>37196</v>
      </c>
      <c r="G159" s="21"/>
      <c r="H159" s="21"/>
      <c r="I159" s="21" t="s">
        <v>450</v>
      </c>
      <c r="J159" s="0" t="n">
        <f aca="false">IF(ISNA(VLOOKUP(C159,CNGx,2,FALSE())),"na",(VLOOKUP(C159,CNGx,2,FALSE())))</f>
        <v>199</v>
      </c>
      <c r="K159" s="0" t="n">
        <f aca="false">IF(ISNA(VLOOKUP(C159,CNGx,3,0)),0,VLOOKUP(C159,CNGx,3,FALSE()))</f>
        <v>217</v>
      </c>
      <c r="L159" s="29" t="n">
        <f aca="false">VLOOKUP(I159,Retention,2,FALSE())</f>
        <v>0.0228</v>
      </c>
      <c r="M159" s="30" t="n">
        <f aca="false">IF(OR(I159="TD",I159="TW"),0,J159*0.0228)</f>
        <v>4.5372</v>
      </c>
      <c r="N159" s="30" t="n">
        <f aca="false">IF(OR(I159="TD",I159="TW"),0,K159*0.0228)</f>
        <v>4.9476</v>
      </c>
      <c r="O159" s="30" t="n">
        <f aca="false">J159-ROUND(+$J159*(VLOOKUP($I159,cngded,6,FALSE())),0)</f>
        <v>173</v>
      </c>
      <c r="P159" s="30" t="n">
        <f aca="false">K159-ROUND(+$K159*(VLOOKUP($I159,cngded,6,FALSE())),0)</f>
        <v>188</v>
      </c>
      <c r="Q159" s="23" t="str">
        <f aca="false">IF(ISNA(VLOOKUP(C159,INCNG,1,FALSE())),"--","Y")</f>
        <v>Y</v>
      </c>
      <c r="R159" s="23" t="n">
        <f aca="false">IF(ISNA(VLOOKUP(C159,INCNG,10,FALSE())),0,VLOOKUP(C159,INCNG,10,FALSE()))</f>
        <v>173</v>
      </c>
      <c r="S159" s="0" t="n">
        <f aca="false">+K159-R159</f>
        <v>44</v>
      </c>
      <c r="T159" s="31" t="n">
        <f aca="false">+P159-R159</f>
        <v>15</v>
      </c>
      <c r="U159" s="32" t="n">
        <f aca="false">ROUND(+$K159*(VLOOKUP($I159,Retention,2,FALSE())),0)</f>
        <v>5</v>
      </c>
      <c r="V159" s="32" t="n">
        <f aca="false">ROUND(+$K159*(VLOOKUP($I159,Retention,3,FALSE())),0)</f>
        <v>15</v>
      </c>
      <c r="W159" s="32" t="n">
        <f aca="false">ROUND(+$K159*(VLOOKUP($I159,Retention,4,FALSE())),0)</f>
        <v>7</v>
      </c>
      <c r="X159" s="32" t="n">
        <f aca="false">ROUND(+$K159*(VLOOKUP($I159,Retention,5,FALSE())),0)</f>
        <v>2</v>
      </c>
      <c r="Y159" s="31" t="n">
        <f aca="false">SUM(U159:X159)</f>
        <v>29</v>
      </c>
      <c r="AB159" s="33"/>
      <c r="AC159" s="33"/>
      <c r="AD159" s="0" t="e">
        <f aca="false">VLOOKUP(AB159,INCNG,3,FALSE())</f>
        <v>#N/A</v>
      </c>
    </row>
    <row r="160" customFormat="false" ht="12.75" hidden="false" customHeight="false" outlineLevel="0" collapsed="false">
      <c r="A160" s="0" t="s">
        <v>486</v>
      </c>
      <c r="B160" s="0" t="s">
        <v>273</v>
      </c>
      <c r="C160" s="0" t="s">
        <v>253</v>
      </c>
      <c r="D160" s="0" t="n">
        <v>3551401</v>
      </c>
      <c r="E160" s="0" t="s">
        <v>459</v>
      </c>
      <c r="F160" s="21" t="n">
        <v>37196</v>
      </c>
      <c r="G160" s="21"/>
      <c r="H160" s="21"/>
      <c r="I160" s="21" t="s">
        <v>450</v>
      </c>
      <c r="J160" s="0" t="n">
        <f aca="false">IF(ISNA(VLOOKUP(C160,CNGx,2,FALSE())),"na",(VLOOKUP(C160,CNGx,2,FALSE())))</f>
        <v>78</v>
      </c>
      <c r="K160" s="0" t="n">
        <f aca="false">IF(ISNA(VLOOKUP(C160,CNGx,3,0)),0,VLOOKUP(C160,CNGx,3,FALSE()))</f>
        <v>101</v>
      </c>
      <c r="L160" s="29" t="n">
        <f aca="false">VLOOKUP(I160,Retention,2,FALSE())</f>
        <v>0.0228</v>
      </c>
      <c r="M160" s="30" t="n">
        <f aca="false">IF(OR(I160="TD",I160="TW"),0,J160*0.0228)</f>
        <v>1.7784</v>
      </c>
      <c r="N160" s="30" t="n">
        <f aca="false">IF(OR(I160="TD",I160="TW"),0,K160*0.0228)</f>
        <v>2.3028</v>
      </c>
      <c r="O160" s="30" t="n">
        <f aca="false">J160-ROUND(+$J160*(VLOOKUP($I160,cngded,6,FALSE())),0)</f>
        <v>68</v>
      </c>
      <c r="P160" s="30" t="n">
        <f aca="false">K160-ROUND(+$K160*(VLOOKUP($I160,cngded,6,FALSE())),0)</f>
        <v>88</v>
      </c>
      <c r="Q160" s="23" t="str">
        <f aca="false">IF(ISNA(VLOOKUP(C160,INCNG,1,FALSE())),"--","Y")</f>
        <v>Y</v>
      </c>
      <c r="R160" s="23" t="n">
        <f aca="false">IF(ISNA(VLOOKUP(C160,INCNG,10,FALSE())),0,VLOOKUP(C160,INCNG,10,FALSE()))</f>
        <v>68</v>
      </c>
      <c r="S160" s="0" t="n">
        <f aca="false">+K160-R160</f>
        <v>33</v>
      </c>
      <c r="T160" s="31" t="n">
        <f aca="false">+P160-R160</f>
        <v>20</v>
      </c>
      <c r="U160" s="32" t="n">
        <f aca="false">ROUND(+$K160*(VLOOKUP($I160,Retention,2,FALSE())),0)</f>
        <v>2</v>
      </c>
      <c r="V160" s="32" t="n">
        <f aca="false">ROUND(+$K160*(VLOOKUP($I160,Retention,3,FALSE())),0)</f>
        <v>7</v>
      </c>
      <c r="W160" s="32" t="n">
        <f aca="false">ROUND(+$K160*(VLOOKUP($I160,Retention,4,FALSE())),0)</f>
        <v>3</v>
      </c>
      <c r="X160" s="32" t="n">
        <f aca="false">ROUND(+$K160*(VLOOKUP($I160,Retention,5,FALSE())),0)</f>
        <v>1</v>
      </c>
      <c r="Y160" s="31" t="n">
        <f aca="false">SUM(U160:X160)</f>
        <v>13</v>
      </c>
      <c r="AB160" s="33"/>
      <c r="AC160" s="33"/>
      <c r="AD160" s="0" t="e">
        <f aca="false">VLOOKUP(AB160,INCNG,3,FALSE())</f>
        <v>#N/A</v>
      </c>
    </row>
    <row r="161" customFormat="false" ht="12.75" hidden="false" customHeight="false" outlineLevel="0" collapsed="false">
      <c r="A161" s="0" t="s">
        <v>486</v>
      </c>
      <c r="B161" s="0" t="s">
        <v>273</v>
      </c>
      <c r="C161" s="0" t="s">
        <v>74</v>
      </c>
      <c r="D161" s="0" t="n">
        <v>3552201</v>
      </c>
      <c r="E161" s="0" t="s">
        <v>46</v>
      </c>
      <c r="F161" s="21" t="n">
        <v>37196</v>
      </c>
      <c r="G161" s="21"/>
      <c r="H161" s="21"/>
      <c r="I161" s="21" t="s">
        <v>450</v>
      </c>
      <c r="J161" s="0" t="n">
        <f aca="false">IF(ISNA(VLOOKUP(C161,CNGx,2,FALSE())),"na",(VLOOKUP(C161,CNGx,2,FALSE())))</f>
        <v>4</v>
      </c>
      <c r="K161" s="0" t="n">
        <f aca="false">IF(ISNA(VLOOKUP(C161,CNGx,3,0)),0,VLOOKUP(C161,CNGx,3,FALSE()))</f>
        <v>4</v>
      </c>
      <c r="L161" s="34" t="n">
        <f aca="false">VLOOKUP(I161,Retention,2,FALSE())</f>
        <v>0.0228</v>
      </c>
      <c r="M161" s="35" t="n">
        <f aca="false">IF(OR(I161="TD",I161="TW"),0,J161*0.0228)</f>
        <v>0.0912</v>
      </c>
      <c r="N161" s="35" t="n">
        <f aca="false">IF(OR(I161="TD",I161="TW"),0,K161*0.0228)</f>
        <v>0.0912</v>
      </c>
      <c r="O161" s="35" t="n">
        <f aca="false">J161-ROUND(+$J161*(VLOOKUP($I161,cngded,6,FALSE())),0)</f>
        <v>3</v>
      </c>
      <c r="P161" s="30" t="n">
        <f aca="false">K161-ROUND(+$K161*(VLOOKUP($I161,cngded,6,FALSE())),0)</f>
        <v>3</v>
      </c>
      <c r="Q161" s="36" t="str">
        <f aca="false">IF(ISNA(VLOOKUP(C161,INCNG,1,FALSE())),"--","Y")</f>
        <v>Y</v>
      </c>
      <c r="R161" s="36" t="n">
        <f aca="false">IF(ISNA(VLOOKUP(C161,INCNG,10,FALSE())),0,VLOOKUP(C161,INCNG,10,FALSE()))</f>
        <v>3</v>
      </c>
      <c r="S161" s="37" t="n">
        <f aca="false">+K161-R161</f>
        <v>1</v>
      </c>
      <c r="T161" s="31" t="n">
        <f aca="false">+P161-R161</f>
        <v>0</v>
      </c>
      <c r="U161" s="35" t="n">
        <f aca="false">ROUND(+$K161*(VLOOKUP($I161,Retention,2,FALSE())),0)</f>
        <v>0</v>
      </c>
      <c r="V161" s="35" t="n">
        <f aca="false">ROUND(+$K161*(VLOOKUP($I161,Retention,3,FALSE())),0)</f>
        <v>0</v>
      </c>
      <c r="W161" s="35" t="n">
        <f aca="false">ROUND(+$K161*(VLOOKUP($I161,Retention,4,FALSE())),0)</f>
        <v>0</v>
      </c>
      <c r="X161" s="35" t="n">
        <f aca="false">ROUND(+$K161*(VLOOKUP($I161,Retention,5,FALSE())),0)</f>
        <v>0</v>
      </c>
      <c r="Y161" s="38" t="n">
        <f aca="false">SUM(U161:X161)</f>
        <v>0</v>
      </c>
      <c r="Z161" s="37"/>
      <c r="AA161" s="37"/>
      <c r="AB161" s="39"/>
      <c r="AC161" s="39"/>
      <c r="AD161" s="37" t="e">
        <f aca="false">VLOOKUP(AB161,INCNG,3,FALSE())</f>
        <v>#N/A</v>
      </c>
    </row>
    <row r="162" customFormat="false" ht="12.75" hidden="false" customHeight="false" outlineLevel="0" collapsed="false">
      <c r="A162" s="0" t="s">
        <v>486</v>
      </c>
      <c r="B162" s="0" t="s">
        <v>273</v>
      </c>
      <c r="C162" s="0" t="s">
        <v>195</v>
      </c>
      <c r="D162" s="0" t="n">
        <v>3552801</v>
      </c>
      <c r="E162" s="0" t="s">
        <v>457</v>
      </c>
      <c r="F162" s="21" t="n">
        <v>37196</v>
      </c>
      <c r="G162" s="21"/>
      <c r="H162" s="21"/>
      <c r="I162" s="21" t="s">
        <v>450</v>
      </c>
      <c r="J162" s="0" t="n">
        <f aca="false">IF(ISNA(VLOOKUP(C162,CNGx,2,FALSE())),"na",(VLOOKUP(C162,CNGx,2,FALSE())))</f>
        <v>0</v>
      </c>
      <c r="K162" s="0" t="n">
        <f aca="false">IF(ISNA(VLOOKUP(C162,CNGx,3,0)),0,VLOOKUP(C162,CNGx,3,FALSE()))</f>
        <v>0</v>
      </c>
      <c r="L162" s="29" t="n">
        <f aca="false">VLOOKUP(I162,Retention,2,FALSE())</f>
        <v>0.0228</v>
      </c>
      <c r="M162" s="30" t="n">
        <f aca="false">IF(OR(I162="TD",I162="TW"),0,J162*0.0228)</f>
        <v>0</v>
      </c>
      <c r="N162" s="30" t="n">
        <f aca="false">IF(OR(I162="TD",I162="TW"),0,K162*0.0228)</f>
        <v>0</v>
      </c>
      <c r="O162" s="30" t="n">
        <f aca="false">J162-ROUND(+$J162*(VLOOKUP($I162,cngded,6,FALSE())),0)</f>
        <v>0</v>
      </c>
      <c r="P162" s="30" t="n">
        <f aca="false">K162-ROUND(+$K162*(VLOOKUP($I162,cngded,6,FALSE())),0)</f>
        <v>0</v>
      </c>
      <c r="Q162" s="23" t="str">
        <f aca="false">IF(ISNA(VLOOKUP(C162,INCNG,1,FALSE())),"--","Y")</f>
        <v>Y</v>
      </c>
      <c r="R162" s="23" t="n">
        <f aca="false">IF(ISNA(VLOOKUP(C162,INCNG,10,FALSE())),0,VLOOKUP(C162,INCNG,10,FALSE()))</f>
        <v>0</v>
      </c>
      <c r="S162" s="0" t="n">
        <f aca="false">+K162-R162</f>
        <v>0</v>
      </c>
      <c r="T162" s="31" t="n">
        <f aca="false">+P162-R162</f>
        <v>0</v>
      </c>
      <c r="U162" s="32" t="n">
        <f aca="false">ROUND(+$K162*(VLOOKUP($I162,Retention,2,FALSE())),0)</f>
        <v>0</v>
      </c>
      <c r="V162" s="32" t="n">
        <f aca="false">ROUND(+$K162*(VLOOKUP($I162,Retention,3,FALSE())),0)</f>
        <v>0</v>
      </c>
      <c r="W162" s="32" t="n">
        <f aca="false">ROUND(+$K162*(VLOOKUP($I162,Retention,4,FALSE())),0)</f>
        <v>0</v>
      </c>
      <c r="X162" s="32" t="n">
        <f aca="false">ROUND(+$K162*(VLOOKUP($I162,Retention,5,FALSE())),0)</f>
        <v>0</v>
      </c>
      <c r="Y162" s="31" t="n">
        <f aca="false">SUM(U162:X162)</f>
        <v>0</v>
      </c>
      <c r="AB162" s="33"/>
      <c r="AC162" s="33"/>
      <c r="AD162" s="0" t="e">
        <f aca="false">VLOOKUP(AB162,INCNG,3,FALSE())</f>
        <v>#N/A</v>
      </c>
    </row>
    <row r="163" customFormat="false" ht="12.75" hidden="false" customHeight="false" outlineLevel="0" collapsed="false">
      <c r="A163" s="0" t="s">
        <v>486</v>
      </c>
      <c r="B163" s="0" t="s">
        <v>273</v>
      </c>
      <c r="C163" s="0" t="s">
        <v>196</v>
      </c>
      <c r="D163" s="0" t="n">
        <v>3553701</v>
      </c>
      <c r="E163" s="0" t="s">
        <v>36</v>
      </c>
      <c r="F163" s="21" t="n">
        <v>37196</v>
      </c>
      <c r="G163" s="21"/>
      <c r="H163" s="21"/>
      <c r="I163" s="21" t="s">
        <v>450</v>
      </c>
      <c r="J163" s="0" t="n">
        <f aca="false">IF(ISNA(VLOOKUP(C163,CNGx,2,FALSE())),"na",(VLOOKUP(C163,CNGx,2,FALSE())))</f>
        <v>0</v>
      </c>
      <c r="K163" s="0" t="n">
        <f aca="false">IF(ISNA(VLOOKUP(C163,CNGx,3,0)),0,VLOOKUP(C163,CNGx,3,FALSE()))</f>
        <v>0</v>
      </c>
      <c r="L163" s="29" t="n">
        <f aca="false">VLOOKUP(I163,Retention,2,FALSE())</f>
        <v>0.0228</v>
      </c>
      <c r="M163" s="30" t="n">
        <f aca="false">IF(OR(I163="TD",I163="TW"),0,J163*0.0228)</f>
        <v>0</v>
      </c>
      <c r="N163" s="30" t="n">
        <f aca="false">IF(OR(I163="TD",I163="TW"),0,K163*0.0228)</f>
        <v>0</v>
      </c>
      <c r="O163" s="30" t="n">
        <f aca="false">J163-ROUND(+$J163*(VLOOKUP($I163,cngded,6,FALSE())),0)</f>
        <v>0</v>
      </c>
      <c r="P163" s="30" t="n">
        <f aca="false">K163-ROUND(+$K163*(VLOOKUP($I163,cngded,6,FALSE())),0)</f>
        <v>0</v>
      </c>
      <c r="Q163" s="23" t="str">
        <f aca="false">IF(ISNA(VLOOKUP(C163,INCNG,1,FALSE())),"--","Y")</f>
        <v>Y</v>
      </c>
      <c r="R163" s="23" t="n">
        <f aca="false">IF(ISNA(VLOOKUP(C163,INCNG,10,FALSE())),0,VLOOKUP(C163,INCNG,10,FALSE()))</f>
        <v>0</v>
      </c>
      <c r="S163" s="0" t="n">
        <f aca="false">+K163-R163</f>
        <v>0</v>
      </c>
      <c r="T163" s="31" t="n">
        <f aca="false">+P163-R163</f>
        <v>0</v>
      </c>
      <c r="U163" s="32" t="n">
        <f aca="false">ROUND(+$K163*(VLOOKUP($I163,Retention,2,FALSE())),0)</f>
        <v>0</v>
      </c>
      <c r="V163" s="32" t="n">
        <f aca="false">ROUND(+$K163*(VLOOKUP($I163,Retention,3,FALSE())),0)</f>
        <v>0</v>
      </c>
      <c r="W163" s="32" t="n">
        <f aca="false">ROUND(+$K163*(VLOOKUP($I163,Retention,4,FALSE())),0)</f>
        <v>0</v>
      </c>
      <c r="X163" s="32" t="n">
        <f aca="false">ROUND(+$K163*(VLOOKUP($I163,Retention,5,FALSE())),0)</f>
        <v>0</v>
      </c>
      <c r="Y163" s="31" t="n">
        <f aca="false">SUM(U163:X163)</f>
        <v>0</v>
      </c>
      <c r="AB163" s="33"/>
      <c r="AC163" s="33"/>
      <c r="AD163" s="0" t="e">
        <f aca="false">VLOOKUP(AB163,INCNG,3,FALSE())</f>
        <v>#N/A</v>
      </c>
    </row>
    <row r="164" customFormat="false" ht="12.75" hidden="false" customHeight="false" outlineLevel="0" collapsed="false">
      <c r="A164" s="0" t="s">
        <v>486</v>
      </c>
      <c r="B164" s="0" t="s">
        <v>273</v>
      </c>
      <c r="C164" s="0" t="s">
        <v>75</v>
      </c>
      <c r="D164" s="0" t="n">
        <v>3557101</v>
      </c>
      <c r="E164" s="0" t="s">
        <v>46</v>
      </c>
      <c r="F164" s="21" t="n">
        <v>37196</v>
      </c>
      <c r="G164" s="21"/>
      <c r="H164" s="21"/>
      <c r="I164" s="21" t="s">
        <v>450</v>
      </c>
      <c r="J164" s="0" t="n">
        <f aca="false">IF(ISNA(VLOOKUP(C164,CNGx,2,FALSE())),"na",(VLOOKUP(C164,CNGx,2,FALSE())))</f>
        <v>0</v>
      </c>
      <c r="K164" s="0" t="n">
        <f aca="false">IF(ISNA(VLOOKUP(C164,CNGx,3,0)),0,VLOOKUP(C164,CNGx,3,FALSE()))</f>
        <v>0</v>
      </c>
      <c r="L164" s="29" t="n">
        <f aca="false">VLOOKUP(I164,Retention,2,FALSE())</f>
        <v>0.0228</v>
      </c>
      <c r="M164" s="30" t="n">
        <f aca="false">IF(OR(I164="TD",I164="TW"),0,J164*0.0228)</f>
        <v>0</v>
      </c>
      <c r="N164" s="30" t="n">
        <f aca="false">IF(OR(I164="TD",I164="TW"),0,K164*0.0228)</f>
        <v>0</v>
      </c>
      <c r="O164" s="30" t="n">
        <f aca="false">J164-ROUND(+$J164*(VLOOKUP($I164,cngded,6,FALSE())),0)</f>
        <v>0</v>
      </c>
      <c r="P164" s="30" t="n">
        <f aca="false">K164-ROUND(+$K164*(VLOOKUP($I164,cngded,6,FALSE())),0)</f>
        <v>0</v>
      </c>
      <c r="Q164" s="23" t="str">
        <f aca="false">IF(ISNA(VLOOKUP(C164,INCNG,1,FALSE())),"--","Y")</f>
        <v>Y</v>
      </c>
      <c r="R164" s="23" t="n">
        <f aca="false">IF(ISNA(VLOOKUP(C164,INCNG,10,FALSE())),0,VLOOKUP(C164,INCNG,10,FALSE()))</f>
        <v>0</v>
      </c>
      <c r="S164" s="0" t="n">
        <f aca="false">+K164-R164</f>
        <v>0</v>
      </c>
      <c r="T164" s="31" t="n">
        <f aca="false">+P164-R164</f>
        <v>0</v>
      </c>
      <c r="U164" s="32" t="n">
        <f aca="false">ROUND(+$K164*(VLOOKUP($I164,Retention,2,FALSE())),0)</f>
        <v>0</v>
      </c>
      <c r="V164" s="32" t="n">
        <f aca="false">ROUND(+$K164*(VLOOKUP($I164,Retention,3,FALSE())),0)</f>
        <v>0</v>
      </c>
      <c r="W164" s="32" t="n">
        <f aca="false">ROUND(+$K164*(VLOOKUP($I164,Retention,4,FALSE())),0)</f>
        <v>0</v>
      </c>
      <c r="X164" s="32" t="n">
        <f aca="false">ROUND(+$K164*(VLOOKUP($I164,Retention,5,FALSE())),0)</f>
        <v>0</v>
      </c>
      <c r="Y164" s="31" t="n">
        <f aca="false">SUM(U164:X164)</f>
        <v>0</v>
      </c>
      <c r="AB164" s="33"/>
      <c r="AC164" s="33"/>
      <c r="AD164" s="0" t="e">
        <f aca="false">VLOOKUP(AB164,INCNG,3,FALSE())</f>
        <v>#N/A</v>
      </c>
    </row>
    <row r="165" customFormat="false" ht="12.75" hidden="false" customHeight="false" outlineLevel="0" collapsed="false">
      <c r="A165" s="0" t="s">
        <v>486</v>
      </c>
      <c r="B165" s="0" t="s">
        <v>136</v>
      </c>
      <c r="C165" s="0" t="s">
        <v>424</v>
      </c>
      <c r="D165" s="0" t="n">
        <v>3557501</v>
      </c>
      <c r="E165" s="0" t="s">
        <v>425</v>
      </c>
      <c r="F165" s="21" t="n">
        <v>37196</v>
      </c>
      <c r="G165" s="21"/>
      <c r="H165" s="21"/>
      <c r="I165" s="21" t="s">
        <v>451</v>
      </c>
      <c r="J165" s="0" t="n">
        <f aca="false">IF(ISNA(VLOOKUP(C165,CNGx,2,FALSE())),"na",(VLOOKUP(C165,CNGx,2,FALSE())))</f>
        <v>117</v>
      </c>
      <c r="K165" s="0" t="n">
        <f aca="false">IF(ISNA(VLOOKUP(C165,CNGx,3,0)),0,VLOOKUP(C165,CNGx,3,FALSE()))</f>
        <v>128</v>
      </c>
      <c r="L165" s="29" t="n">
        <f aca="false">VLOOKUP(I165,Retention,2,FALSE())</f>
        <v>0.0228</v>
      </c>
      <c r="M165" s="30" t="n">
        <f aca="false">IF(OR(I165="TD",I165="TW"),0,J165*0.0228)</f>
        <v>2.6676</v>
      </c>
      <c r="N165" s="30" t="n">
        <f aca="false">IF(OR(I165="TD",I165="TW"),0,K165*0.0228)</f>
        <v>2.9184</v>
      </c>
      <c r="O165" s="30" t="n">
        <f aca="false">J165-ROUND(+$J165*(VLOOKUP($I165,cngded,6,FALSE())),0)</f>
        <v>106</v>
      </c>
      <c r="P165" s="30" t="n">
        <f aca="false">K165-ROUND(+$K165*(VLOOKUP($I165,cngded,6,FALSE())),0)</f>
        <v>116</v>
      </c>
      <c r="Q165" s="23" t="str">
        <f aca="false">IF(ISNA(VLOOKUP(C165,INCNG,1,FALSE())),"--","Y")</f>
        <v>Y</v>
      </c>
      <c r="R165" s="23" t="n">
        <f aca="false">IF(ISNA(VLOOKUP(C165,INCNG,10,FALSE())),0,VLOOKUP(C165,INCNG,10,FALSE()))</f>
        <v>106</v>
      </c>
      <c r="S165" s="0" t="n">
        <f aca="false">+K165-R165</f>
        <v>22</v>
      </c>
      <c r="T165" s="31" t="n">
        <f aca="false">+P165-R165</f>
        <v>10</v>
      </c>
      <c r="U165" s="32" t="n">
        <f aca="false">ROUND(+$K165*(VLOOKUP($I165,Retention,2,FALSE())),0)</f>
        <v>3</v>
      </c>
      <c r="V165" s="32" t="n">
        <f aca="false">ROUND(+$K165*(VLOOKUP($I165,Retention,3,FALSE())),0)</f>
        <v>9</v>
      </c>
      <c r="W165" s="32" t="n">
        <f aca="false">ROUND(+$K165*(VLOOKUP($I165,Retention,4,FALSE())),0)</f>
        <v>0</v>
      </c>
      <c r="X165" s="32" t="n">
        <f aca="false">ROUND(+$K165*(VLOOKUP($I165,Retention,5,FALSE())),0)</f>
        <v>0</v>
      </c>
      <c r="Y165" s="31" t="n">
        <f aca="false">SUM(U165:X165)</f>
        <v>12</v>
      </c>
      <c r="AB165" s="33"/>
      <c r="AC165" s="33"/>
      <c r="AD165" s="0" t="e">
        <f aca="false">VLOOKUP(AB165,INCNG,3,FALSE())</f>
        <v>#N/A</v>
      </c>
    </row>
    <row r="166" customFormat="false" ht="12.75" hidden="false" customHeight="false" outlineLevel="0" collapsed="false">
      <c r="A166" s="0" t="s">
        <v>486</v>
      </c>
      <c r="B166" s="0" t="s">
        <v>273</v>
      </c>
      <c r="C166" s="0" t="s">
        <v>197</v>
      </c>
      <c r="D166" s="0" t="n">
        <v>3558301</v>
      </c>
      <c r="E166" s="0" t="s">
        <v>36</v>
      </c>
      <c r="F166" s="21" t="n">
        <v>37196</v>
      </c>
      <c r="G166" s="21"/>
      <c r="H166" s="21"/>
      <c r="I166" s="21" t="s">
        <v>450</v>
      </c>
      <c r="J166" s="0" t="n">
        <f aca="false">IF(ISNA(VLOOKUP(C166,CNGx,2,FALSE())),"na",(VLOOKUP(C166,CNGx,2,FALSE())))</f>
        <v>258</v>
      </c>
      <c r="K166" s="0" t="n">
        <f aca="false">IF(ISNA(VLOOKUP(C166,CNGx,3,0)),0,VLOOKUP(C166,CNGx,3,FALSE()))</f>
        <v>286</v>
      </c>
      <c r="L166" s="29" t="n">
        <f aca="false">VLOOKUP(I166,Retention,2,FALSE())</f>
        <v>0.0228</v>
      </c>
      <c r="M166" s="30" t="n">
        <f aca="false">IF(OR(I166="TD",I166="TW"),0,J166*0.0228)</f>
        <v>5.8824</v>
      </c>
      <c r="N166" s="30" t="n">
        <f aca="false">IF(OR(I166="TD",I166="TW"),0,K166*0.0228)</f>
        <v>6.5208</v>
      </c>
      <c r="O166" s="30" t="n">
        <f aca="false">J166-ROUND(+$J166*(VLOOKUP($I166,cngded,6,FALSE())),0)</f>
        <v>224</v>
      </c>
      <c r="P166" s="30" t="n">
        <f aca="false">K166-ROUND(+$K166*(VLOOKUP($I166,cngded,6,FALSE())),0)</f>
        <v>248</v>
      </c>
      <c r="Q166" s="23" t="str">
        <f aca="false">IF(ISNA(VLOOKUP(C166,INCNG,1,FALSE())),"--","Y")</f>
        <v>Y</v>
      </c>
      <c r="R166" s="23" t="n">
        <f aca="false">IF(ISNA(VLOOKUP(C166,INCNG,10,FALSE())),0,VLOOKUP(C166,INCNG,10,FALSE()))</f>
        <v>224</v>
      </c>
      <c r="S166" s="0" t="n">
        <f aca="false">+K166-R166</f>
        <v>62</v>
      </c>
      <c r="T166" s="31" t="n">
        <f aca="false">+P166-R166</f>
        <v>24</v>
      </c>
      <c r="U166" s="32" t="n">
        <f aca="false">ROUND(+$K166*(VLOOKUP($I166,Retention,2,FALSE())),0)</f>
        <v>7</v>
      </c>
      <c r="V166" s="32" t="n">
        <f aca="false">ROUND(+$K166*(VLOOKUP($I166,Retention,3,FALSE())),0)</f>
        <v>20</v>
      </c>
      <c r="W166" s="32" t="n">
        <f aca="false">ROUND(+$K166*(VLOOKUP($I166,Retention,4,FALSE())),0)</f>
        <v>9</v>
      </c>
      <c r="X166" s="32" t="n">
        <f aca="false">ROUND(+$K166*(VLOOKUP($I166,Retention,5,FALSE())),0)</f>
        <v>3</v>
      </c>
      <c r="Y166" s="31" t="n">
        <f aca="false">SUM(U166:X166)</f>
        <v>39</v>
      </c>
      <c r="AB166" s="33"/>
      <c r="AC166" s="33"/>
      <c r="AD166" s="0" t="e">
        <f aca="false">VLOOKUP(AB166,INCNG,3,FALSE())</f>
        <v>#N/A</v>
      </c>
    </row>
    <row r="167" customFormat="false" ht="12.75" hidden="false" customHeight="false" outlineLevel="0" collapsed="false">
      <c r="A167" s="0" t="s">
        <v>486</v>
      </c>
      <c r="B167" s="0" t="s">
        <v>273</v>
      </c>
      <c r="C167" s="0" t="s">
        <v>254</v>
      </c>
      <c r="D167" s="0" t="n">
        <v>3562001</v>
      </c>
      <c r="E167" s="0" t="s">
        <v>459</v>
      </c>
      <c r="F167" s="21" t="n">
        <v>37196</v>
      </c>
      <c r="G167" s="21"/>
      <c r="H167" s="21"/>
      <c r="I167" s="21" t="s">
        <v>450</v>
      </c>
      <c r="J167" s="0" t="n">
        <f aca="false">IF(ISNA(VLOOKUP(C167,CNGx,2,FALSE())),"na",(VLOOKUP(C167,CNGx,2,FALSE())))</f>
        <v>432</v>
      </c>
      <c r="K167" s="0" t="n">
        <f aca="false">IF(ISNA(VLOOKUP(C167,CNGx,3,0)),0,VLOOKUP(C167,CNGx,3,FALSE()))</f>
        <v>529</v>
      </c>
      <c r="L167" s="29" t="n">
        <f aca="false">VLOOKUP(I167,Retention,2,FALSE())</f>
        <v>0.0228</v>
      </c>
      <c r="M167" s="30" t="n">
        <f aca="false">IF(OR(I167="TD",I167="TW"),0,J167*0.0228)</f>
        <v>9.8496</v>
      </c>
      <c r="N167" s="30" t="n">
        <f aca="false">IF(OR(I167="TD",I167="TW"),0,K167*0.0228)</f>
        <v>12.0612</v>
      </c>
      <c r="O167" s="30" t="n">
        <f aca="false">J167-ROUND(+$J167*(VLOOKUP($I167,cngded,6,FALSE())),0)</f>
        <v>375</v>
      </c>
      <c r="P167" s="30" t="n">
        <f aca="false">K167-ROUND(+$K167*(VLOOKUP($I167,cngded,6,FALSE())),0)</f>
        <v>459</v>
      </c>
      <c r="Q167" s="23" t="str">
        <f aca="false">IF(ISNA(VLOOKUP(C167,INCNG,1,FALSE())),"--","Y")</f>
        <v>Y</v>
      </c>
      <c r="R167" s="23" t="n">
        <f aca="false">IF(ISNA(VLOOKUP(C167,INCNG,10,FALSE())),0,VLOOKUP(C167,INCNG,10,FALSE()))</f>
        <v>375</v>
      </c>
      <c r="S167" s="0" t="n">
        <f aca="false">+K167-R167</f>
        <v>154</v>
      </c>
      <c r="T167" s="31" t="n">
        <f aca="false">+P167-R167</f>
        <v>84</v>
      </c>
      <c r="U167" s="32" t="n">
        <f aca="false">ROUND(+$K167*(VLOOKUP($I167,Retention,2,FALSE())),0)</f>
        <v>12</v>
      </c>
      <c r="V167" s="32" t="n">
        <f aca="false">ROUND(+$K167*(VLOOKUP($I167,Retention,3,FALSE())),0)</f>
        <v>37</v>
      </c>
      <c r="W167" s="32" t="n">
        <f aca="false">ROUND(+$K167*(VLOOKUP($I167,Retention,4,FALSE())),0)</f>
        <v>16</v>
      </c>
      <c r="X167" s="32" t="n">
        <f aca="false">ROUND(+$K167*(VLOOKUP($I167,Retention,5,FALSE())),0)</f>
        <v>5</v>
      </c>
      <c r="Y167" s="31" t="n">
        <f aca="false">SUM(U167:X167)</f>
        <v>70</v>
      </c>
      <c r="AB167" s="33"/>
      <c r="AC167" s="33"/>
      <c r="AD167" s="0" t="e">
        <f aca="false">VLOOKUP(AB167,INCNG,3,FALSE())</f>
        <v>#N/A</v>
      </c>
    </row>
    <row r="168" customFormat="false" ht="12.75" hidden="false" customHeight="false" outlineLevel="0" collapsed="false">
      <c r="A168" s="0" t="s">
        <v>486</v>
      </c>
      <c r="B168" s="0" t="s">
        <v>273</v>
      </c>
      <c r="C168" s="0" t="s">
        <v>287</v>
      </c>
      <c r="D168" s="0" t="n">
        <v>3564601</v>
      </c>
      <c r="E168" s="0" t="s">
        <v>458</v>
      </c>
      <c r="F168" s="21" t="n">
        <v>37196</v>
      </c>
      <c r="G168" s="21"/>
      <c r="H168" s="21"/>
      <c r="I168" s="21" t="s">
        <v>450</v>
      </c>
      <c r="J168" s="0" t="n">
        <f aca="false">IF(ISNA(VLOOKUP(C168,CNGx,2,FALSE())),"na",(VLOOKUP(C168,CNGx,2,FALSE())))</f>
        <v>10</v>
      </c>
      <c r="K168" s="0" t="n">
        <f aca="false">IF(ISNA(VLOOKUP(C168,CNGx,3,0)),0,VLOOKUP(C168,CNGx,3,FALSE()))</f>
        <v>17</v>
      </c>
      <c r="L168" s="29" t="n">
        <f aca="false">VLOOKUP(I168,Retention,2,FALSE())</f>
        <v>0.0228</v>
      </c>
      <c r="M168" s="30" t="n">
        <f aca="false">IF(OR(I168="TD",I168="TW"),0,J168*0.0228)</f>
        <v>0.228</v>
      </c>
      <c r="N168" s="30" t="n">
        <f aca="false">IF(OR(I168="TD",I168="TW"),0,K168*0.0228)</f>
        <v>0.3876</v>
      </c>
      <c r="O168" s="30" t="n">
        <f aca="false">J168-ROUND(+$J168*(VLOOKUP($I168,cngded,6,FALSE())),0)</f>
        <v>9</v>
      </c>
      <c r="P168" s="30" t="n">
        <f aca="false">K168-ROUND(+$K168*(VLOOKUP($I168,cngded,6,FALSE())),0)</f>
        <v>15</v>
      </c>
      <c r="Q168" s="23" t="str">
        <f aca="false">IF(ISNA(VLOOKUP(C168,INCNG,1,FALSE())),"--","Y")</f>
        <v>Y</v>
      </c>
      <c r="R168" s="23" t="n">
        <f aca="false">IF(ISNA(VLOOKUP(C168,INCNG,10,FALSE())),0,VLOOKUP(C168,INCNG,10,FALSE()))</f>
        <v>9</v>
      </c>
      <c r="S168" s="0" t="n">
        <f aca="false">+K168-R168</f>
        <v>8</v>
      </c>
      <c r="T168" s="31" t="n">
        <f aca="false">+P168-R168</f>
        <v>6</v>
      </c>
      <c r="U168" s="32" t="n">
        <f aca="false">ROUND(+$K168*(VLOOKUP($I168,Retention,2,FALSE())),0)</f>
        <v>0</v>
      </c>
      <c r="V168" s="32" t="n">
        <f aca="false">ROUND(+$K168*(VLOOKUP($I168,Retention,3,FALSE())),0)</f>
        <v>1</v>
      </c>
      <c r="W168" s="32" t="n">
        <f aca="false">ROUND(+$K168*(VLOOKUP($I168,Retention,4,FALSE())),0)</f>
        <v>1</v>
      </c>
      <c r="X168" s="32" t="n">
        <f aca="false">ROUND(+$K168*(VLOOKUP($I168,Retention,5,FALSE())),0)</f>
        <v>0</v>
      </c>
      <c r="Y168" s="31" t="n">
        <f aca="false">SUM(U168:X168)</f>
        <v>2</v>
      </c>
      <c r="AB168" s="33"/>
      <c r="AC168" s="33"/>
      <c r="AD168" s="0" t="e">
        <f aca="false">VLOOKUP(AB168,INCNG,3,FALSE())</f>
        <v>#N/A</v>
      </c>
    </row>
    <row r="169" customFormat="false" ht="12.75" hidden="false" customHeight="false" outlineLevel="0" collapsed="false">
      <c r="A169" s="0" t="s">
        <v>486</v>
      </c>
      <c r="B169" s="0" t="s">
        <v>273</v>
      </c>
      <c r="C169" s="0" t="s">
        <v>421</v>
      </c>
      <c r="D169" s="0" t="n">
        <v>3564701</v>
      </c>
      <c r="E169" s="0" t="s">
        <v>419</v>
      </c>
      <c r="F169" s="21" t="n">
        <v>37196</v>
      </c>
      <c r="G169" s="21"/>
      <c r="H169" s="21"/>
      <c r="I169" s="21" t="s">
        <v>450</v>
      </c>
      <c r="J169" s="0" t="str">
        <f aca="false">IF(ISNA(VLOOKUP(C169,CNGx,2,FALSE())),"na",(VLOOKUP(C169,CNGx,2,FALSE())))</f>
        <v>na</v>
      </c>
      <c r="K169" s="0" t="n">
        <f aca="false">IF(ISNA(VLOOKUP(C169,CNGx,3,0)),0,VLOOKUP(C169,CNGx,3,FALSE()))</f>
        <v>0</v>
      </c>
      <c r="L169" s="29" t="n">
        <f aca="false">VLOOKUP(I169,Retention,2,FALSE())</f>
        <v>0.0228</v>
      </c>
      <c r="M169" s="30" t="e">
        <f aca="false">IF(OR(I169="TD",I169="TW"),0,J169*0.0228)</f>
        <v>#VALUE!</v>
      </c>
      <c r="N169" s="30" t="n">
        <f aca="false">IF(OR(I169="TD",I169="TW"),0,K169*0.0228)</f>
        <v>0</v>
      </c>
      <c r="O169" s="30" t="e">
        <f aca="false">J169-ROUND(+$J169*(VLOOKUP($I169,cngded,6,FALSE())),0)</f>
        <v>#VALUE!</v>
      </c>
      <c r="P169" s="30" t="n">
        <f aca="false">K169-ROUND(+$K169*(VLOOKUP($I169,cngded,6,FALSE())),0)</f>
        <v>0</v>
      </c>
      <c r="Q169" s="23" t="str">
        <f aca="false">IF(ISNA(VLOOKUP(C169,INCNG,1,FALSE())),"--","Y")</f>
        <v>Y</v>
      </c>
      <c r="R169" s="23" t="e">
        <f aca="false">IF(ISNA(VLOOKUP(C169,INCNG,10,FALSE())),0,VLOOKUP(C169,INCNG,10,FALSE()))</f>
        <v>#VALUE!</v>
      </c>
      <c r="S169" s="0" t="e">
        <f aca="false">+K169-R169</f>
        <v>#VALUE!</v>
      </c>
      <c r="T169" s="31" t="e">
        <f aca="false">+P169-R169</f>
        <v>#VALUE!</v>
      </c>
      <c r="U169" s="32" t="n">
        <f aca="false">ROUND(+$K169*(VLOOKUP($I169,Retention,2,FALSE())),0)</f>
        <v>0</v>
      </c>
      <c r="V169" s="32" t="n">
        <f aca="false">ROUND(+$K169*(VLOOKUP($I169,Retention,3,FALSE())),0)</f>
        <v>0</v>
      </c>
      <c r="W169" s="32" t="n">
        <f aca="false">ROUND(+$K169*(VLOOKUP($I169,Retention,4,FALSE())),0)</f>
        <v>0</v>
      </c>
      <c r="X169" s="32" t="n">
        <f aca="false">ROUND(+$K169*(VLOOKUP($I169,Retention,5,FALSE())),0)</f>
        <v>0</v>
      </c>
      <c r="Y169" s="31" t="n">
        <f aca="false">SUM(U169:X169)</f>
        <v>0</v>
      </c>
      <c r="AB169" s="33"/>
      <c r="AC169" s="33"/>
      <c r="AD169" s="0" t="e">
        <f aca="false">VLOOKUP(AB169,INCNG,3,FALSE())</f>
        <v>#N/A</v>
      </c>
    </row>
    <row r="170" customFormat="false" ht="12.75" hidden="false" customHeight="false" outlineLevel="0" collapsed="false">
      <c r="A170" s="0" t="s">
        <v>486</v>
      </c>
      <c r="B170" s="0" t="s">
        <v>273</v>
      </c>
      <c r="C170" s="0" t="s">
        <v>423</v>
      </c>
      <c r="D170" s="0" t="n">
        <v>3564801</v>
      </c>
      <c r="E170" s="0" t="s">
        <v>419</v>
      </c>
      <c r="F170" s="21" t="n">
        <v>37196</v>
      </c>
      <c r="G170" s="21"/>
      <c r="H170" s="21"/>
      <c r="I170" s="21" t="s">
        <v>450</v>
      </c>
      <c r="J170" s="0" t="str">
        <f aca="false">IF(ISNA(VLOOKUP(C170,CNGx,2,FALSE())),"na",(VLOOKUP(C170,CNGx,2,FALSE())))</f>
        <v>na</v>
      </c>
      <c r="K170" s="0" t="n">
        <f aca="false">IF(ISNA(VLOOKUP(C170,CNGx,3,0)),0,VLOOKUP(C170,CNGx,3,FALSE()))</f>
        <v>0</v>
      </c>
      <c r="L170" s="29" t="n">
        <f aca="false">VLOOKUP(I170,Retention,2,FALSE())</f>
        <v>0.0228</v>
      </c>
      <c r="M170" s="30" t="e">
        <f aca="false">IF(OR(I170="TD",I170="TW"),0,J170*0.0228)</f>
        <v>#VALUE!</v>
      </c>
      <c r="N170" s="30" t="n">
        <f aca="false">IF(OR(I170="TD",I170="TW"),0,K170*0.0228)</f>
        <v>0</v>
      </c>
      <c r="O170" s="30" t="e">
        <f aca="false">J170-ROUND(+$J170*(VLOOKUP($I170,cngded,6,FALSE())),0)</f>
        <v>#VALUE!</v>
      </c>
      <c r="P170" s="30" t="n">
        <f aca="false">K170-ROUND(+$K170*(VLOOKUP($I170,cngded,6,FALSE())),0)</f>
        <v>0</v>
      </c>
      <c r="Q170" s="23" t="str">
        <f aca="false">IF(ISNA(VLOOKUP(C170,INCNG,1,FALSE())),"--","Y")</f>
        <v>Y</v>
      </c>
      <c r="R170" s="23" t="e">
        <f aca="false">IF(ISNA(VLOOKUP(C170,INCNG,10,FALSE())),0,VLOOKUP(C170,INCNG,10,FALSE()))</f>
        <v>#VALUE!</v>
      </c>
      <c r="S170" s="0" t="e">
        <f aca="false">+K170-R170</f>
        <v>#VALUE!</v>
      </c>
      <c r="T170" s="31" t="e">
        <f aca="false">+P170-R170</f>
        <v>#VALUE!</v>
      </c>
      <c r="U170" s="32" t="n">
        <f aca="false">ROUND(+$K170*(VLOOKUP($I170,Retention,2,FALSE())),0)</f>
        <v>0</v>
      </c>
      <c r="V170" s="32" t="n">
        <f aca="false">ROUND(+$K170*(VLOOKUP($I170,Retention,3,FALSE())),0)</f>
        <v>0</v>
      </c>
      <c r="W170" s="32" t="n">
        <f aca="false">ROUND(+$K170*(VLOOKUP($I170,Retention,4,FALSE())),0)</f>
        <v>0</v>
      </c>
      <c r="X170" s="32" t="n">
        <f aca="false">ROUND(+$K170*(VLOOKUP($I170,Retention,5,FALSE())),0)</f>
        <v>0</v>
      </c>
      <c r="Y170" s="31" t="n">
        <f aca="false">SUM(U170:X170)</f>
        <v>0</v>
      </c>
      <c r="AB170" s="33"/>
      <c r="AC170" s="33"/>
      <c r="AD170" s="0" t="e">
        <f aca="false">VLOOKUP(AB170,INCNG,3,FALSE())</f>
        <v>#N/A</v>
      </c>
    </row>
    <row r="171" customFormat="false" ht="12.75" hidden="false" customHeight="false" outlineLevel="0" collapsed="false">
      <c r="A171" s="0" t="s">
        <v>486</v>
      </c>
      <c r="B171" s="0" t="s">
        <v>273</v>
      </c>
      <c r="C171" s="0" t="s">
        <v>255</v>
      </c>
      <c r="D171" s="0" t="n">
        <v>3565501</v>
      </c>
      <c r="E171" s="0" t="s">
        <v>459</v>
      </c>
      <c r="F171" s="21" t="n">
        <v>37196</v>
      </c>
      <c r="G171" s="21"/>
      <c r="H171" s="21"/>
      <c r="I171" s="21" t="s">
        <v>450</v>
      </c>
      <c r="J171" s="0" t="n">
        <f aca="false">IF(ISNA(VLOOKUP(C171,CNGx,2,FALSE())),"na",(VLOOKUP(C171,CNGx,2,FALSE())))</f>
        <v>103</v>
      </c>
      <c r="K171" s="0" t="n">
        <f aca="false">IF(ISNA(VLOOKUP(C171,CNGx,3,0)),0,VLOOKUP(C171,CNGx,3,FALSE()))</f>
        <v>121</v>
      </c>
      <c r="L171" s="29" t="n">
        <f aca="false">VLOOKUP(I171,Retention,2,FALSE())</f>
        <v>0.0228</v>
      </c>
      <c r="M171" s="30" t="n">
        <f aca="false">IF(OR(I171="TD",I171="TW"),0,J171*0.0228)</f>
        <v>2.3484</v>
      </c>
      <c r="N171" s="30" t="n">
        <f aca="false">IF(OR(I171="TD",I171="TW"),0,K171*0.0228)</f>
        <v>2.7588</v>
      </c>
      <c r="O171" s="30" t="n">
        <f aca="false">J171-ROUND(+$J171*(VLOOKUP($I171,cngded,6,FALSE())),0)</f>
        <v>89</v>
      </c>
      <c r="P171" s="30" t="n">
        <f aca="false">K171-ROUND(+$K171*(VLOOKUP($I171,cngded,6,FALSE())),0)</f>
        <v>105</v>
      </c>
      <c r="Q171" s="23" t="str">
        <f aca="false">IF(ISNA(VLOOKUP(C171,INCNG,1,FALSE())),"--","Y")</f>
        <v>Y</v>
      </c>
      <c r="R171" s="23" t="n">
        <f aca="false">IF(ISNA(VLOOKUP(C171,INCNG,10,FALSE())),0,VLOOKUP(C171,INCNG,10,FALSE()))</f>
        <v>89</v>
      </c>
      <c r="S171" s="0" t="n">
        <f aca="false">+K171-R171</f>
        <v>32</v>
      </c>
      <c r="T171" s="31" t="n">
        <f aca="false">+P171-R171</f>
        <v>16</v>
      </c>
      <c r="U171" s="32" t="n">
        <f aca="false">ROUND(+$K171*(VLOOKUP($I171,Retention,2,FALSE())),0)</f>
        <v>3</v>
      </c>
      <c r="V171" s="32" t="n">
        <f aca="false">ROUND(+$K171*(VLOOKUP($I171,Retention,3,FALSE())),0)</f>
        <v>9</v>
      </c>
      <c r="W171" s="32" t="n">
        <f aca="false">ROUND(+$K171*(VLOOKUP($I171,Retention,4,FALSE())),0)</f>
        <v>4</v>
      </c>
      <c r="X171" s="32" t="n">
        <f aca="false">ROUND(+$K171*(VLOOKUP($I171,Retention,5,FALSE())),0)</f>
        <v>1</v>
      </c>
      <c r="Y171" s="31" t="n">
        <f aca="false">SUM(U171:X171)</f>
        <v>17</v>
      </c>
      <c r="Z171" s="0" t="n">
        <f aca="false">ROUND(+$K171*(VLOOKUP($I171,cngded,6,FALSE())),0)</f>
        <v>16</v>
      </c>
      <c r="AB171" s="33"/>
      <c r="AC171" s="33"/>
      <c r="AD171" s="0" t="e">
        <f aca="false">VLOOKUP(AB171,INCNG,3,FALSE())</f>
        <v>#N/A</v>
      </c>
    </row>
    <row r="172" customFormat="false" ht="12.75" hidden="false" customHeight="false" outlineLevel="0" collapsed="false">
      <c r="A172" s="0" t="s">
        <v>486</v>
      </c>
      <c r="B172" s="0" t="s">
        <v>273</v>
      </c>
      <c r="C172" s="0" t="s">
        <v>300</v>
      </c>
      <c r="D172" s="0" t="n">
        <v>3571701</v>
      </c>
      <c r="E172" s="0" t="s">
        <v>293</v>
      </c>
      <c r="F172" s="21" t="n">
        <v>37196</v>
      </c>
      <c r="G172" s="21"/>
      <c r="H172" s="21"/>
      <c r="I172" s="21" t="s">
        <v>450</v>
      </c>
      <c r="J172" s="0" t="n">
        <f aca="false">IF(ISNA(VLOOKUP(C172,CNGx,2,FALSE())),"na",(VLOOKUP(C172,CNGx,2,FALSE())))</f>
        <v>8</v>
      </c>
      <c r="K172" s="0" t="n">
        <f aca="false">IF(ISNA(VLOOKUP(C172,CNGx,3,0)),0,VLOOKUP(C172,CNGx,3,FALSE()))</f>
        <v>12</v>
      </c>
      <c r="L172" s="29" t="n">
        <f aca="false">VLOOKUP(I172,Retention,2,FALSE())</f>
        <v>0.0228</v>
      </c>
      <c r="M172" s="30" t="n">
        <f aca="false">IF(OR(I172="TD",I172="TW"),0,J172*0.0228)</f>
        <v>0.1824</v>
      </c>
      <c r="N172" s="30" t="n">
        <f aca="false">IF(OR(I172="TD",I172="TW"),0,K172*0.0228)</f>
        <v>0.2736</v>
      </c>
      <c r="O172" s="30" t="n">
        <f aca="false">J172-ROUND(+$J172*(VLOOKUP($I172,cngded,6,FALSE())),0)</f>
        <v>7</v>
      </c>
      <c r="P172" s="30" t="n">
        <f aca="false">K172-ROUND(+$K172*(VLOOKUP($I172,cngded,6,FALSE())),0)</f>
        <v>10</v>
      </c>
      <c r="Q172" s="23" t="str">
        <f aca="false">IF(ISNA(VLOOKUP(C172,INCNG,1,FALSE())),"--","Y")</f>
        <v>Y</v>
      </c>
      <c r="R172" s="23" t="n">
        <f aca="false">IF(ISNA(VLOOKUP(C172,INCNG,10,FALSE())),0,VLOOKUP(C172,INCNG,10,FALSE()))</f>
        <v>7</v>
      </c>
      <c r="S172" s="0" t="n">
        <f aca="false">+K172-R172</f>
        <v>5</v>
      </c>
      <c r="T172" s="31" t="n">
        <f aca="false">+P172-R172</f>
        <v>3</v>
      </c>
      <c r="U172" s="32" t="n">
        <f aca="false">ROUND(+$K172*(VLOOKUP($I172,Retention,2,FALSE())),0)</f>
        <v>0</v>
      </c>
      <c r="V172" s="32" t="n">
        <f aca="false">ROUND(+$K172*(VLOOKUP($I172,Retention,3,FALSE())),0)</f>
        <v>1</v>
      </c>
      <c r="W172" s="32" t="n">
        <f aca="false">ROUND(+$K172*(VLOOKUP($I172,Retention,4,FALSE())),0)</f>
        <v>0</v>
      </c>
      <c r="X172" s="32" t="n">
        <f aca="false">ROUND(+$K172*(VLOOKUP($I172,Retention,5,FALSE())),0)</f>
        <v>0</v>
      </c>
      <c r="Y172" s="31" t="n">
        <f aca="false">SUM(U172:X172)</f>
        <v>1</v>
      </c>
      <c r="Z172" s="0" t="n">
        <f aca="false">ROUND(+$K172*(VLOOKUP($I172,cngded,6,FALSE())),0)</f>
        <v>2</v>
      </c>
      <c r="AB172" s="33"/>
      <c r="AC172" s="33"/>
      <c r="AD172" s="0" t="e">
        <f aca="false">VLOOKUP(AB172,INCNG,3,FALSE())</f>
        <v>#N/A</v>
      </c>
    </row>
    <row r="173" customFormat="false" ht="12.75" hidden="false" customHeight="false" outlineLevel="0" collapsed="false">
      <c r="A173" s="0" t="s">
        <v>486</v>
      </c>
      <c r="B173" s="0" t="s">
        <v>273</v>
      </c>
      <c r="C173" s="0" t="s">
        <v>256</v>
      </c>
      <c r="D173" s="0" t="n">
        <v>3573701</v>
      </c>
      <c r="E173" s="0" t="s">
        <v>459</v>
      </c>
      <c r="F173" s="21" t="n">
        <v>37196</v>
      </c>
      <c r="G173" s="21"/>
      <c r="H173" s="21"/>
      <c r="I173" s="21" t="s">
        <v>450</v>
      </c>
      <c r="J173" s="0" t="n">
        <f aca="false">IF(ISNA(VLOOKUP(C173,CNGx,2,FALSE())),"na",(VLOOKUP(C173,CNGx,2,FALSE())))</f>
        <v>201</v>
      </c>
      <c r="K173" s="0" t="n">
        <f aca="false">IF(ISNA(VLOOKUP(C173,CNGx,3,0)),0,VLOOKUP(C173,CNGx,3,FALSE()))</f>
        <v>250</v>
      </c>
      <c r="L173" s="29" t="n">
        <f aca="false">VLOOKUP(I173,Retention,2,FALSE())</f>
        <v>0.0228</v>
      </c>
      <c r="M173" s="30" t="n">
        <f aca="false">IF(OR(I173="TD",I173="TW"),0,J173*0.0228)</f>
        <v>4.5828</v>
      </c>
      <c r="N173" s="30" t="n">
        <f aca="false">IF(OR(I173="TD",I173="TW"),0,K173*0.0228)</f>
        <v>5.7</v>
      </c>
      <c r="O173" s="30" t="n">
        <f aca="false">J173-ROUND(+$J173*(VLOOKUP($I173,cngded,6,FALSE())),0)</f>
        <v>174</v>
      </c>
      <c r="P173" s="30" t="n">
        <f aca="false">K173-ROUND(+$K173*(VLOOKUP($I173,cngded,6,FALSE())),0)</f>
        <v>217</v>
      </c>
      <c r="Q173" s="23" t="str">
        <f aca="false">IF(ISNA(VLOOKUP(C173,INCNG,1,FALSE())),"--","Y")</f>
        <v>Y</v>
      </c>
      <c r="R173" s="23" t="n">
        <f aca="false">IF(ISNA(VLOOKUP(C173,INCNG,10,FALSE())),0,VLOOKUP(C173,INCNG,10,FALSE()))</f>
        <v>174</v>
      </c>
      <c r="S173" s="0" t="n">
        <f aca="false">+K173-R173</f>
        <v>76</v>
      </c>
      <c r="T173" s="31" t="n">
        <f aca="false">+P173-R173</f>
        <v>43</v>
      </c>
      <c r="U173" s="32" t="n">
        <f aca="false">ROUND(+$K173*(VLOOKUP($I173,Retention,2,FALSE())),0)</f>
        <v>6</v>
      </c>
      <c r="V173" s="32" t="n">
        <f aca="false">ROUND(+$K173*(VLOOKUP($I173,Retention,3,FALSE())),0)</f>
        <v>18</v>
      </c>
      <c r="W173" s="32" t="n">
        <f aca="false">ROUND(+$K173*(VLOOKUP($I173,Retention,4,FALSE())),0)</f>
        <v>8</v>
      </c>
      <c r="X173" s="32" t="n">
        <f aca="false">ROUND(+$K173*(VLOOKUP($I173,Retention,5,FALSE())),0)</f>
        <v>2</v>
      </c>
      <c r="Y173" s="31" t="n">
        <f aca="false">SUM(U173:X173)</f>
        <v>34</v>
      </c>
      <c r="Z173" s="0" t="n">
        <f aca="false">ROUND(+$K173*(VLOOKUP($I173,cngded,6,FALSE())),0)</f>
        <v>33</v>
      </c>
      <c r="AB173" s="33"/>
      <c r="AC173" s="33"/>
      <c r="AD173" s="0" t="e">
        <f aca="false">VLOOKUP(AB173,INCNG,3,FALSE())</f>
        <v>#N/A</v>
      </c>
    </row>
    <row r="174" customFormat="false" ht="12.75" hidden="false" customHeight="false" outlineLevel="0" collapsed="false">
      <c r="A174" s="0" t="s">
        <v>486</v>
      </c>
      <c r="B174" s="0" t="s">
        <v>273</v>
      </c>
      <c r="C174" s="0" t="s">
        <v>274</v>
      </c>
      <c r="D174" s="0" t="n">
        <v>3576601</v>
      </c>
      <c r="E174" s="0" t="s">
        <v>270</v>
      </c>
      <c r="F174" s="21" t="n">
        <v>37196</v>
      </c>
      <c r="G174" s="21"/>
      <c r="H174" s="21"/>
      <c r="I174" s="21" t="s">
        <v>450</v>
      </c>
      <c r="J174" s="0" t="n">
        <f aca="false">IF(ISNA(VLOOKUP(C174,CNGx,2,FALSE())),"na",(VLOOKUP(C174,CNGx,2,FALSE())))</f>
        <v>0</v>
      </c>
      <c r="K174" s="0" t="n">
        <f aca="false">IF(ISNA(VLOOKUP(C174,CNGx,3,0)),0,VLOOKUP(C174,CNGx,3,FALSE()))</f>
        <v>0</v>
      </c>
      <c r="L174" s="29" t="n">
        <f aca="false">VLOOKUP(I174,Retention,2,FALSE())</f>
        <v>0.0228</v>
      </c>
      <c r="M174" s="30" t="n">
        <f aca="false">IF(OR(I174="TD",I174="TW"),0,J174*0.0228)</f>
        <v>0</v>
      </c>
      <c r="N174" s="30" t="n">
        <f aca="false">IF(OR(I174="TD",I174="TW"),0,K174*0.0228)</f>
        <v>0</v>
      </c>
      <c r="O174" s="30" t="n">
        <f aca="false">J174-ROUND(+$J174*(VLOOKUP($I174,cngded,6,FALSE())),0)</f>
        <v>0</v>
      </c>
      <c r="P174" s="30" t="n">
        <f aca="false">K174-ROUND(+$K174*(VLOOKUP($I174,cngded,6,FALSE())),0)</f>
        <v>0</v>
      </c>
      <c r="Q174" s="23" t="str">
        <f aca="false">IF(ISNA(VLOOKUP(C174,INCNG,1,FALSE())),"--","Y")</f>
        <v>Y</v>
      </c>
      <c r="R174" s="23" t="n">
        <f aca="false">IF(ISNA(VLOOKUP(C174,INCNG,10,FALSE())),0,VLOOKUP(C174,INCNG,10,FALSE()))</f>
        <v>0</v>
      </c>
      <c r="S174" s="0" t="n">
        <f aca="false">+K174-R174</f>
        <v>0</v>
      </c>
      <c r="T174" s="31" t="n">
        <f aca="false">+P174-R174</f>
        <v>0</v>
      </c>
      <c r="U174" s="32" t="n">
        <f aca="false">ROUND(+$K174*(VLOOKUP($I174,Retention,2,FALSE())),0)</f>
        <v>0</v>
      </c>
      <c r="V174" s="32" t="n">
        <f aca="false">ROUND(+$K174*(VLOOKUP($I174,Retention,3,FALSE())),0)</f>
        <v>0</v>
      </c>
      <c r="W174" s="32" t="n">
        <f aca="false">ROUND(+$K174*(VLOOKUP($I174,Retention,4,FALSE())),0)</f>
        <v>0</v>
      </c>
      <c r="X174" s="32" t="n">
        <f aca="false">ROUND(+$K174*(VLOOKUP($I174,Retention,5,FALSE())),0)</f>
        <v>0</v>
      </c>
      <c r="Y174" s="31" t="n">
        <f aca="false">SUM(U174:X174)</f>
        <v>0</v>
      </c>
      <c r="Z174" s="0" t="n">
        <f aca="false">ROUND(+$K174*(VLOOKUP($I174,cngded,6,FALSE())),0)</f>
        <v>0</v>
      </c>
      <c r="AB174" s="33"/>
      <c r="AC174" s="33"/>
      <c r="AD174" s="0" t="e">
        <f aca="false">VLOOKUP(AB174,INCNG,3,FALSE())</f>
        <v>#N/A</v>
      </c>
    </row>
    <row r="175" customFormat="false" ht="12.75" hidden="false" customHeight="false" outlineLevel="0" collapsed="false">
      <c r="A175" s="0" t="s">
        <v>486</v>
      </c>
      <c r="B175" s="0" t="s">
        <v>487</v>
      </c>
      <c r="C175" s="0" t="s">
        <v>302</v>
      </c>
      <c r="D175" s="0" t="n">
        <v>3582101</v>
      </c>
      <c r="E175" s="0" t="s">
        <v>293</v>
      </c>
      <c r="F175" s="21" t="n">
        <v>37196</v>
      </c>
      <c r="G175" s="21"/>
      <c r="H175" s="21"/>
      <c r="I175" s="21" t="s">
        <v>446</v>
      </c>
      <c r="J175" s="0" t="n">
        <f aca="false">IF(ISNA(VLOOKUP(C175,CNGx,2,FALSE())),"na",(VLOOKUP(C175,CNGx,2,FALSE())))</f>
        <v>2</v>
      </c>
      <c r="K175" s="0" t="n">
        <f aca="false">IF(ISNA(VLOOKUP(C175,CNGx,3,0)),0,VLOOKUP(C175,CNGx,3,FALSE()))</f>
        <v>2</v>
      </c>
      <c r="L175" s="29" t="n">
        <f aca="false">VLOOKUP(I175,Retention,2,FALSE())</f>
        <v>0</v>
      </c>
      <c r="M175" s="30" t="n">
        <f aca="false">IF(OR(I175="TD",I175="TW"),0,J175*0.0228)</f>
        <v>0</v>
      </c>
      <c r="N175" s="30" t="n">
        <f aca="false">IF(OR(I175="TD",I175="TW"),0,K175*0.0228)</f>
        <v>0</v>
      </c>
      <c r="O175" s="30" t="n">
        <f aca="false">J175-ROUND(+$J175*(VLOOKUP($I175,cngded,6,FALSE())),0)</f>
        <v>2</v>
      </c>
      <c r="P175" s="30" t="n">
        <f aca="false">K175-ROUND(+$K175*(VLOOKUP($I175,cngded,6,FALSE())),0)</f>
        <v>2</v>
      </c>
      <c r="Q175" s="23" t="str">
        <f aca="false">IF(ISNA(VLOOKUP(C175,INCNG,1,FALSE())),"--","Y")</f>
        <v>Y</v>
      </c>
      <c r="R175" s="23" t="n">
        <f aca="false">IF(ISNA(VLOOKUP(C175,INCNG,10,FALSE())),0,VLOOKUP(C175,INCNG,10,FALSE()))</f>
        <v>2</v>
      </c>
      <c r="S175" s="0" t="n">
        <f aca="false">+K175-R175</f>
        <v>0</v>
      </c>
      <c r="T175" s="31" t="n">
        <f aca="false">+P175-R175</f>
        <v>0</v>
      </c>
      <c r="U175" s="32" t="n">
        <f aca="false">ROUND(+$K175*(VLOOKUP($I175,Retention,2,FALSE())),0)</f>
        <v>0</v>
      </c>
      <c r="V175" s="32" t="n">
        <f aca="false">ROUND(+$K175*(VLOOKUP($I175,Retention,3,FALSE())),0)</f>
        <v>0</v>
      </c>
      <c r="W175" s="32" t="n">
        <f aca="false">ROUND(+$K175*(VLOOKUP($I175,Retention,4,FALSE())),0)</f>
        <v>0</v>
      </c>
      <c r="X175" s="32" t="n">
        <f aca="false">ROUND(+$K175*(VLOOKUP($I175,Retention,5,FALSE())),0)</f>
        <v>0</v>
      </c>
      <c r="Y175" s="31" t="n">
        <f aca="false">SUM(U175:X175)</f>
        <v>0</v>
      </c>
      <c r="Z175" s="0" t="n">
        <f aca="false">ROUND(+$K175*(VLOOKUP($I175,cngded,6,FALSE())),0)</f>
        <v>0</v>
      </c>
      <c r="AB175" s="33"/>
      <c r="AC175" s="33"/>
      <c r="AD175" s="0" t="e">
        <f aca="false">VLOOKUP(AB175,INCNG,3,FALSE())</f>
        <v>#N/A</v>
      </c>
    </row>
    <row r="176" customFormat="false" ht="12.75" hidden="false" customHeight="false" outlineLevel="0" collapsed="false">
      <c r="A176" s="0" t="s">
        <v>486</v>
      </c>
      <c r="B176" s="0" t="s">
        <v>273</v>
      </c>
      <c r="C176" s="0" t="s">
        <v>335</v>
      </c>
      <c r="D176" s="0" t="n">
        <v>3584101</v>
      </c>
      <c r="E176" s="0" t="s">
        <v>460</v>
      </c>
      <c r="F176" s="21" t="n">
        <v>37196</v>
      </c>
      <c r="G176" s="21"/>
      <c r="H176" s="21"/>
      <c r="I176" s="21" t="s">
        <v>450</v>
      </c>
      <c r="J176" s="0" t="n">
        <f aca="false">IF(ISNA(VLOOKUP(C176,CNGx,2,FALSE())),"na",(VLOOKUP(C176,CNGx,2,FALSE())))</f>
        <v>14</v>
      </c>
      <c r="K176" s="0" t="n">
        <f aca="false">IF(ISNA(VLOOKUP(C176,CNGx,3,0)),0,VLOOKUP(C176,CNGx,3,FALSE()))</f>
        <v>14</v>
      </c>
      <c r="L176" s="29" t="n">
        <f aca="false">VLOOKUP(I176,Retention,2,FALSE())</f>
        <v>0.0228</v>
      </c>
      <c r="M176" s="30" t="n">
        <f aca="false">IF(OR(I176="TD",I176="TW"),0,J176*0.0228)</f>
        <v>0.3192</v>
      </c>
      <c r="N176" s="30" t="n">
        <f aca="false">IF(OR(I176="TD",I176="TW"),0,K176*0.0228)</f>
        <v>0.3192</v>
      </c>
      <c r="O176" s="30" t="n">
        <f aca="false">J176-ROUND(+$J176*(VLOOKUP($I176,cngded,6,FALSE())),0)</f>
        <v>12</v>
      </c>
      <c r="P176" s="30" t="n">
        <f aca="false">K176-ROUND(+$K176*(VLOOKUP($I176,cngded,6,FALSE())),0)</f>
        <v>12</v>
      </c>
      <c r="Q176" s="23" t="str">
        <f aca="false">IF(ISNA(VLOOKUP(C176,INCNG,1,FALSE())),"--","Y")</f>
        <v>Y</v>
      </c>
      <c r="R176" s="23" t="n">
        <f aca="false">IF(ISNA(VLOOKUP(C176,INCNG,10,FALSE())),0,VLOOKUP(C176,INCNG,10,FALSE()))</f>
        <v>12</v>
      </c>
      <c r="S176" s="0" t="n">
        <f aca="false">+K176-R176</f>
        <v>2</v>
      </c>
      <c r="T176" s="31" t="n">
        <f aca="false">+P176-R176</f>
        <v>0</v>
      </c>
      <c r="U176" s="32" t="n">
        <f aca="false">ROUND(+$K176*(VLOOKUP($I176,Retention,2,FALSE())),0)</f>
        <v>0</v>
      </c>
      <c r="V176" s="32" t="n">
        <f aca="false">ROUND(+$K176*(VLOOKUP($I176,Retention,3,FALSE())),0)</f>
        <v>1</v>
      </c>
      <c r="W176" s="32" t="n">
        <f aca="false">ROUND(+$K176*(VLOOKUP($I176,Retention,4,FALSE())),0)</f>
        <v>0</v>
      </c>
      <c r="X176" s="32" t="n">
        <f aca="false">ROUND(+$K176*(VLOOKUP($I176,Retention,5,FALSE())),0)</f>
        <v>0</v>
      </c>
      <c r="Y176" s="31" t="n">
        <f aca="false">SUM(U176:X176)</f>
        <v>1</v>
      </c>
      <c r="Z176" s="0" t="n">
        <f aca="false">ROUND(+$K176*(VLOOKUP($I176,cngded,6,FALSE())),0)</f>
        <v>2</v>
      </c>
      <c r="AB176" s="33"/>
      <c r="AC176" s="33"/>
      <c r="AD176" s="0" t="e">
        <f aca="false">VLOOKUP(AB176,INCNG,3,FALSE())</f>
        <v>#N/A</v>
      </c>
    </row>
    <row r="177" customFormat="false" ht="12.75" hidden="false" customHeight="false" outlineLevel="0" collapsed="false">
      <c r="A177" s="0" t="s">
        <v>486</v>
      </c>
      <c r="B177" s="0" t="s">
        <v>273</v>
      </c>
      <c r="C177" s="0" t="s">
        <v>337</v>
      </c>
      <c r="D177" s="0" t="n">
        <v>3584201</v>
      </c>
      <c r="E177" s="0" t="s">
        <v>460</v>
      </c>
      <c r="F177" s="21" t="n">
        <v>37196</v>
      </c>
      <c r="G177" s="21"/>
      <c r="H177" s="21"/>
      <c r="I177" s="21" t="s">
        <v>450</v>
      </c>
      <c r="J177" s="0" t="n">
        <f aca="false">IF(ISNA(VLOOKUP(C177,CNGx,2,FALSE())),"na",(VLOOKUP(C177,CNGx,2,FALSE())))</f>
        <v>41</v>
      </c>
      <c r="K177" s="0" t="n">
        <f aca="false">IF(ISNA(VLOOKUP(C177,CNGx,3,0)),0,VLOOKUP(C177,CNGx,3,FALSE()))</f>
        <v>47</v>
      </c>
      <c r="L177" s="29" t="n">
        <f aca="false">VLOOKUP(I177,Retention,2,FALSE())</f>
        <v>0.0228</v>
      </c>
      <c r="M177" s="30" t="n">
        <f aca="false">IF(OR(I177="TD",I177="TW"),0,J177*0.0228)</f>
        <v>0.9348</v>
      </c>
      <c r="N177" s="30" t="n">
        <f aca="false">IF(OR(I177="TD",I177="TW"),0,K177*0.0228)</f>
        <v>1.0716</v>
      </c>
      <c r="O177" s="30" t="n">
        <f aca="false">J177-ROUND(+$J177*(VLOOKUP($I177,cngded,6,FALSE())),0)</f>
        <v>36</v>
      </c>
      <c r="P177" s="30" t="n">
        <f aca="false">K177-ROUND(+$K177*(VLOOKUP($I177,cngded,6,FALSE())),0)</f>
        <v>41</v>
      </c>
      <c r="Q177" s="23" t="str">
        <f aca="false">IF(ISNA(VLOOKUP(C177,INCNG,1,FALSE())),"--","Y")</f>
        <v>Y</v>
      </c>
      <c r="R177" s="23" t="n">
        <f aca="false">IF(ISNA(VLOOKUP(C177,INCNG,10,FALSE())),0,VLOOKUP(C177,INCNG,10,FALSE()))</f>
        <v>36</v>
      </c>
      <c r="S177" s="0" t="n">
        <f aca="false">+K177-R177</f>
        <v>11</v>
      </c>
      <c r="T177" s="31" t="n">
        <f aca="false">+P177-R177</f>
        <v>5</v>
      </c>
      <c r="U177" s="32" t="n">
        <f aca="false">ROUND(+$K177*(VLOOKUP($I177,Retention,2,FALSE())),0)</f>
        <v>1</v>
      </c>
      <c r="V177" s="32" t="n">
        <f aca="false">ROUND(+$K177*(VLOOKUP($I177,Retention,3,FALSE())),0)</f>
        <v>3</v>
      </c>
      <c r="W177" s="32" t="n">
        <f aca="false">ROUND(+$K177*(VLOOKUP($I177,Retention,4,FALSE())),0)</f>
        <v>1</v>
      </c>
      <c r="X177" s="32" t="n">
        <f aca="false">ROUND(+$K177*(VLOOKUP($I177,Retention,5,FALSE())),0)</f>
        <v>0</v>
      </c>
      <c r="Y177" s="31" t="n">
        <f aca="false">SUM(U177:X177)</f>
        <v>5</v>
      </c>
      <c r="Z177" s="0" t="n">
        <f aca="false">ROUND(+$K177*(VLOOKUP($I177,cngded,6,FALSE())),0)</f>
        <v>6</v>
      </c>
      <c r="AB177" s="33"/>
      <c r="AC177" s="33"/>
      <c r="AD177" s="0" t="e">
        <f aca="false">VLOOKUP(AB177,INCNG,3,FALSE())</f>
        <v>#N/A</v>
      </c>
    </row>
    <row r="178" customFormat="false" ht="12.75" hidden="false" customHeight="false" outlineLevel="0" collapsed="false">
      <c r="A178" s="0" t="s">
        <v>486</v>
      </c>
      <c r="B178" s="0" t="s">
        <v>273</v>
      </c>
      <c r="C178" s="0" t="s">
        <v>275</v>
      </c>
      <c r="D178" s="0" t="n">
        <v>3584401</v>
      </c>
      <c r="E178" s="0" t="s">
        <v>270</v>
      </c>
      <c r="F178" s="21" t="n">
        <v>37196</v>
      </c>
      <c r="G178" s="21"/>
      <c r="H178" s="21"/>
      <c r="I178" s="21" t="s">
        <v>450</v>
      </c>
      <c r="J178" s="0" t="n">
        <f aca="false">IF(ISNA(VLOOKUP(C178,CNGx,2,FALSE())),"na",(VLOOKUP(C178,CNGx,2,FALSE())))</f>
        <v>12</v>
      </c>
      <c r="K178" s="0" t="n">
        <f aca="false">IF(ISNA(VLOOKUP(C178,CNGx,3,0)),0,VLOOKUP(C178,CNGx,3,FALSE()))</f>
        <v>14</v>
      </c>
      <c r="L178" s="29" t="n">
        <f aca="false">VLOOKUP(I178,Retention,2,FALSE())</f>
        <v>0.0228</v>
      </c>
      <c r="M178" s="30" t="n">
        <f aca="false">IF(OR(I178="TD",I178="TW"),0,J178*0.0228)</f>
        <v>0.2736</v>
      </c>
      <c r="N178" s="30" t="n">
        <f aca="false">IF(OR(I178="TD",I178="TW"),0,K178*0.0228)</f>
        <v>0.3192</v>
      </c>
      <c r="O178" s="30" t="n">
        <f aca="false">J178-ROUND(+$J178*(VLOOKUP($I178,cngded,6,FALSE())),0)</f>
        <v>10</v>
      </c>
      <c r="P178" s="30" t="n">
        <f aca="false">K178-ROUND(+$K178*(VLOOKUP($I178,cngded,6,FALSE())),0)</f>
        <v>12</v>
      </c>
      <c r="Q178" s="23" t="str">
        <f aca="false">IF(ISNA(VLOOKUP(C178,INCNG,1,FALSE())),"--","Y")</f>
        <v>Y</v>
      </c>
      <c r="R178" s="23" t="n">
        <f aca="false">IF(ISNA(VLOOKUP(C178,INCNG,10,FALSE())),0,VLOOKUP(C178,INCNG,10,FALSE()))</f>
        <v>10</v>
      </c>
      <c r="S178" s="0" t="n">
        <f aca="false">+K178-R178</f>
        <v>4</v>
      </c>
      <c r="T178" s="31" t="n">
        <f aca="false">+P178-R178</f>
        <v>2</v>
      </c>
      <c r="U178" s="32" t="n">
        <f aca="false">ROUND(+$K178*(VLOOKUP($I178,Retention,2,FALSE())),0)</f>
        <v>0</v>
      </c>
      <c r="V178" s="32" t="n">
        <f aca="false">ROUND(+$K178*(VLOOKUP($I178,Retention,3,FALSE())),0)</f>
        <v>1</v>
      </c>
      <c r="W178" s="32" t="n">
        <f aca="false">ROUND(+$K178*(VLOOKUP($I178,Retention,4,FALSE())),0)</f>
        <v>0</v>
      </c>
      <c r="X178" s="32" t="n">
        <f aca="false">ROUND(+$K178*(VLOOKUP($I178,Retention,5,FALSE())),0)</f>
        <v>0</v>
      </c>
      <c r="Y178" s="31" t="n">
        <f aca="false">SUM(U178:X178)</f>
        <v>1</v>
      </c>
      <c r="AB178" s="33"/>
      <c r="AC178" s="33"/>
      <c r="AD178" s="0" t="e">
        <f aca="false">VLOOKUP(AB178,INCNG,3,FALSE())</f>
        <v>#N/A</v>
      </c>
    </row>
    <row r="179" customFormat="false" ht="12.75" hidden="false" customHeight="false" outlineLevel="0" collapsed="false">
      <c r="A179" s="0" t="s">
        <v>486</v>
      </c>
      <c r="B179" s="0" t="s">
        <v>273</v>
      </c>
      <c r="C179" s="0" t="s">
        <v>258</v>
      </c>
      <c r="D179" s="0" t="n">
        <v>3585801</v>
      </c>
      <c r="E179" s="0" t="s">
        <v>459</v>
      </c>
      <c r="F179" s="21" t="n">
        <v>37196</v>
      </c>
      <c r="G179" s="21"/>
      <c r="H179" s="21"/>
      <c r="I179" s="21" t="s">
        <v>450</v>
      </c>
      <c r="J179" s="0" t="n">
        <f aca="false">IF(ISNA(VLOOKUP(C179,CNGx,2,FALSE())),"na",(VLOOKUP(C179,CNGx,2,FALSE())))</f>
        <v>1525</v>
      </c>
      <c r="K179" s="0" t="n">
        <f aca="false">IF(ISNA(VLOOKUP(C179,CNGx,3,0)),0,VLOOKUP(C179,CNGx,3,FALSE()))</f>
        <v>1922</v>
      </c>
      <c r="L179" s="29" t="n">
        <f aca="false">VLOOKUP(I179,Retention,2,FALSE())</f>
        <v>0.0228</v>
      </c>
      <c r="M179" s="30" t="n">
        <f aca="false">IF(OR(I179="TD",I179="TW"),0,J179*0.0228)</f>
        <v>34.77</v>
      </c>
      <c r="N179" s="30" t="n">
        <f aca="false">IF(OR(I179="TD",I179="TW"),0,K179*0.0228)</f>
        <v>43.8216</v>
      </c>
      <c r="O179" s="30" t="n">
        <f aca="false">J179-ROUND(+$J179*(VLOOKUP($I179,cngded,6,FALSE())),0)</f>
        <v>1323</v>
      </c>
      <c r="P179" s="30" t="n">
        <f aca="false">K179-ROUND(+$K179*(VLOOKUP($I179,cngded,6,FALSE())),0)</f>
        <v>1667</v>
      </c>
      <c r="Q179" s="23" t="str">
        <f aca="false">IF(ISNA(VLOOKUP(C179,INCNG,1,FALSE())),"--","Y")</f>
        <v>Y</v>
      </c>
      <c r="R179" s="23" t="n">
        <f aca="false">IF(ISNA(VLOOKUP(C179,INCNG,10,FALSE())),0,VLOOKUP(C179,INCNG,10,FALSE()))</f>
        <v>1323</v>
      </c>
      <c r="S179" s="0" t="n">
        <f aca="false">+K179-R179</f>
        <v>599</v>
      </c>
      <c r="T179" s="31" t="n">
        <f aca="false">+P179-R179</f>
        <v>344</v>
      </c>
      <c r="U179" s="32" t="n">
        <f aca="false">ROUND(+$K179*(VLOOKUP($I179,Retention,2,FALSE())),0)</f>
        <v>44</v>
      </c>
      <c r="V179" s="32" t="n">
        <f aca="false">ROUND(+$K179*(VLOOKUP($I179,Retention,3,FALSE())),0)</f>
        <v>136</v>
      </c>
      <c r="W179" s="32" t="n">
        <f aca="false">ROUND(+$K179*(VLOOKUP($I179,Retention,4,FALSE())),0)</f>
        <v>58</v>
      </c>
      <c r="X179" s="32" t="n">
        <f aca="false">ROUND(+$K179*(VLOOKUP($I179,Retention,5,FALSE())),0)</f>
        <v>17</v>
      </c>
      <c r="Y179" s="31" t="n">
        <f aca="false">SUM(U179:X179)</f>
        <v>255</v>
      </c>
      <c r="AB179" s="33"/>
      <c r="AC179" s="33"/>
      <c r="AD179" s="0" t="e">
        <f aca="false">VLOOKUP(AB179,INCNG,3,FALSE())</f>
        <v>#N/A</v>
      </c>
    </row>
    <row r="180" customFormat="false" ht="12.75" hidden="false" customHeight="false" outlineLevel="0" collapsed="false">
      <c r="A180" s="0" t="s">
        <v>486</v>
      </c>
      <c r="B180" s="0" t="s">
        <v>273</v>
      </c>
      <c r="C180" s="0" t="s">
        <v>379</v>
      </c>
      <c r="D180" s="0" t="n">
        <v>3587701</v>
      </c>
      <c r="E180" s="0" t="s">
        <v>456</v>
      </c>
      <c r="F180" s="21" t="n">
        <v>37196</v>
      </c>
      <c r="G180" s="21"/>
      <c r="H180" s="21"/>
      <c r="I180" s="21" t="s">
        <v>450</v>
      </c>
      <c r="J180" s="0" t="n">
        <f aca="false">IF(ISNA(VLOOKUP(C180,CNGx,2,FALSE())),"na",(VLOOKUP(C180,CNGx,2,FALSE())))</f>
        <v>152</v>
      </c>
      <c r="K180" s="0" t="n">
        <f aca="false">IF(ISNA(VLOOKUP(C180,CNGx,3,0)),0,VLOOKUP(C180,CNGx,3,FALSE()))</f>
        <v>188</v>
      </c>
      <c r="L180" s="29" t="n">
        <f aca="false">VLOOKUP(I180,Retention,2,FALSE())</f>
        <v>0.0228</v>
      </c>
      <c r="M180" s="30" t="n">
        <f aca="false">IF(OR(I180="TD",I180="TW"),0,J180*0.0228)</f>
        <v>3.4656</v>
      </c>
      <c r="N180" s="30" t="n">
        <f aca="false">IF(OR(I180="TD",I180="TW"),0,K180*0.0228)</f>
        <v>4.2864</v>
      </c>
      <c r="O180" s="30" t="n">
        <f aca="false">J180-ROUND(+$J180*(VLOOKUP($I180,cngded,6,FALSE())),0)</f>
        <v>132</v>
      </c>
      <c r="P180" s="30" t="n">
        <f aca="false">K180-ROUND(+$K180*(VLOOKUP($I180,cngded,6,FALSE())),0)</f>
        <v>163</v>
      </c>
      <c r="Q180" s="23" t="str">
        <f aca="false">IF(ISNA(VLOOKUP(C180,INCNG,1,FALSE())),"--","Y")</f>
        <v>Y</v>
      </c>
      <c r="R180" s="23" t="n">
        <f aca="false">IF(ISNA(VLOOKUP(C180,INCNG,10,FALSE())),0,VLOOKUP(C180,INCNG,10,FALSE()))</f>
        <v>132</v>
      </c>
      <c r="S180" s="0" t="n">
        <f aca="false">+K180-R180</f>
        <v>56</v>
      </c>
      <c r="T180" s="31" t="n">
        <f aca="false">+P180-R180</f>
        <v>31</v>
      </c>
      <c r="U180" s="32" t="n">
        <f aca="false">ROUND(+$K180*(VLOOKUP($I180,Retention,2,FALSE())),0)</f>
        <v>4</v>
      </c>
      <c r="V180" s="32" t="n">
        <f aca="false">ROUND(+$K180*(VLOOKUP($I180,Retention,3,FALSE())),0)</f>
        <v>13</v>
      </c>
      <c r="W180" s="32" t="n">
        <f aca="false">ROUND(+$K180*(VLOOKUP($I180,Retention,4,FALSE())),0)</f>
        <v>6</v>
      </c>
      <c r="X180" s="32" t="n">
        <f aca="false">ROUND(+$K180*(VLOOKUP($I180,Retention,5,FALSE())),0)</f>
        <v>2</v>
      </c>
      <c r="Y180" s="31" t="n">
        <f aca="false">SUM(U180:X180)</f>
        <v>25</v>
      </c>
      <c r="AB180" s="33"/>
      <c r="AC180" s="33"/>
      <c r="AD180" s="0" t="e">
        <f aca="false">VLOOKUP(AB180,INCNG,3,FALSE())</f>
        <v>#N/A</v>
      </c>
    </row>
    <row r="181" customFormat="false" ht="12.75" hidden="false" customHeight="false" outlineLevel="0" collapsed="false">
      <c r="A181" s="0" t="s">
        <v>486</v>
      </c>
      <c r="B181" s="0" t="s">
        <v>273</v>
      </c>
      <c r="C181" s="0" t="s">
        <v>314</v>
      </c>
      <c r="D181" s="0" t="n">
        <v>4004301</v>
      </c>
      <c r="E181" s="0" t="s">
        <v>315</v>
      </c>
      <c r="F181" s="21" t="n">
        <v>37196</v>
      </c>
      <c r="G181" s="21"/>
      <c r="H181" s="21"/>
      <c r="I181" s="21" t="s">
        <v>450</v>
      </c>
      <c r="J181" s="0" t="n">
        <f aca="false">IF(ISNA(VLOOKUP(C181,CNGx,2,FALSE())),"na",(VLOOKUP(C181,CNGx,2,FALSE())))</f>
        <v>270</v>
      </c>
      <c r="K181" s="0" t="n">
        <f aca="false">IF(ISNA(VLOOKUP(C181,CNGx,3,0)),0,VLOOKUP(C181,CNGx,3,FALSE()))</f>
        <v>312</v>
      </c>
      <c r="L181" s="29" t="n">
        <f aca="false">VLOOKUP(I181,Retention,2,FALSE())</f>
        <v>0.0228</v>
      </c>
      <c r="M181" s="30" t="n">
        <f aca="false">IF(OR(I181="TD",I181="TW"),0,J181*0.0228)</f>
        <v>6.156</v>
      </c>
      <c r="N181" s="30" t="n">
        <f aca="false">IF(OR(I181="TD",I181="TW"),0,K181*0.0228)</f>
        <v>7.1136</v>
      </c>
      <c r="O181" s="30" t="n">
        <f aca="false">J181-ROUND(+$J181*(VLOOKUP($I181,cngded,6,FALSE())),0)</f>
        <v>234</v>
      </c>
      <c r="P181" s="30" t="n">
        <f aca="false">K181-ROUND(+$K181*(VLOOKUP($I181,cngded,6,FALSE())),0)</f>
        <v>271</v>
      </c>
      <c r="Q181" s="23" t="str">
        <f aca="false">IF(ISNA(VLOOKUP(C181,INCNG,1,FALSE())),"--","Y")</f>
        <v>Y</v>
      </c>
      <c r="R181" s="23" t="n">
        <f aca="false">IF(ISNA(VLOOKUP(C181,INCNG,10,FALSE())),0,VLOOKUP(C181,INCNG,10,FALSE()))</f>
        <v>234</v>
      </c>
      <c r="S181" s="0" t="n">
        <f aca="false">+K181-R181</f>
        <v>78</v>
      </c>
      <c r="T181" s="31" t="n">
        <f aca="false">+P181-R181</f>
        <v>37</v>
      </c>
      <c r="U181" s="32" t="n">
        <f aca="false">ROUND(+$K181*(VLOOKUP($I181,Retention,2,FALSE())),0)</f>
        <v>7</v>
      </c>
      <c r="V181" s="32" t="n">
        <f aca="false">ROUND(+$K181*(VLOOKUP($I181,Retention,3,FALSE())),0)</f>
        <v>22</v>
      </c>
      <c r="W181" s="32" t="n">
        <f aca="false">ROUND(+$K181*(VLOOKUP($I181,Retention,4,FALSE())),0)</f>
        <v>9</v>
      </c>
      <c r="X181" s="32" t="n">
        <f aca="false">ROUND(+$K181*(VLOOKUP($I181,Retention,5,FALSE())),0)</f>
        <v>3</v>
      </c>
      <c r="Y181" s="31" t="n">
        <f aca="false">SUM(U181:X181)</f>
        <v>41</v>
      </c>
      <c r="AB181" s="33"/>
      <c r="AC181" s="33"/>
      <c r="AD181" s="0" t="e">
        <f aca="false">VLOOKUP(AB181,INCNG,3,FALSE())</f>
        <v>#N/A</v>
      </c>
    </row>
    <row r="182" customFormat="false" ht="12.75" hidden="false" customHeight="false" outlineLevel="0" collapsed="false">
      <c r="A182" s="0" t="s">
        <v>486</v>
      </c>
      <c r="B182" s="0" t="s">
        <v>273</v>
      </c>
      <c r="C182" s="0" t="s">
        <v>316</v>
      </c>
      <c r="D182" s="0" t="n">
        <v>4004801</v>
      </c>
      <c r="E182" s="0" t="s">
        <v>315</v>
      </c>
      <c r="F182" s="21" t="n">
        <v>37196</v>
      </c>
      <c r="G182" s="21"/>
      <c r="H182" s="21"/>
      <c r="I182" s="21" t="s">
        <v>450</v>
      </c>
      <c r="J182" s="0" t="n">
        <f aca="false">IF(ISNA(VLOOKUP(C182,CNGx,2,FALSE())),"na",(VLOOKUP(C182,CNGx,2,FALSE())))</f>
        <v>1301</v>
      </c>
      <c r="K182" s="0" t="n">
        <f aca="false">IF(ISNA(VLOOKUP(C182,CNGx,3,0)),0,VLOOKUP(C182,CNGx,3,FALSE()))</f>
        <v>1534</v>
      </c>
      <c r="L182" s="29" t="n">
        <f aca="false">VLOOKUP(I182,Retention,2,FALSE())</f>
        <v>0.0228</v>
      </c>
      <c r="M182" s="30" t="n">
        <f aca="false">IF(OR(I182="TD",I182="TW"),0,J182*0.0228)</f>
        <v>29.6628</v>
      </c>
      <c r="N182" s="30" t="n">
        <f aca="false">IF(OR(I182="TD",I182="TW"),0,K182*0.0228)</f>
        <v>34.9752</v>
      </c>
      <c r="O182" s="30" t="n">
        <f aca="false">J182-ROUND(+$J182*(VLOOKUP($I182,cngded,6,FALSE())),0)</f>
        <v>1129</v>
      </c>
      <c r="P182" s="30" t="n">
        <f aca="false">K182-ROUND(+$K182*(VLOOKUP($I182,cngded,6,FALSE())),0)</f>
        <v>1331</v>
      </c>
      <c r="Q182" s="23" t="str">
        <f aca="false">IF(ISNA(VLOOKUP(C182,INCNG,1,FALSE())),"--","Y")</f>
        <v>Y</v>
      </c>
      <c r="R182" s="23" t="n">
        <f aca="false">IF(ISNA(VLOOKUP(C182,INCNG,10,FALSE())),0,VLOOKUP(C182,INCNG,10,FALSE()))</f>
        <v>1129</v>
      </c>
      <c r="S182" s="0" t="n">
        <f aca="false">+K182-R182</f>
        <v>405</v>
      </c>
      <c r="T182" s="31" t="n">
        <f aca="false">+P182-R182</f>
        <v>202</v>
      </c>
      <c r="U182" s="32" t="n">
        <f aca="false">ROUND(+$K182*(VLOOKUP($I182,Retention,2,FALSE())),0)</f>
        <v>35</v>
      </c>
      <c r="V182" s="32" t="n">
        <f aca="false">ROUND(+$K182*(VLOOKUP($I182,Retention,3,FALSE())),0)</f>
        <v>108</v>
      </c>
      <c r="W182" s="32" t="n">
        <f aca="false">ROUND(+$K182*(VLOOKUP($I182,Retention,4,FALSE())),0)</f>
        <v>46</v>
      </c>
      <c r="X182" s="32" t="n">
        <f aca="false">ROUND(+$K182*(VLOOKUP($I182,Retention,5,FALSE())),0)</f>
        <v>14</v>
      </c>
      <c r="Y182" s="31" t="n">
        <f aca="false">SUM(U182:X182)</f>
        <v>203</v>
      </c>
      <c r="AB182" s="33"/>
      <c r="AC182" s="33"/>
      <c r="AD182" s="0" t="e">
        <f aca="false">VLOOKUP(AB182,INCNG,3,FALSE())</f>
        <v>#N/A</v>
      </c>
    </row>
    <row r="183" customFormat="false" ht="12.75" hidden="false" customHeight="false" outlineLevel="0" collapsed="false">
      <c r="A183" s="0" t="s">
        <v>486</v>
      </c>
      <c r="B183" s="0" t="s">
        <v>273</v>
      </c>
      <c r="C183" s="0" t="s">
        <v>317</v>
      </c>
      <c r="D183" s="0" t="n">
        <v>4017601</v>
      </c>
      <c r="E183" s="0" t="s">
        <v>315</v>
      </c>
      <c r="F183" s="21" t="n">
        <v>37196</v>
      </c>
      <c r="G183" s="21"/>
      <c r="H183" s="21"/>
      <c r="I183" s="21" t="s">
        <v>450</v>
      </c>
      <c r="J183" s="0" t="n">
        <f aca="false">IF(ISNA(VLOOKUP(C183,CNGx,2,FALSE())),"na",(VLOOKUP(C183,CNGx,2,FALSE())))</f>
        <v>369</v>
      </c>
      <c r="K183" s="0" t="n">
        <f aca="false">IF(ISNA(VLOOKUP(C183,CNGx,3,0)),0,VLOOKUP(C183,CNGx,3,FALSE()))</f>
        <v>434</v>
      </c>
      <c r="L183" s="29" t="n">
        <f aca="false">VLOOKUP(I183,Retention,2,FALSE())</f>
        <v>0.0228</v>
      </c>
      <c r="M183" s="30" t="n">
        <f aca="false">IF(OR(I183="TD",I183="TW"),0,J183*0.0228)</f>
        <v>8.4132</v>
      </c>
      <c r="N183" s="30" t="n">
        <f aca="false">IF(OR(I183="TD",I183="TW"),0,K183*0.0228)</f>
        <v>9.8952</v>
      </c>
      <c r="O183" s="30" t="n">
        <f aca="false">J183-ROUND(+$J183*(VLOOKUP($I183,cngded,6,FALSE())),0)</f>
        <v>320</v>
      </c>
      <c r="P183" s="30" t="n">
        <f aca="false">K183-ROUND(+$K183*(VLOOKUP($I183,cngded,6,FALSE())),0)</f>
        <v>376</v>
      </c>
      <c r="Q183" s="23" t="str">
        <f aca="false">IF(ISNA(VLOOKUP(C183,INCNG,1,FALSE())),"--","Y")</f>
        <v>Y</v>
      </c>
      <c r="R183" s="23" t="n">
        <f aca="false">IF(ISNA(VLOOKUP(C183,INCNG,10,FALSE())),0,VLOOKUP(C183,INCNG,10,FALSE()))</f>
        <v>320</v>
      </c>
      <c r="S183" s="0" t="n">
        <f aca="false">+K183-R183</f>
        <v>114</v>
      </c>
      <c r="T183" s="31" t="n">
        <f aca="false">+P183-R183</f>
        <v>56</v>
      </c>
      <c r="U183" s="32" t="n">
        <f aca="false">ROUND(+$K183*(VLOOKUP($I183,Retention,2,FALSE())),0)</f>
        <v>10</v>
      </c>
      <c r="V183" s="32" t="n">
        <f aca="false">ROUND(+$K183*(VLOOKUP($I183,Retention,3,FALSE())),0)</f>
        <v>31</v>
      </c>
      <c r="W183" s="32" t="n">
        <f aca="false">ROUND(+$K183*(VLOOKUP($I183,Retention,4,FALSE())),0)</f>
        <v>13</v>
      </c>
      <c r="X183" s="32" t="n">
        <f aca="false">ROUND(+$K183*(VLOOKUP($I183,Retention,5,FALSE())),0)</f>
        <v>4</v>
      </c>
      <c r="Y183" s="31" t="n">
        <f aca="false">SUM(U183:X183)</f>
        <v>58</v>
      </c>
      <c r="AB183" s="33"/>
      <c r="AC183" s="33"/>
      <c r="AD183" s="0" t="e">
        <f aca="false">VLOOKUP(AB183,INCNG,3,FALSE())</f>
        <v>#N/A</v>
      </c>
    </row>
    <row r="184" customFormat="false" ht="12.75" hidden="false" customHeight="false" outlineLevel="0" collapsed="false">
      <c r="A184" s="0" t="s">
        <v>486</v>
      </c>
      <c r="B184" s="0" t="s">
        <v>273</v>
      </c>
      <c r="C184" s="0" t="s">
        <v>318</v>
      </c>
      <c r="D184" s="0" t="n">
        <v>4023001</v>
      </c>
      <c r="E184" s="0" t="s">
        <v>315</v>
      </c>
      <c r="F184" s="21" t="n">
        <v>37196</v>
      </c>
      <c r="G184" s="21"/>
      <c r="H184" s="21"/>
      <c r="I184" s="21" t="s">
        <v>450</v>
      </c>
      <c r="J184" s="0" t="n">
        <f aca="false">IF(ISNA(VLOOKUP(C184,CNGx,2,FALSE())),"na",(VLOOKUP(C184,CNGx,2,FALSE())))</f>
        <v>142</v>
      </c>
      <c r="K184" s="0" t="n">
        <f aca="false">IF(ISNA(VLOOKUP(C184,CNGx,3,0)),0,VLOOKUP(C184,CNGx,3,FALSE()))</f>
        <v>164</v>
      </c>
      <c r="L184" s="29" t="n">
        <f aca="false">VLOOKUP(I184,Retention,2,FALSE())</f>
        <v>0.0228</v>
      </c>
      <c r="M184" s="30" t="n">
        <f aca="false">IF(OR(I184="TD",I184="TW"),0,J184*0.0228)</f>
        <v>3.2376</v>
      </c>
      <c r="N184" s="30" t="n">
        <f aca="false">IF(OR(I184="TD",I184="TW"),0,K184*0.0228)</f>
        <v>3.7392</v>
      </c>
      <c r="O184" s="30" t="n">
        <f aca="false">J184-ROUND(+$J184*(VLOOKUP($I184,cngded,6,FALSE())),0)</f>
        <v>123</v>
      </c>
      <c r="P184" s="30" t="n">
        <f aca="false">K184-ROUND(+$K184*(VLOOKUP($I184,cngded,6,FALSE())),0)</f>
        <v>142</v>
      </c>
      <c r="Q184" s="23" t="str">
        <f aca="false">IF(ISNA(VLOOKUP(C184,INCNG,1,FALSE())),"--","Y")</f>
        <v>Y</v>
      </c>
      <c r="R184" s="23" t="n">
        <f aca="false">IF(ISNA(VLOOKUP(C184,INCNG,10,FALSE())),0,VLOOKUP(C184,INCNG,10,FALSE()))</f>
        <v>123</v>
      </c>
      <c r="S184" s="0" t="n">
        <f aca="false">+K184-R184</f>
        <v>41</v>
      </c>
      <c r="T184" s="31" t="n">
        <f aca="false">+P184-R184</f>
        <v>19</v>
      </c>
      <c r="U184" s="32" t="n">
        <f aca="false">ROUND(+$K184*(VLOOKUP($I184,Retention,2,FALSE())),0)</f>
        <v>4</v>
      </c>
      <c r="V184" s="32" t="n">
        <f aca="false">ROUND(+$K184*(VLOOKUP($I184,Retention,3,FALSE())),0)</f>
        <v>12</v>
      </c>
      <c r="W184" s="32" t="n">
        <f aca="false">ROUND(+$K184*(VLOOKUP($I184,Retention,4,FALSE())),0)</f>
        <v>5</v>
      </c>
      <c r="X184" s="32" t="n">
        <f aca="false">ROUND(+$K184*(VLOOKUP($I184,Retention,5,FALSE())),0)</f>
        <v>1</v>
      </c>
      <c r="Y184" s="31" t="n">
        <f aca="false">SUM(U184:X184)</f>
        <v>22</v>
      </c>
      <c r="AB184" s="33"/>
      <c r="AC184" s="33"/>
      <c r="AD184" s="0" t="e">
        <f aca="false">VLOOKUP(AB184,INCNG,3,FALSE())</f>
        <v>#N/A</v>
      </c>
    </row>
    <row r="185" customFormat="false" ht="12.75" hidden="false" customHeight="false" outlineLevel="0" collapsed="false">
      <c r="A185" s="0" t="s">
        <v>486</v>
      </c>
      <c r="B185" s="0" t="s">
        <v>273</v>
      </c>
      <c r="C185" s="0" t="s">
        <v>198</v>
      </c>
      <c r="D185" s="0" t="n">
        <v>4023601</v>
      </c>
      <c r="E185" s="0" t="s">
        <v>36</v>
      </c>
      <c r="F185" s="21" t="n">
        <v>37196</v>
      </c>
      <c r="G185" s="21"/>
      <c r="H185" s="21"/>
      <c r="I185" s="21" t="s">
        <v>450</v>
      </c>
      <c r="J185" s="0" t="n">
        <f aca="false">IF(ISNA(VLOOKUP(C185,CNGx,2,FALSE())),"na",(VLOOKUP(C185,CNGx,2,FALSE())))</f>
        <v>60</v>
      </c>
      <c r="K185" s="0" t="n">
        <f aca="false">IF(ISNA(VLOOKUP(C185,CNGx,3,0)),0,VLOOKUP(C185,CNGx,3,FALSE()))</f>
        <v>69</v>
      </c>
      <c r="L185" s="29" t="n">
        <f aca="false">VLOOKUP(I185,Retention,2,FALSE())</f>
        <v>0.0228</v>
      </c>
      <c r="M185" s="30" t="n">
        <f aca="false">IF(OR(I185="TD",I185="TW"),0,J185*0.0228)</f>
        <v>1.368</v>
      </c>
      <c r="N185" s="30" t="n">
        <f aca="false">IF(OR(I185="TD",I185="TW"),0,K185*0.0228)</f>
        <v>1.5732</v>
      </c>
      <c r="O185" s="30" t="n">
        <f aca="false">J185-ROUND(+$J185*(VLOOKUP($I185,cngded,6,FALSE())),0)</f>
        <v>52</v>
      </c>
      <c r="P185" s="30" t="n">
        <f aca="false">K185-ROUND(+$K185*(VLOOKUP($I185,cngded,6,FALSE())),0)</f>
        <v>60</v>
      </c>
      <c r="Q185" s="23" t="str">
        <f aca="false">IF(ISNA(VLOOKUP(C185,INCNG,1,FALSE())),"--","Y")</f>
        <v>Y</v>
      </c>
      <c r="R185" s="23" t="n">
        <f aca="false">IF(ISNA(VLOOKUP(C185,INCNG,10,FALSE())),0,VLOOKUP(C185,INCNG,10,FALSE()))</f>
        <v>52</v>
      </c>
      <c r="S185" s="0" t="n">
        <f aca="false">+K185-R185</f>
        <v>17</v>
      </c>
      <c r="T185" s="31" t="n">
        <f aca="false">+P185-R185</f>
        <v>8</v>
      </c>
      <c r="U185" s="32" t="n">
        <f aca="false">ROUND(+$K185*(VLOOKUP($I185,Retention,2,FALSE())),0)</f>
        <v>2</v>
      </c>
      <c r="V185" s="32" t="n">
        <f aca="false">ROUND(+$K185*(VLOOKUP($I185,Retention,3,FALSE())),0)</f>
        <v>5</v>
      </c>
      <c r="W185" s="32" t="n">
        <f aca="false">ROUND(+$K185*(VLOOKUP($I185,Retention,4,FALSE())),0)</f>
        <v>2</v>
      </c>
      <c r="X185" s="32" t="n">
        <f aca="false">ROUND(+$K185*(VLOOKUP($I185,Retention,5,FALSE())),0)</f>
        <v>1</v>
      </c>
      <c r="Y185" s="31" t="n">
        <f aca="false">SUM(U185:X185)</f>
        <v>10</v>
      </c>
      <c r="AB185" s="33"/>
      <c r="AC185" s="33"/>
      <c r="AD185" s="0" t="e">
        <f aca="false">VLOOKUP(AB185,INCNG,3,FALSE())</f>
        <v>#N/A</v>
      </c>
    </row>
    <row r="186" customFormat="false" ht="12.75" hidden="false" customHeight="false" outlineLevel="0" collapsed="false">
      <c r="A186" s="0" t="s">
        <v>486</v>
      </c>
      <c r="B186" s="0" t="s">
        <v>273</v>
      </c>
      <c r="C186" s="0" t="s">
        <v>319</v>
      </c>
      <c r="D186" s="0" t="n">
        <v>4036701</v>
      </c>
      <c r="E186" s="0" t="s">
        <v>315</v>
      </c>
      <c r="F186" s="21" t="n">
        <v>37196</v>
      </c>
      <c r="G186" s="21"/>
      <c r="H186" s="21"/>
      <c r="I186" s="21" t="s">
        <v>450</v>
      </c>
      <c r="J186" s="0" t="n">
        <f aca="false">IF(ISNA(VLOOKUP(C186,CNGx,2,FALSE())),"na",(VLOOKUP(C186,CNGx,2,FALSE())))</f>
        <v>632</v>
      </c>
      <c r="K186" s="0" t="n">
        <f aca="false">IF(ISNA(VLOOKUP(C186,CNGx,3,0)),0,VLOOKUP(C186,CNGx,3,FALSE()))</f>
        <v>716</v>
      </c>
      <c r="L186" s="29" t="n">
        <f aca="false">VLOOKUP(I186,Retention,2,FALSE())</f>
        <v>0.0228</v>
      </c>
      <c r="M186" s="30" t="n">
        <f aca="false">IF(OR(I186="TD",I186="TW"),0,J186*0.0228)</f>
        <v>14.4096</v>
      </c>
      <c r="N186" s="30" t="n">
        <f aca="false">IF(OR(I186="TD",I186="TW"),0,K186*0.0228)</f>
        <v>16.3248</v>
      </c>
      <c r="O186" s="30" t="n">
        <f aca="false">J186-ROUND(+$J186*(VLOOKUP($I186,cngded,6,FALSE())),0)</f>
        <v>548</v>
      </c>
      <c r="P186" s="30" t="n">
        <f aca="false">K186-ROUND(+$K186*(VLOOKUP($I186,cngded,6,FALSE())),0)</f>
        <v>621</v>
      </c>
      <c r="Q186" s="23" t="str">
        <f aca="false">IF(ISNA(VLOOKUP(C186,INCNG,1,FALSE())),"--","Y")</f>
        <v>Y</v>
      </c>
      <c r="R186" s="23" t="n">
        <f aca="false">IF(ISNA(VLOOKUP(C186,INCNG,10,FALSE())),0,VLOOKUP(C186,INCNG,10,FALSE()))</f>
        <v>548</v>
      </c>
      <c r="S186" s="0" t="n">
        <f aca="false">+K186-R186</f>
        <v>168</v>
      </c>
      <c r="T186" s="31" t="n">
        <f aca="false">+P186-R186</f>
        <v>73</v>
      </c>
      <c r="U186" s="32" t="n">
        <f aca="false">ROUND(+$K186*(VLOOKUP($I186,Retention,2,FALSE())),0)</f>
        <v>16</v>
      </c>
      <c r="V186" s="32" t="n">
        <f aca="false">ROUND(+$K186*(VLOOKUP($I186,Retention,3,FALSE())),0)</f>
        <v>51</v>
      </c>
      <c r="W186" s="32" t="n">
        <f aca="false">ROUND(+$K186*(VLOOKUP($I186,Retention,4,FALSE())),0)</f>
        <v>21</v>
      </c>
      <c r="X186" s="32" t="n">
        <f aca="false">ROUND(+$K186*(VLOOKUP($I186,Retention,5,FALSE())),0)</f>
        <v>7</v>
      </c>
      <c r="Y186" s="31" t="n">
        <f aca="false">SUM(U186:X186)</f>
        <v>95</v>
      </c>
      <c r="AB186" s="33"/>
      <c r="AC186" s="33"/>
      <c r="AD186" s="0" t="e">
        <f aca="false">VLOOKUP(AB186,INCNG,3,FALSE())</f>
        <v>#N/A</v>
      </c>
    </row>
    <row r="187" customFormat="false" ht="12.75" hidden="false" customHeight="false" outlineLevel="0" collapsed="false">
      <c r="A187" s="0" t="s">
        <v>486</v>
      </c>
      <c r="B187" s="0" t="s">
        <v>273</v>
      </c>
      <c r="C187" s="0" t="s">
        <v>320</v>
      </c>
      <c r="D187" s="0" t="n">
        <v>4037201</v>
      </c>
      <c r="E187" s="0" t="s">
        <v>315</v>
      </c>
      <c r="F187" s="21" t="n">
        <v>37196</v>
      </c>
      <c r="G187" s="21"/>
      <c r="H187" s="21"/>
      <c r="I187" s="21" t="s">
        <v>450</v>
      </c>
      <c r="J187" s="0" t="n">
        <f aca="false">IF(ISNA(VLOOKUP(C187,CNGx,2,FALSE())),"na",(VLOOKUP(C187,CNGx,2,FALSE())))</f>
        <v>314</v>
      </c>
      <c r="K187" s="0" t="n">
        <f aca="false">IF(ISNA(VLOOKUP(C187,CNGx,3,0)),0,VLOOKUP(C187,CNGx,3,FALSE()))</f>
        <v>347</v>
      </c>
      <c r="L187" s="29" t="n">
        <f aca="false">VLOOKUP(I187,Retention,2,FALSE())</f>
        <v>0.0228</v>
      </c>
      <c r="M187" s="30" t="n">
        <f aca="false">IF(OR(I187="TD",I187="TW"),0,J187*0.0228)</f>
        <v>7.1592</v>
      </c>
      <c r="N187" s="30" t="n">
        <f aca="false">IF(OR(I187="TD",I187="TW"),0,K187*0.0228)</f>
        <v>7.9116</v>
      </c>
      <c r="O187" s="30" t="n">
        <f aca="false">J187-ROUND(+$J187*(VLOOKUP($I187,cngded,6,FALSE())),0)</f>
        <v>272</v>
      </c>
      <c r="P187" s="30" t="n">
        <f aca="false">K187-ROUND(+$K187*(VLOOKUP($I187,cngded,6,FALSE())),0)</f>
        <v>301</v>
      </c>
      <c r="Q187" s="23" t="str">
        <f aca="false">IF(ISNA(VLOOKUP(C187,INCNG,1,FALSE())),"--","Y")</f>
        <v>Y</v>
      </c>
      <c r="R187" s="23" t="n">
        <f aca="false">IF(ISNA(VLOOKUP(C187,INCNG,10,FALSE())),0,VLOOKUP(C187,INCNG,10,FALSE()))</f>
        <v>272</v>
      </c>
      <c r="S187" s="0" t="n">
        <f aca="false">+K187-R187</f>
        <v>75</v>
      </c>
      <c r="T187" s="31" t="n">
        <f aca="false">+P187-R187</f>
        <v>29</v>
      </c>
      <c r="U187" s="32" t="n">
        <f aca="false">ROUND(+$K187*(VLOOKUP($I187,Retention,2,FALSE())),0)</f>
        <v>8</v>
      </c>
      <c r="V187" s="32" t="n">
        <f aca="false">ROUND(+$K187*(VLOOKUP($I187,Retention,3,FALSE())),0)</f>
        <v>24</v>
      </c>
      <c r="W187" s="32" t="n">
        <f aca="false">ROUND(+$K187*(VLOOKUP($I187,Retention,4,FALSE())),0)</f>
        <v>10</v>
      </c>
      <c r="X187" s="32" t="n">
        <f aca="false">ROUND(+$K187*(VLOOKUP($I187,Retention,5,FALSE())),0)</f>
        <v>3</v>
      </c>
      <c r="Y187" s="31" t="n">
        <f aca="false">SUM(U187:X187)</f>
        <v>45</v>
      </c>
      <c r="AB187" s="33"/>
      <c r="AC187" s="33"/>
      <c r="AD187" s="0" t="e">
        <f aca="false">VLOOKUP(AB187,INCNG,3,FALSE())</f>
        <v>#N/A</v>
      </c>
    </row>
    <row r="188" customFormat="false" ht="12.75" hidden="false" customHeight="false" outlineLevel="0" collapsed="false">
      <c r="A188" s="0" t="s">
        <v>486</v>
      </c>
      <c r="B188" s="0" t="s">
        <v>273</v>
      </c>
      <c r="C188" s="0" t="s">
        <v>242</v>
      </c>
      <c r="D188" s="0" t="n">
        <v>4043501</v>
      </c>
      <c r="E188" s="0" t="s">
        <v>467</v>
      </c>
      <c r="F188" s="21" t="n">
        <v>37196</v>
      </c>
      <c r="G188" s="21"/>
      <c r="H188" s="21"/>
      <c r="I188" s="21" t="s">
        <v>450</v>
      </c>
      <c r="J188" s="0" t="n">
        <f aca="false">IF(ISNA(VLOOKUP(C188,CNGx,2,FALSE())),"na",(VLOOKUP(C188,CNGx,2,FALSE())))</f>
        <v>70</v>
      </c>
      <c r="K188" s="0" t="n">
        <f aca="false">IF(ISNA(VLOOKUP(C188,CNGx,3,0)),0,VLOOKUP(C188,CNGx,3,FALSE()))</f>
        <v>96</v>
      </c>
      <c r="L188" s="29" t="n">
        <f aca="false">VLOOKUP(I188,Retention,2,FALSE())</f>
        <v>0.0228</v>
      </c>
      <c r="M188" s="30" t="n">
        <f aca="false">IF(OR(I188="TD",I188="TW"),0,J188*0.0228)</f>
        <v>1.596</v>
      </c>
      <c r="N188" s="30" t="n">
        <f aca="false">IF(OR(I188="TD",I188="TW"),0,K188*0.0228)</f>
        <v>2.1888</v>
      </c>
      <c r="O188" s="30" t="n">
        <f aca="false">J188-ROUND(+$J188*(VLOOKUP($I188,cngded,6,FALSE())),0)</f>
        <v>61</v>
      </c>
      <c r="P188" s="30" t="n">
        <f aca="false">K188-ROUND(+$K188*(VLOOKUP($I188,cngded,6,FALSE())),0)</f>
        <v>83</v>
      </c>
      <c r="Q188" s="23" t="str">
        <f aca="false">IF(ISNA(VLOOKUP(C188,INCNG,1,FALSE())),"--","Y")</f>
        <v>Y</v>
      </c>
      <c r="R188" s="23" t="n">
        <f aca="false">IF(ISNA(VLOOKUP(C188,INCNG,10,FALSE())),0,VLOOKUP(C188,INCNG,10,FALSE()))</f>
        <v>61</v>
      </c>
      <c r="S188" s="0" t="n">
        <f aca="false">+K188-R188</f>
        <v>35</v>
      </c>
      <c r="T188" s="31" t="n">
        <f aca="false">+P188-R188</f>
        <v>22</v>
      </c>
      <c r="U188" s="32" t="n">
        <f aca="false">ROUND(+$K188*(VLOOKUP($I188,Retention,2,FALSE())),0)</f>
        <v>2</v>
      </c>
      <c r="V188" s="32" t="n">
        <f aca="false">ROUND(+$K188*(VLOOKUP($I188,Retention,3,FALSE())),0)</f>
        <v>7</v>
      </c>
      <c r="W188" s="32" t="n">
        <f aca="false">ROUND(+$K188*(VLOOKUP($I188,Retention,4,FALSE())),0)</f>
        <v>3</v>
      </c>
      <c r="X188" s="32" t="n">
        <f aca="false">ROUND(+$K188*(VLOOKUP($I188,Retention,5,FALSE())),0)</f>
        <v>1</v>
      </c>
      <c r="Y188" s="31" t="n">
        <f aca="false">SUM(U188:X188)</f>
        <v>13</v>
      </c>
      <c r="AB188" s="33"/>
      <c r="AC188" s="33"/>
      <c r="AD188" s="0" t="e">
        <f aca="false">VLOOKUP(AB188,INCNG,3,FALSE())</f>
        <v>#N/A</v>
      </c>
    </row>
    <row r="189" customFormat="false" ht="12.75" hidden="false" customHeight="false" outlineLevel="0" collapsed="false">
      <c r="A189" s="0" t="s">
        <v>486</v>
      </c>
      <c r="B189" s="0" t="s">
        <v>273</v>
      </c>
      <c r="C189" s="0" t="s">
        <v>410</v>
      </c>
      <c r="D189" s="0" t="n">
        <v>4044101</v>
      </c>
      <c r="E189" s="0" t="s">
        <v>406</v>
      </c>
      <c r="F189" s="21" t="n">
        <v>37196</v>
      </c>
      <c r="G189" s="21"/>
      <c r="H189" s="21"/>
      <c r="I189" s="21" t="s">
        <v>450</v>
      </c>
      <c r="J189" s="0" t="n">
        <f aca="false">IF(ISNA(VLOOKUP(C189,CNGx,2,FALSE())),"na",(VLOOKUP(C189,CNGx,2,FALSE())))</f>
        <v>0</v>
      </c>
      <c r="K189" s="0" t="n">
        <f aca="false">IF(ISNA(VLOOKUP(C189,CNGx,3,0)),0,VLOOKUP(C189,CNGx,3,FALSE()))</f>
        <v>0</v>
      </c>
      <c r="L189" s="29" t="n">
        <f aca="false">VLOOKUP(I189,Retention,2,FALSE())</f>
        <v>0.0228</v>
      </c>
      <c r="M189" s="30" t="n">
        <f aca="false">IF(OR(I189="TD",I189="TW"),0,J189*0.0228)</f>
        <v>0</v>
      </c>
      <c r="N189" s="30" t="n">
        <f aca="false">IF(OR(I189="TD",I189="TW"),0,K189*0.0228)</f>
        <v>0</v>
      </c>
      <c r="O189" s="30" t="n">
        <f aca="false">J189-ROUND(+$J189*(VLOOKUP($I189,cngded,6,FALSE())),0)</f>
        <v>0</v>
      </c>
      <c r="P189" s="30" t="n">
        <f aca="false">K189-ROUND(+$K189*(VLOOKUP($I189,cngded,6,FALSE())),0)</f>
        <v>0</v>
      </c>
      <c r="Q189" s="23" t="str">
        <f aca="false">IF(ISNA(VLOOKUP(C189,INCNG,1,FALSE())),"--","Y")</f>
        <v>Y</v>
      </c>
      <c r="R189" s="23" t="n">
        <f aca="false">IF(ISNA(VLOOKUP(C189,INCNG,10,FALSE())),0,VLOOKUP(C189,INCNG,10,FALSE()))</f>
        <v>0</v>
      </c>
      <c r="S189" s="0" t="n">
        <f aca="false">+K189-R189</f>
        <v>0</v>
      </c>
      <c r="T189" s="31" t="n">
        <f aca="false">+P189-R189</f>
        <v>0</v>
      </c>
      <c r="U189" s="32" t="n">
        <f aca="false">ROUND(+$K189*(VLOOKUP($I189,Retention,2,FALSE())),0)</f>
        <v>0</v>
      </c>
      <c r="V189" s="32" t="n">
        <f aca="false">ROUND(+$K189*(VLOOKUP($I189,Retention,3,FALSE())),0)</f>
        <v>0</v>
      </c>
      <c r="W189" s="32" t="n">
        <f aca="false">ROUND(+$K189*(VLOOKUP($I189,Retention,4,FALSE())),0)</f>
        <v>0</v>
      </c>
      <c r="X189" s="32" t="n">
        <f aca="false">ROUND(+$K189*(VLOOKUP($I189,Retention,5,FALSE())),0)</f>
        <v>0</v>
      </c>
      <c r="Y189" s="31" t="n">
        <f aca="false">SUM(U189:X189)</f>
        <v>0</v>
      </c>
      <c r="AB189" s="33"/>
      <c r="AC189" s="33"/>
      <c r="AD189" s="0" t="e">
        <f aca="false">VLOOKUP(AB189,INCNG,3,FALSE())</f>
        <v>#N/A</v>
      </c>
    </row>
    <row r="190" customFormat="false" ht="12.75" hidden="false" customHeight="false" outlineLevel="0" collapsed="false">
      <c r="A190" s="0" t="s">
        <v>486</v>
      </c>
      <c r="B190" s="0" t="s">
        <v>273</v>
      </c>
      <c r="C190" s="0" t="s">
        <v>22</v>
      </c>
      <c r="D190" s="0" t="n">
        <v>4044401</v>
      </c>
      <c r="E190" s="0" t="s">
        <v>468</v>
      </c>
      <c r="F190" s="21" t="n">
        <v>37196</v>
      </c>
      <c r="G190" s="21"/>
      <c r="H190" s="21"/>
      <c r="I190" s="21" t="s">
        <v>450</v>
      </c>
      <c r="J190" s="0" t="n">
        <f aca="false">IF(ISNA(VLOOKUP(C190,CNGx,2,FALSE())),"na",(VLOOKUP(C190,CNGx,2,FALSE())))</f>
        <v>134</v>
      </c>
      <c r="K190" s="0" t="n">
        <f aca="false">IF(ISNA(VLOOKUP(C190,CNGx,3,0)),0,VLOOKUP(C190,CNGx,3,FALSE()))</f>
        <v>156</v>
      </c>
      <c r="L190" s="29" t="n">
        <f aca="false">VLOOKUP(I190,Retention,2,FALSE())</f>
        <v>0.0228</v>
      </c>
      <c r="M190" s="30" t="n">
        <f aca="false">IF(OR(I190="TD",I190="TW"),0,J190*0.0228)</f>
        <v>3.0552</v>
      </c>
      <c r="N190" s="30" t="n">
        <f aca="false">IF(OR(I190="TD",I190="TW"),0,K190*0.0228)</f>
        <v>3.5568</v>
      </c>
      <c r="O190" s="30" t="n">
        <f aca="false">J190-ROUND(+$J190*(VLOOKUP($I190,cngded,6,FALSE())),0)</f>
        <v>116</v>
      </c>
      <c r="P190" s="30" t="n">
        <f aca="false">K190-ROUND(+$K190*(VLOOKUP($I190,cngded,6,FALSE())),0)</f>
        <v>135</v>
      </c>
      <c r="Q190" s="23" t="str">
        <f aca="false">IF(ISNA(VLOOKUP(C190,INCNG,1,FALSE())),"--","Y")</f>
        <v>Y</v>
      </c>
      <c r="R190" s="23" t="n">
        <f aca="false">IF(ISNA(VLOOKUP(C190,INCNG,10,FALSE())),0,VLOOKUP(C190,INCNG,10,FALSE()))</f>
        <v>116</v>
      </c>
      <c r="S190" s="0" t="n">
        <f aca="false">+K190-R190</f>
        <v>40</v>
      </c>
      <c r="T190" s="31" t="n">
        <f aca="false">+P190-R190</f>
        <v>19</v>
      </c>
      <c r="U190" s="32" t="n">
        <f aca="false">ROUND(+$K190*(VLOOKUP($I190,Retention,2,FALSE())),0)</f>
        <v>4</v>
      </c>
      <c r="V190" s="32" t="n">
        <f aca="false">ROUND(+$K190*(VLOOKUP($I190,Retention,3,FALSE())),0)</f>
        <v>11</v>
      </c>
      <c r="W190" s="32" t="n">
        <f aca="false">ROUND(+$K190*(VLOOKUP($I190,Retention,4,FALSE())),0)</f>
        <v>5</v>
      </c>
      <c r="X190" s="32" t="n">
        <f aca="false">ROUND(+$K190*(VLOOKUP($I190,Retention,5,FALSE())),0)</f>
        <v>1</v>
      </c>
      <c r="Y190" s="31" t="n">
        <f aca="false">SUM(U190:X190)</f>
        <v>21</v>
      </c>
      <c r="AB190" s="33"/>
      <c r="AC190" s="33"/>
      <c r="AD190" s="0" t="e">
        <f aca="false">VLOOKUP(AB190,INCNG,3,FALSE())</f>
        <v>#N/A</v>
      </c>
    </row>
    <row r="191" customFormat="false" ht="12.75" hidden="false" customHeight="false" outlineLevel="0" collapsed="false">
      <c r="A191" s="0" t="s">
        <v>486</v>
      </c>
      <c r="B191" s="0" t="s">
        <v>273</v>
      </c>
      <c r="C191" s="0" t="s">
        <v>321</v>
      </c>
      <c r="D191" s="0" t="n">
        <v>4051201</v>
      </c>
      <c r="E191" s="0" t="s">
        <v>315</v>
      </c>
      <c r="F191" s="21" t="n">
        <v>37196</v>
      </c>
      <c r="G191" s="21"/>
      <c r="H191" s="21"/>
      <c r="I191" s="21" t="s">
        <v>450</v>
      </c>
      <c r="J191" s="0" t="n">
        <f aca="false">IF(ISNA(VLOOKUP(C191,CNGx,2,FALSE())),"na",(VLOOKUP(C191,CNGx,2,FALSE())))</f>
        <v>177</v>
      </c>
      <c r="K191" s="0" t="n">
        <f aca="false">IF(ISNA(VLOOKUP(C191,CNGx,3,0)),0,VLOOKUP(C191,CNGx,3,FALSE()))</f>
        <v>206</v>
      </c>
      <c r="L191" s="29" t="n">
        <f aca="false">VLOOKUP(I191,Retention,2,FALSE())</f>
        <v>0.0228</v>
      </c>
      <c r="M191" s="30" t="n">
        <f aca="false">IF(OR(I191="TD",I191="TW"),0,J191*0.0228)</f>
        <v>4.0356</v>
      </c>
      <c r="N191" s="30" t="n">
        <f aca="false">IF(OR(I191="TD",I191="TW"),0,K191*0.0228)</f>
        <v>4.6968</v>
      </c>
      <c r="O191" s="30" t="n">
        <f aca="false">J191-ROUND(+$J191*(VLOOKUP($I191,cngded,6,FALSE())),0)</f>
        <v>154</v>
      </c>
      <c r="P191" s="30" t="n">
        <f aca="false">K191-ROUND(+$K191*(VLOOKUP($I191,cngded,6,FALSE())),0)</f>
        <v>179</v>
      </c>
      <c r="Q191" s="23" t="str">
        <f aca="false">IF(ISNA(VLOOKUP(C191,INCNG,1,FALSE())),"--","Y")</f>
        <v>Y</v>
      </c>
      <c r="R191" s="23" t="n">
        <f aca="false">IF(ISNA(VLOOKUP(C191,INCNG,10,FALSE())),0,VLOOKUP(C191,INCNG,10,FALSE()))</f>
        <v>154</v>
      </c>
      <c r="S191" s="0" t="n">
        <f aca="false">+K191-R191</f>
        <v>52</v>
      </c>
      <c r="T191" s="31" t="n">
        <f aca="false">+P191-R191</f>
        <v>25</v>
      </c>
      <c r="U191" s="32" t="n">
        <f aca="false">ROUND(+$K191*(VLOOKUP($I191,Retention,2,FALSE())),0)</f>
        <v>5</v>
      </c>
      <c r="V191" s="32" t="n">
        <f aca="false">ROUND(+$K191*(VLOOKUP($I191,Retention,3,FALSE())),0)</f>
        <v>15</v>
      </c>
      <c r="W191" s="32" t="n">
        <f aca="false">ROUND(+$K191*(VLOOKUP($I191,Retention,4,FALSE())),0)</f>
        <v>6</v>
      </c>
      <c r="X191" s="32" t="n">
        <f aca="false">ROUND(+$K191*(VLOOKUP($I191,Retention,5,FALSE())),0)</f>
        <v>2</v>
      </c>
      <c r="Y191" s="31" t="n">
        <f aca="false">SUM(U191:X191)</f>
        <v>28</v>
      </c>
      <c r="AB191" s="33"/>
      <c r="AC191" s="33"/>
      <c r="AD191" s="0" t="e">
        <f aca="false">VLOOKUP(AB191,INCNG,3,FALSE())</f>
        <v>#N/A</v>
      </c>
    </row>
    <row r="192" customFormat="false" ht="12.75" hidden="false" customHeight="false" outlineLevel="0" collapsed="false">
      <c r="A192" s="0" t="s">
        <v>486</v>
      </c>
      <c r="B192" s="0" t="s">
        <v>273</v>
      </c>
      <c r="C192" s="0" t="s">
        <v>244</v>
      </c>
      <c r="D192" s="0" t="n">
        <v>4058801</v>
      </c>
      <c r="E192" s="0" t="s">
        <v>467</v>
      </c>
      <c r="F192" s="21" t="n">
        <v>37196</v>
      </c>
      <c r="G192" s="21"/>
      <c r="H192" s="21"/>
      <c r="I192" s="21" t="s">
        <v>450</v>
      </c>
      <c r="J192" s="0" t="n">
        <f aca="false">IF(ISNA(VLOOKUP(C192,CNGx,2,FALSE())),"na",(VLOOKUP(C192,CNGx,2,FALSE())))</f>
        <v>139</v>
      </c>
      <c r="K192" s="0" t="n">
        <f aca="false">IF(ISNA(VLOOKUP(C192,CNGx,3,0)),0,VLOOKUP(C192,CNGx,3,FALSE()))</f>
        <v>169</v>
      </c>
      <c r="L192" s="29" t="n">
        <f aca="false">VLOOKUP(I192,Retention,2,FALSE())</f>
        <v>0.0228</v>
      </c>
      <c r="M192" s="30" t="n">
        <f aca="false">IF(OR(I192="TD",I192="TW"),0,J192*0.0228)</f>
        <v>3.1692</v>
      </c>
      <c r="N192" s="30" t="n">
        <f aca="false">IF(OR(I192="TD",I192="TW"),0,K192*0.0228)</f>
        <v>3.8532</v>
      </c>
      <c r="O192" s="30" t="n">
        <f aca="false">J192-ROUND(+$J192*(VLOOKUP($I192,cngded,6,FALSE())),0)</f>
        <v>121</v>
      </c>
      <c r="P192" s="30" t="n">
        <f aca="false">K192-ROUND(+$K192*(VLOOKUP($I192,cngded,6,FALSE())),0)</f>
        <v>147</v>
      </c>
      <c r="Q192" s="23" t="str">
        <f aca="false">IF(ISNA(VLOOKUP(C192,INCNG,1,FALSE())),"--","Y")</f>
        <v>Y</v>
      </c>
      <c r="R192" s="23" t="n">
        <f aca="false">IF(ISNA(VLOOKUP(C192,INCNG,10,FALSE())),0,VLOOKUP(C192,INCNG,10,FALSE()))</f>
        <v>121</v>
      </c>
      <c r="S192" s="0" t="n">
        <f aca="false">+K192-R192</f>
        <v>48</v>
      </c>
      <c r="T192" s="31" t="n">
        <f aca="false">+P192-R192</f>
        <v>26</v>
      </c>
      <c r="U192" s="32" t="n">
        <f aca="false">ROUND(+$K192*(VLOOKUP($I192,Retention,2,FALSE())),0)</f>
        <v>4</v>
      </c>
      <c r="V192" s="32" t="n">
        <f aca="false">ROUND(+$K192*(VLOOKUP($I192,Retention,3,FALSE())),0)</f>
        <v>12</v>
      </c>
      <c r="W192" s="32" t="n">
        <f aca="false">ROUND(+$K192*(VLOOKUP($I192,Retention,4,FALSE())),0)</f>
        <v>5</v>
      </c>
      <c r="X192" s="32" t="n">
        <f aca="false">ROUND(+$K192*(VLOOKUP($I192,Retention,5,FALSE())),0)</f>
        <v>2</v>
      </c>
      <c r="Y192" s="31" t="n">
        <f aca="false">SUM(U192:X192)</f>
        <v>23</v>
      </c>
      <c r="AB192" s="33"/>
      <c r="AC192" s="33"/>
      <c r="AD192" s="0" t="e">
        <f aca="false">VLOOKUP(AB192,INCNG,3,FALSE())</f>
        <v>#N/A</v>
      </c>
    </row>
    <row r="193" customFormat="false" ht="12.75" hidden="false" customHeight="false" outlineLevel="0" collapsed="false">
      <c r="A193" s="0" t="s">
        <v>486</v>
      </c>
      <c r="B193" s="0" t="s">
        <v>273</v>
      </c>
      <c r="C193" s="0" t="s">
        <v>322</v>
      </c>
      <c r="D193" s="0" t="n">
        <v>4065201</v>
      </c>
      <c r="E193" s="0" t="s">
        <v>315</v>
      </c>
      <c r="F193" s="21" t="n">
        <v>37196</v>
      </c>
      <c r="G193" s="21"/>
      <c r="H193" s="21"/>
      <c r="I193" s="21" t="s">
        <v>450</v>
      </c>
      <c r="J193" s="0" t="n">
        <f aca="false">IF(ISNA(VLOOKUP(C193,CNGx,2,FALSE())),"na",(VLOOKUP(C193,CNGx,2,FALSE())))</f>
        <v>468</v>
      </c>
      <c r="K193" s="0" t="n">
        <f aca="false">IF(ISNA(VLOOKUP(C193,CNGx,3,0)),0,VLOOKUP(C193,CNGx,3,FALSE()))</f>
        <v>561</v>
      </c>
      <c r="L193" s="29" t="n">
        <f aca="false">VLOOKUP(I193,Retention,2,FALSE())</f>
        <v>0.0228</v>
      </c>
      <c r="M193" s="30" t="n">
        <f aca="false">IF(OR(I193="TD",I193="TW"),0,J193*0.0228)</f>
        <v>10.6704</v>
      </c>
      <c r="N193" s="30" t="n">
        <f aca="false">IF(OR(I193="TD",I193="TW"),0,K193*0.0228)</f>
        <v>12.7908</v>
      </c>
      <c r="O193" s="30" t="n">
        <f aca="false">J193-ROUND(+$J193*(VLOOKUP($I193,cngded,6,FALSE())),0)</f>
        <v>406</v>
      </c>
      <c r="P193" s="30" t="n">
        <f aca="false">K193-ROUND(+$K193*(VLOOKUP($I193,cngded,6,FALSE())),0)</f>
        <v>487</v>
      </c>
      <c r="Q193" s="23" t="str">
        <f aca="false">IF(ISNA(VLOOKUP(C193,INCNG,1,FALSE())),"--","Y")</f>
        <v>Y</v>
      </c>
      <c r="R193" s="23" t="n">
        <f aca="false">IF(ISNA(VLOOKUP(C193,INCNG,10,FALSE())),0,VLOOKUP(C193,INCNG,10,FALSE()))</f>
        <v>406</v>
      </c>
      <c r="S193" s="0" t="n">
        <f aca="false">+K193-R193</f>
        <v>155</v>
      </c>
      <c r="T193" s="31" t="n">
        <f aca="false">+P193-R193</f>
        <v>81</v>
      </c>
      <c r="U193" s="32" t="n">
        <f aca="false">ROUND(+$K193*(VLOOKUP($I193,Retention,2,FALSE())),0)</f>
        <v>13</v>
      </c>
      <c r="V193" s="32" t="n">
        <f aca="false">ROUND(+$K193*(VLOOKUP($I193,Retention,3,FALSE())),0)</f>
        <v>40</v>
      </c>
      <c r="W193" s="32" t="n">
        <f aca="false">ROUND(+$K193*(VLOOKUP($I193,Retention,4,FALSE())),0)</f>
        <v>17</v>
      </c>
      <c r="X193" s="32" t="n">
        <f aca="false">ROUND(+$K193*(VLOOKUP($I193,Retention,5,FALSE())),0)</f>
        <v>5</v>
      </c>
      <c r="Y193" s="31" t="n">
        <f aca="false">SUM(U193:X193)</f>
        <v>75</v>
      </c>
      <c r="AB193" s="33"/>
      <c r="AC193" s="33"/>
      <c r="AD193" s="0" t="e">
        <f aca="false">VLOOKUP(AB193,INCNG,3,FALSE())</f>
        <v>#N/A</v>
      </c>
    </row>
    <row r="194" customFormat="false" ht="12.75" hidden="false" customHeight="false" outlineLevel="0" collapsed="false">
      <c r="A194" s="0" t="s">
        <v>486</v>
      </c>
      <c r="B194" s="0" t="s">
        <v>273</v>
      </c>
      <c r="C194" s="0" t="s">
        <v>323</v>
      </c>
      <c r="D194" s="0" t="n">
        <v>4075401</v>
      </c>
      <c r="E194" s="0" t="s">
        <v>315</v>
      </c>
      <c r="F194" s="21" t="n">
        <v>37196</v>
      </c>
      <c r="G194" s="21"/>
      <c r="H194" s="21"/>
      <c r="I194" s="21" t="s">
        <v>450</v>
      </c>
      <c r="J194" s="0" t="n">
        <f aca="false">IF(ISNA(VLOOKUP(C194,CNGx,2,FALSE())),"na",(VLOOKUP(C194,CNGx,2,FALSE())))</f>
        <v>372</v>
      </c>
      <c r="K194" s="0" t="n">
        <f aca="false">IF(ISNA(VLOOKUP(C194,CNGx,3,0)),0,VLOOKUP(C194,CNGx,3,FALSE()))</f>
        <v>435</v>
      </c>
      <c r="L194" s="29" t="n">
        <f aca="false">VLOOKUP(I194,Retention,2,FALSE())</f>
        <v>0.0228</v>
      </c>
      <c r="M194" s="30" t="n">
        <f aca="false">IF(OR(I194="TD",I194="TW"),0,J194*0.0228)</f>
        <v>8.4816</v>
      </c>
      <c r="N194" s="30" t="n">
        <f aca="false">IF(OR(I194="TD",I194="TW"),0,K194*0.0228)</f>
        <v>9.918</v>
      </c>
      <c r="O194" s="30" t="n">
        <f aca="false">J194-ROUND(+$J194*(VLOOKUP($I194,cngded,6,FALSE())),0)</f>
        <v>323</v>
      </c>
      <c r="P194" s="30" t="n">
        <f aca="false">K194-ROUND(+$K194*(VLOOKUP($I194,cngded,6,FALSE())),0)</f>
        <v>377</v>
      </c>
      <c r="Q194" s="23" t="str">
        <f aca="false">IF(ISNA(VLOOKUP(C194,INCNG,1,FALSE())),"--","Y")</f>
        <v>Y</v>
      </c>
      <c r="R194" s="23" t="n">
        <f aca="false">IF(ISNA(VLOOKUP(C194,INCNG,10,FALSE())),0,VLOOKUP(C194,INCNG,10,FALSE()))</f>
        <v>323</v>
      </c>
      <c r="S194" s="0" t="n">
        <f aca="false">+K194-R194</f>
        <v>112</v>
      </c>
      <c r="T194" s="31" t="n">
        <f aca="false">+P194-R194</f>
        <v>54</v>
      </c>
      <c r="U194" s="32" t="n">
        <f aca="false">ROUND(+$K194*(VLOOKUP($I194,Retention,2,FALSE())),0)</f>
        <v>10</v>
      </c>
      <c r="V194" s="32" t="n">
        <f aca="false">ROUND(+$K194*(VLOOKUP($I194,Retention,3,FALSE())),0)</f>
        <v>31</v>
      </c>
      <c r="W194" s="32" t="n">
        <f aca="false">ROUND(+$K194*(VLOOKUP($I194,Retention,4,FALSE())),0)</f>
        <v>13</v>
      </c>
      <c r="X194" s="32" t="n">
        <f aca="false">ROUND(+$K194*(VLOOKUP($I194,Retention,5,FALSE())),0)</f>
        <v>4</v>
      </c>
      <c r="Y194" s="31" t="n">
        <f aca="false">SUM(U194:X194)</f>
        <v>58</v>
      </c>
      <c r="AB194" s="33"/>
      <c r="AC194" s="33"/>
      <c r="AD194" s="0" t="e">
        <f aca="false">VLOOKUP(AB194,INCNG,3,FALSE())</f>
        <v>#N/A</v>
      </c>
    </row>
    <row r="195" customFormat="false" ht="12.75" hidden="false" customHeight="false" outlineLevel="0" collapsed="false">
      <c r="A195" s="0" t="s">
        <v>486</v>
      </c>
      <c r="B195" s="0" t="s">
        <v>273</v>
      </c>
      <c r="C195" s="0" t="s">
        <v>123</v>
      </c>
      <c r="D195" s="0" t="n">
        <v>4085901</v>
      </c>
      <c r="E195" s="0" t="s">
        <v>120</v>
      </c>
      <c r="F195" s="21" t="n">
        <v>37196</v>
      </c>
      <c r="G195" s="21"/>
      <c r="H195" s="21"/>
      <c r="I195" s="21" t="s">
        <v>450</v>
      </c>
      <c r="J195" s="0" t="n">
        <f aca="false">IF(ISNA(VLOOKUP(C195,CNGx,2,FALSE())),"na",(VLOOKUP(C195,CNGx,2,FALSE())))</f>
        <v>102</v>
      </c>
      <c r="K195" s="0" t="n">
        <f aca="false">IF(ISNA(VLOOKUP(C195,CNGx,3,0)),0,VLOOKUP(C195,CNGx,3,FALSE()))</f>
        <v>117</v>
      </c>
      <c r="L195" s="29" t="n">
        <f aca="false">VLOOKUP(I195,Retention,2,FALSE())</f>
        <v>0.0228</v>
      </c>
      <c r="M195" s="30" t="n">
        <f aca="false">IF(OR(I195="TD",I195="TW"),0,J195*0.0228)</f>
        <v>2.3256</v>
      </c>
      <c r="N195" s="30" t="n">
        <f aca="false">IF(OR(I195="TD",I195="TW"),0,K195*0.0228)</f>
        <v>2.6676</v>
      </c>
      <c r="O195" s="30" t="n">
        <f aca="false">J195-ROUND(+$J195*(VLOOKUP($I195,cngded,6,FALSE())),0)</f>
        <v>88</v>
      </c>
      <c r="P195" s="30" t="n">
        <f aca="false">K195-ROUND(+$K195*(VLOOKUP($I195,cngded,6,FALSE())),0)</f>
        <v>101</v>
      </c>
      <c r="Q195" s="23" t="str">
        <f aca="false">IF(ISNA(VLOOKUP(C195,INCNG,1,FALSE())),"--","Y")</f>
        <v>Y</v>
      </c>
      <c r="R195" s="23" t="n">
        <f aca="false">IF(ISNA(VLOOKUP(C195,INCNG,10,FALSE())),0,VLOOKUP(C195,INCNG,10,FALSE()))</f>
        <v>88</v>
      </c>
      <c r="S195" s="0" t="n">
        <f aca="false">+K195-R195</f>
        <v>29</v>
      </c>
      <c r="T195" s="31" t="n">
        <f aca="false">+P195-R195</f>
        <v>13</v>
      </c>
      <c r="U195" s="32" t="n">
        <f aca="false">ROUND(+$K195*(VLOOKUP($I195,Retention,2,FALSE())),0)</f>
        <v>3</v>
      </c>
      <c r="V195" s="32" t="n">
        <f aca="false">ROUND(+$K195*(VLOOKUP($I195,Retention,3,FALSE())),0)</f>
        <v>8</v>
      </c>
      <c r="W195" s="32" t="n">
        <f aca="false">ROUND(+$K195*(VLOOKUP($I195,Retention,4,FALSE())),0)</f>
        <v>4</v>
      </c>
      <c r="X195" s="32" t="n">
        <f aca="false">ROUND(+$K195*(VLOOKUP($I195,Retention,5,FALSE())),0)</f>
        <v>1</v>
      </c>
      <c r="Y195" s="31" t="n">
        <f aca="false">SUM(U195:X195)</f>
        <v>16</v>
      </c>
      <c r="AB195" s="33"/>
      <c r="AC195" s="33"/>
      <c r="AD195" s="0" t="e">
        <f aca="false">VLOOKUP(AB195,INCNG,3,FALSE())</f>
        <v>#N/A</v>
      </c>
    </row>
    <row r="196" customFormat="false" ht="12.75" hidden="false" customHeight="false" outlineLevel="0" collapsed="false">
      <c r="A196" s="0" t="s">
        <v>486</v>
      </c>
      <c r="B196" s="0" t="s">
        <v>273</v>
      </c>
      <c r="C196" s="0" t="s">
        <v>92</v>
      </c>
      <c r="D196" s="0" t="n">
        <v>4092601</v>
      </c>
      <c r="E196" s="0" t="s">
        <v>93</v>
      </c>
      <c r="F196" s="21" t="n">
        <v>37196</v>
      </c>
      <c r="G196" s="21"/>
      <c r="H196" s="21"/>
      <c r="I196" s="21" t="s">
        <v>450</v>
      </c>
      <c r="J196" s="0" t="n">
        <f aca="false">IF(ISNA(VLOOKUP(C196,CNGx,2,FALSE())),"na",(VLOOKUP(C196,CNGx,2,FALSE())))</f>
        <v>834</v>
      </c>
      <c r="K196" s="0" t="n">
        <f aca="false">IF(ISNA(VLOOKUP(C196,CNGx,3,0)),0,VLOOKUP(C196,CNGx,3,FALSE()))</f>
        <v>934</v>
      </c>
      <c r="L196" s="29" t="n">
        <f aca="false">VLOOKUP(I196,Retention,2,FALSE())</f>
        <v>0.0228</v>
      </c>
      <c r="M196" s="30" t="n">
        <f aca="false">IF(OR(I196="TD",I196="TW"),0,J196*0.0228)</f>
        <v>19.0152</v>
      </c>
      <c r="N196" s="30" t="n">
        <f aca="false">IF(OR(I196="TD",I196="TW"),0,K196*0.0228)</f>
        <v>21.2952</v>
      </c>
      <c r="O196" s="30" t="n">
        <f aca="false">J196-ROUND(+$J196*(VLOOKUP($I196,cngded,6,FALSE())),0)</f>
        <v>723</v>
      </c>
      <c r="P196" s="30" t="n">
        <f aca="false">K196-ROUND(+$K196*(VLOOKUP($I196,cngded,6,FALSE())),0)</f>
        <v>810</v>
      </c>
      <c r="Q196" s="23" t="str">
        <f aca="false">IF(ISNA(VLOOKUP(C196,INCNG,1,FALSE())),"--","Y")</f>
        <v>Y</v>
      </c>
      <c r="R196" s="23" t="n">
        <f aca="false">IF(ISNA(VLOOKUP(C196,INCNG,10,FALSE())),0,VLOOKUP(C196,INCNG,10,FALSE()))</f>
        <v>723</v>
      </c>
      <c r="S196" s="0" t="n">
        <f aca="false">+K196-R196</f>
        <v>211</v>
      </c>
      <c r="T196" s="31" t="n">
        <f aca="false">+P196-R196</f>
        <v>87</v>
      </c>
      <c r="U196" s="32" t="n">
        <f aca="false">ROUND(+$K196*(VLOOKUP($I196,Retention,2,FALSE())),0)</f>
        <v>21</v>
      </c>
      <c r="V196" s="32" t="n">
        <f aca="false">ROUND(+$K196*(VLOOKUP($I196,Retention,3,FALSE())),0)</f>
        <v>66</v>
      </c>
      <c r="W196" s="32" t="n">
        <f aca="false">ROUND(+$K196*(VLOOKUP($I196,Retention,4,FALSE())),0)</f>
        <v>28</v>
      </c>
      <c r="X196" s="32" t="n">
        <f aca="false">ROUND(+$K196*(VLOOKUP($I196,Retention,5,FALSE())),0)</f>
        <v>8</v>
      </c>
      <c r="Y196" s="31" t="n">
        <f aca="false">SUM(U196:X196)</f>
        <v>123</v>
      </c>
      <c r="AB196" s="33"/>
      <c r="AC196" s="33"/>
      <c r="AD196" s="0" t="e">
        <f aca="false">VLOOKUP(AB196,INCNG,3,FALSE())</f>
        <v>#N/A</v>
      </c>
    </row>
    <row r="197" customFormat="false" ht="12.75" hidden="false" customHeight="false" outlineLevel="0" collapsed="false">
      <c r="A197" s="0" t="s">
        <v>486</v>
      </c>
      <c r="B197" s="0" t="s">
        <v>273</v>
      </c>
      <c r="C197" s="0" t="s">
        <v>324</v>
      </c>
      <c r="D197" s="0" t="n">
        <v>4098601</v>
      </c>
      <c r="E197" s="0" t="s">
        <v>315</v>
      </c>
      <c r="F197" s="21" t="n">
        <v>37196</v>
      </c>
      <c r="G197" s="21"/>
      <c r="H197" s="21"/>
      <c r="I197" s="21" t="s">
        <v>450</v>
      </c>
      <c r="J197" s="0" t="n">
        <f aca="false">IF(ISNA(VLOOKUP(C197,CNGx,2,FALSE())),"na",(VLOOKUP(C197,CNGx,2,FALSE())))</f>
        <v>272</v>
      </c>
      <c r="K197" s="0" t="n">
        <f aca="false">IF(ISNA(VLOOKUP(C197,CNGx,3,0)),0,VLOOKUP(C197,CNGx,3,FALSE()))</f>
        <v>311</v>
      </c>
      <c r="L197" s="29" t="n">
        <f aca="false">VLOOKUP(I197,Retention,2,FALSE())</f>
        <v>0.0228</v>
      </c>
      <c r="M197" s="30" t="n">
        <f aca="false">IF(OR(I197="TD",I197="TW"),0,J197*0.0228)</f>
        <v>6.2016</v>
      </c>
      <c r="N197" s="30" t="n">
        <f aca="false">IF(OR(I197="TD",I197="TW"),0,K197*0.0228)</f>
        <v>7.0908</v>
      </c>
      <c r="O197" s="30" t="n">
        <f aca="false">J197-ROUND(+$J197*(VLOOKUP($I197,cngded,6,FALSE())),0)</f>
        <v>236</v>
      </c>
      <c r="P197" s="30" t="n">
        <f aca="false">K197-ROUND(+$K197*(VLOOKUP($I197,cngded,6,FALSE())),0)</f>
        <v>270</v>
      </c>
      <c r="Q197" s="23" t="str">
        <f aca="false">IF(ISNA(VLOOKUP(C197,INCNG,1,FALSE())),"--","Y")</f>
        <v>Y</v>
      </c>
      <c r="R197" s="23" t="n">
        <f aca="false">IF(ISNA(VLOOKUP(C197,INCNG,10,FALSE())),0,VLOOKUP(C197,INCNG,10,FALSE()))</f>
        <v>236</v>
      </c>
      <c r="S197" s="0" t="n">
        <f aca="false">+K197-R197</f>
        <v>75</v>
      </c>
      <c r="T197" s="31" t="n">
        <f aca="false">+P197-R197</f>
        <v>34</v>
      </c>
      <c r="U197" s="32" t="n">
        <f aca="false">ROUND(+$K197*(VLOOKUP($I197,Retention,2,FALSE())),0)</f>
        <v>7</v>
      </c>
      <c r="V197" s="32" t="n">
        <f aca="false">ROUND(+$K197*(VLOOKUP($I197,Retention,3,FALSE())),0)</f>
        <v>22</v>
      </c>
      <c r="W197" s="32" t="n">
        <f aca="false">ROUND(+$K197*(VLOOKUP($I197,Retention,4,FALSE())),0)</f>
        <v>9</v>
      </c>
      <c r="X197" s="32" t="n">
        <f aca="false">ROUND(+$K197*(VLOOKUP($I197,Retention,5,FALSE())),0)</f>
        <v>3</v>
      </c>
      <c r="Y197" s="31" t="n">
        <f aca="false">SUM(U197:X197)</f>
        <v>41</v>
      </c>
      <c r="AB197" s="33"/>
      <c r="AC197" s="33"/>
      <c r="AD197" s="0" t="e">
        <f aca="false">VLOOKUP(AB197,INCNG,3,FALSE())</f>
        <v>#N/A</v>
      </c>
    </row>
    <row r="198" customFormat="false" ht="12.75" hidden="false" customHeight="false" outlineLevel="0" collapsed="false">
      <c r="A198" s="0" t="s">
        <v>486</v>
      </c>
      <c r="B198" s="0" t="s">
        <v>273</v>
      </c>
      <c r="C198" s="0" t="s">
        <v>325</v>
      </c>
      <c r="D198" s="0" t="n">
        <v>4099201</v>
      </c>
      <c r="E198" s="0" t="s">
        <v>315</v>
      </c>
      <c r="F198" s="21" t="n">
        <v>37196</v>
      </c>
      <c r="G198" s="21"/>
      <c r="H198" s="21"/>
      <c r="I198" s="21" t="s">
        <v>450</v>
      </c>
      <c r="J198" s="0" t="n">
        <f aca="false">IF(ISNA(VLOOKUP(C198,CNGx,2,FALSE())),"na",(VLOOKUP(C198,CNGx,2,FALSE())))</f>
        <v>163</v>
      </c>
      <c r="K198" s="0" t="n">
        <f aca="false">IF(ISNA(VLOOKUP(C198,CNGx,3,0)),0,VLOOKUP(C198,CNGx,3,FALSE()))</f>
        <v>190</v>
      </c>
      <c r="L198" s="29" t="n">
        <f aca="false">VLOOKUP(I198,Retention,2,FALSE())</f>
        <v>0.0228</v>
      </c>
      <c r="M198" s="30" t="n">
        <f aca="false">IF(OR(I198="TD",I198="TW"),0,J198*0.0228)</f>
        <v>3.7164</v>
      </c>
      <c r="N198" s="30" t="n">
        <f aca="false">IF(OR(I198="TD",I198="TW"),0,K198*0.0228)</f>
        <v>4.332</v>
      </c>
      <c r="O198" s="30" t="n">
        <f aca="false">J198-ROUND(+$J198*(VLOOKUP($I198,cngded,6,FALSE())),0)</f>
        <v>141</v>
      </c>
      <c r="P198" s="30" t="n">
        <f aca="false">K198-ROUND(+$K198*(VLOOKUP($I198,cngded,6,FALSE())),0)</f>
        <v>165</v>
      </c>
      <c r="Q198" s="23" t="str">
        <f aca="false">IF(ISNA(VLOOKUP(C198,INCNG,1,FALSE())),"--","Y")</f>
        <v>Y</v>
      </c>
      <c r="R198" s="23" t="n">
        <f aca="false">IF(ISNA(VLOOKUP(C198,INCNG,10,FALSE())),0,VLOOKUP(C198,INCNG,10,FALSE()))</f>
        <v>141</v>
      </c>
      <c r="S198" s="0" t="n">
        <f aca="false">+K198-R198</f>
        <v>49</v>
      </c>
      <c r="T198" s="31" t="n">
        <f aca="false">+P198-R198</f>
        <v>24</v>
      </c>
      <c r="U198" s="32" t="n">
        <f aca="false">ROUND(+$K198*(VLOOKUP($I198,Retention,2,FALSE())),0)</f>
        <v>4</v>
      </c>
      <c r="V198" s="32" t="n">
        <f aca="false">ROUND(+$K198*(VLOOKUP($I198,Retention,3,FALSE())),0)</f>
        <v>13</v>
      </c>
      <c r="W198" s="32" t="n">
        <f aca="false">ROUND(+$K198*(VLOOKUP($I198,Retention,4,FALSE())),0)</f>
        <v>6</v>
      </c>
      <c r="X198" s="32" t="n">
        <f aca="false">ROUND(+$K198*(VLOOKUP($I198,Retention,5,FALSE())),0)</f>
        <v>2</v>
      </c>
      <c r="Y198" s="31" t="n">
        <f aca="false">SUM(U198:X198)</f>
        <v>25</v>
      </c>
      <c r="AB198" s="33"/>
      <c r="AC198" s="33"/>
      <c r="AD198" s="0" t="e">
        <f aca="false">VLOOKUP(AB198,INCNG,3,FALSE())</f>
        <v>#N/A</v>
      </c>
    </row>
    <row r="199" customFormat="false" ht="12.75" hidden="false" customHeight="false" outlineLevel="0" collapsed="false">
      <c r="A199" s="0" t="s">
        <v>486</v>
      </c>
      <c r="B199" s="0" t="s">
        <v>273</v>
      </c>
      <c r="C199" s="0" t="s">
        <v>338</v>
      </c>
      <c r="D199" s="0" t="n">
        <v>4106301</v>
      </c>
      <c r="E199" s="0" t="s">
        <v>36</v>
      </c>
      <c r="F199" s="21" t="n">
        <v>37196</v>
      </c>
      <c r="G199" s="21"/>
      <c r="H199" s="21"/>
      <c r="I199" s="21" t="s">
        <v>450</v>
      </c>
      <c r="J199" s="0" t="n">
        <f aca="false">IF(ISNA(VLOOKUP(C199,CNGx,2,FALSE())),"na",(VLOOKUP(C199,CNGx,2,FALSE())))</f>
        <v>26</v>
      </c>
      <c r="K199" s="0" t="n">
        <f aca="false">IF(ISNA(VLOOKUP(C199,CNGx,3,0)),0,VLOOKUP(C199,CNGx,3,FALSE()))</f>
        <v>32</v>
      </c>
      <c r="L199" s="29" t="n">
        <f aca="false">VLOOKUP(I199,Retention,2,FALSE())</f>
        <v>0.0228</v>
      </c>
      <c r="M199" s="30" t="n">
        <f aca="false">IF(OR(I199="TD",I199="TW"),0,J199*0.0228)</f>
        <v>0.5928</v>
      </c>
      <c r="N199" s="30" t="n">
        <f aca="false">IF(OR(I199="TD",I199="TW"),0,K199*0.0228)</f>
        <v>0.7296</v>
      </c>
      <c r="O199" s="30" t="n">
        <f aca="false">J199-ROUND(+$J199*(VLOOKUP($I199,cngded,6,FALSE())),0)</f>
        <v>23</v>
      </c>
      <c r="P199" s="30" t="n">
        <f aca="false">K199-ROUND(+$K199*(VLOOKUP($I199,cngded,6,FALSE())),0)</f>
        <v>28</v>
      </c>
      <c r="Q199" s="23" t="str">
        <f aca="false">IF(ISNA(VLOOKUP(C199,INCNG,1,FALSE())),"--","Y")</f>
        <v>Y</v>
      </c>
      <c r="R199" s="23" t="n">
        <f aca="false">IF(ISNA(VLOOKUP(C199,INCNG,10,FALSE())),0,VLOOKUP(C199,INCNG,10,FALSE()))</f>
        <v>23</v>
      </c>
      <c r="S199" s="0" t="n">
        <f aca="false">+K199-R199</f>
        <v>9</v>
      </c>
      <c r="T199" s="31" t="n">
        <f aca="false">+P199-R199</f>
        <v>5</v>
      </c>
      <c r="U199" s="32" t="n">
        <f aca="false">ROUND(+$K199*(VLOOKUP($I199,Retention,2,FALSE())),0)</f>
        <v>1</v>
      </c>
      <c r="V199" s="32" t="n">
        <f aca="false">ROUND(+$K199*(VLOOKUP($I199,Retention,3,FALSE())),0)</f>
        <v>2</v>
      </c>
      <c r="W199" s="32" t="n">
        <f aca="false">ROUND(+$K199*(VLOOKUP($I199,Retention,4,FALSE())),0)</f>
        <v>1</v>
      </c>
      <c r="X199" s="32" t="n">
        <f aca="false">ROUND(+$K199*(VLOOKUP($I199,Retention,5,FALSE())),0)</f>
        <v>0</v>
      </c>
      <c r="Y199" s="31" t="n">
        <f aca="false">SUM(U199:X199)</f>
        <v>4</v>
      </c>
      <c r="AB199" s="33"/>
      <c r="AC199" s="33"/>
      <c r="AD199" s="0" t="e">
        <f aca="false">VLOOKUP(AB199,INCNG,3,FALSE())</f>
        <v>#N/A</v>
      </c>
    </row>
    <row r="200" customFormat="false" ht="12.75" hidden="false" customHeight="false" outlineLevel="0" collapsed="false">
      <c r="A200" s="0" t="s">
        <v>486</v>
      </c>
      <c r="B200" s="0" t="s">
        <v>273</v>
      </c>
      <c r="C200" s="0" t="s">
        <v>326</v>
      </c>
      <c r="D200" s="0" t="n">
        <v>4110101</v>
      </c>
      <c r="E200" s="0" t="s">
        <v>315</v>
      </c>
      <c r="F200" s="21" t="n">
        <v>37196</v>
      </c>
      <c r="G200" s="21"/>
      <c r="H200" s="21"/>
      <c r="I200" s="21" t="s">
        <v>450</v>
      </c>
      <c r="J200" s="0" t="n">
        <f aca="false">IF(ISNA(VLOOKUP(C200,CNGx,2,FALSE())),"na",(VLOOKUP(C200,CNGx,2,FALSE())))</f>
        <v>532</v>
      </c>
      <c r="K200" s="0" t="n">
        <f aca="false">IF(ISNA(VLOOKUP(C200,CNGx,3,0)),0,VLOOKUP(C200,CNGx,3,FALSE()))</f>
        <v>606</v>
      </c>
      <c r="L200" s="29" t="n">
        <f aca="false">VLOOKUP(I200,Retention,2,FALSE())</f>
        <v>0.0228</v>
      </c>
      <c r="M200" s="30" t="n">
        <f aca="false">IF(OR(I200="TD",I200="TW"),0,J200*0.0228)</f>
        <v>12.1296</v>
      </c>
      <c r="N200" s="30" t="n">
        <f aca="false">IF(OR(I200="TD",I200="TW"),0,K200*0.0228)</f>
        <v>13.8168</v>
      </c>
      <c r="O200" s="30" t="n">
        <f aca="false">J200-ROUND(+$J200*(VLOOKUP($I200,cngded,6,FALSE())),0)</f>
        <v>462</v>
      </c>
      <c r="P200" s="30" t="n">
        <f aca="false">K200-ROUND(+$K200*(VLOOKUP($I200,cngded,6,FALSE())),0)</f>
        <v>526</v>
      </c>
      <c r="Q200" s="23" t="str">
        <f aca="false">IF(ISNA(VLOOKUP(C200,INCNG,1,FALSE())),"--","Y")</f>
        <v>Y</v>
      </c>
      <c r="R200" s="23" t="n">
        <f aca="false">IF(ISNA(VLOOKUP(C200,INCNG,10,FALSE())),0,VLOOKUP(C200,INCNG,10,FALSE()))</f>
        <v>462</v>
      </c>
      <c r="S200" s="0" t="n">
        <f aca="false">+K200-R200</f>
        <v>144</v>
      </c>
      <c r="T200" s="31" t="n">
        <f aca="false">+P200-R200</f>
        <v>64</v>
      </c>
      <c r="U200" s="32" t="n">
        <f aca="false">ROUND(+$K200*(VLOOKUP($I200,Retention,2,FALSE())),0)</f>
        <v>14</v>
      </c>
      <c r="V200" s="32" t="n">
        <f aca="false">ROUND(+$K200*(VLOOKUP($I200,Retention,3,FALSE())),0)</f>
        <v>43</v>
      </c>
      <c r="W200" s="32" t="n">
        <f aca="false">ROUND(+$K200*(VLOOKUP($I200,Retention,4,FALSE())),0)</f>
        <v>18</v>
      </c>
      <c r="X200" s="32" t="n">
        <f aca="false">ROUND(+$K200*(VLOOKUP($I200,Retention,5,FALSE())),0)</f>
        <v>6</v>
      </c>
      <c r="Y200" s="31" t="n">
        <f aca="false">SUM(U200:X200)</f>
        <v>81</v>
      </c>
      <c r="AB200" s="33"/>
      <c r="AC200" s="33"/>
      <c r="AD200" s="0" t="e">
        <f aca="false">VLOOKUP(AB200,INCNG,3,FALSE())</f>
        <v>#N/A</v>
      </c>
    </row>
    <row r="201" customFormat="false" ht="12.75" hidden="false" customHeight="false" outlineLevel="0" collapsed="false">
      <c r="A201" s="0" t="s">
        <v>486</v>
      </c>
      <c r="B201" s="0" t="s">
        <v>273</v>
      </c>
      <c r="C201" s="0" t="s">
        <v>327</v>
      </c>
      <c r="D201" s="0" t="n">
        <v>4110201</v>
      </c>
      <c r="E201" s="0" t="s">
        <v>315</v>
      </c>
      <c r="F201" s="21" t="n">
        <v>37196</v>
      </c>
      <c r="G201" s="21"/>
      <c r="H201" s="21"/>
      <c r="I201" s="21" t="s">
        <v>450</v>
      </c>
      <c r="J201" s="0" t="n">
        <f aca="false">IF(ISNA(VLOOKUP(C201,CNGx,2,FALSE())),"na",(VLOOKUP(C201,CNGx,2,FALSE())))</f>
        <v>756</v>
      </c>
      <c r="K201" s="0" t="n">
        <f aca="false">IF(ISNA(VLOOKUP(C201,CNGx,3,0)),0,VLOOKUP(C201,CNGx,3,FALSE()))</f>
        <v>873</v>
      </c>
      <c r="L201" s="29" t="n">
        <f aca="false">VLOOKUP(I201,Retention,2,FALSE())</f>
        <v>0.0228</v>
      </c>
      <c r="M201" s="30" t="n">
        <f aca="false">IF(OR(I201="TD",I201="TW"),0,J201*0.0228)</f>
        <v>17.2368</v>
      </c>
      <c r="N201" s="30" t="n">
        <f aca="false">IF(OR(I201="TD",I201="TW"),0,K201*0.0228)</f>
        <v>19.9044</v>
      </c>
      <c r="O201" s="30" t="n">
        <f aca="false">J201-ROUND(+$J201*(VLOOKUP($I201,cngded,6,FALSE())),0)</f>
        <v>656</v>
      </c>
      <c r="P201" s="30" t="n">
        <f aca="false">K201-ROUND(+$K201*(VLOOKUP($I201,cngded,6,FALSE())),0)</f>
        <v>757</v>
      </c>
      <c r="Q201" s="23" t="str">
        <f aca="false">IF(ISNA(VLOOKUP(C201,INCNG,1,FALSE())),"--","Y")</f>
        <v>Y</v>
      </c>
      <c r="R201" s="23" t="n">
        <f aca="false">IF(ISNA(VLOOKUP(C201,INCNG,10,FALSE())),0,VLOOKUP(C201,INCNG,10,FALSE()))</f>
        <v>656</v>
      </c>
      <c r="S201" s="0" t="n">
        <f aca="false">+K201-R201</f>
        <v>217</v>
      </c>
      <c r="T201" s="31" t="n">
        <f aca="false">+P201-R201</f>
        <v>101</v>
      </c>
      <c r="U201" s="32" t="n">
        <f aca="false">ROUND(+$K201*(VLOOKUP($I201,Retention,2,FALSE())),0)</f>
        <v>20</v>
      </c>
      <c r="V201" s="32" t="n">
        <f aca="false">ROUND(+$K201*(VLOOKUP($I201,Retention,3,FALSE())),0)</f>
        <v>62</v>
      </c>
      <c r="W201" s="32" t="n">
        <f aca="false">ROUND(+$K201*(VLOOKUP($I201,Retention,4,FALSE())),0)</f>
        <v>26</v>
      </c>
      <c r="X201" s="32" t="n">
        <f aca="false">ROUND(+$K201*(VLOOKUP($I201,Retention,5,FALSE())),0)</f>
        <v>8</v>
      </c>
      <c r="Y201" s="31" t="n">
        <f aca="false">SUM(U201:X201)</f>
        <v>116</v>
      </c>
      <c r="AB201" s="33"/>
      <c r="AC201" s="33"/>
      <c r="AD201" s="0" t="e">
        <f aca="false">VLOOKUP(AB201,INCNG,3,FALSE())</f>
        <v>#N/A</v>
      </c>
    </row>
    <row r="202" customFormat="false" ht="12.75" hidden="false" customHeight="false" outlineLevel="0" collapsed="false">
      <c r="A202" s="0" t="s">
        <v>486</v>
      </c>
      <c r="B202" s="0" t="s">
        <v>273</v>
      </c>
      <c r="C202" s="0" t="s">
        <v>328</v>
      </c>
      <c r="D202" s="0" t="n">
        <v>4110301</v>
      </c>
      <c r="E202" s="0" t="s">
        <v>315</v>
      </c>
      <c r="F202" s="21" t="n">
        <v>37196</v>
      </c>
      <c r="G202" s="21"/>
      <c r="H202" s="21"/>
      <c r="I202" s="21" t="s">
        <v>450</v>
      </c>
      <c r="J202" s="0" t="n">
        <f aca="false">IF(ISNA(VLOOKUP(C202,CNGx,2,FALSE())),"na",(VLOOKUP(C202,CNGx,2,FALSE())))</f>
        <v>318</v>
      </c>
      <c r="K202" s="0" t="n">
        <f aca="false">IF(ISNA(VLOOKUP(C202,CNGx,3,0)),0,VLOOKUP(C202,CNGx,3,FALSE()))</f>
        <v>362</v>
      </c>
      <c r="L202" s="29" t="n">
        <f aca="false">VLOOKUP(I202,Retention,2,FALSE())</f>
        <v>0.0228</v>
      </c>
      <c r="M202" s="30" t="n">
        <f aca="false">IF(OR(I202="TD",I202="TW"),0,J202*0.0228)</f>
        <v>7.2504</v>
      </c>
      <c r="N202" s="30" t="n">
        <f aca="false">IF(OR(I202="TD",I202="TW"),0,K202*0.0228)</f>
        <v>8.2536</v>
      </c>
      <c r="O202" s="30" t="n">
        <f aca="false">J202-ROUND(+$J202*(VLOOKUP($I202,cngded,6,FALSE())),0)</f>
        <v>276</v>
      </c>
      <c r="P202" s="30" t="n">
        <f aca="false">K202-ROUND(+$K202*(VLOOKUP($I202,cngded,6,FALSE())),0)</f>
        <v>314</v>
      </c>
      <c r="Q202" s="23" t="str">
        <f aca="false">IF(ISNA(VLOOKUP(C202,INCNG,1,FALSE())),"--","Y")</f>
        <v>Y</v>
      </c>
      <c r="R202" s="23" t="n">
        <f aca="false">IF(ISNA(VLOOKUP(C202,INCNG,10,FALSE())),0,VLOOKUP(C202,INCNG,10,FALSE()))</f>
        <v>276</v>
      </c>
      <c r="S202" s="0" t="n">
        <f aca="false">+K202-R202</f>
        <v>86</v>
      </c>
      <c r="T202" s="31" t="n">
        <f aca="false">+P202-R202</f>
        <v>38</v>
      </c>
      <c r="U202" s="32" t="n">
        <f aca="false">ROUND(+$K202*(VLOOKUP($I202,Retention,2,FALSE())),0)</f>
        <v>8</v>
      </c>
      <c r="V202" s="32" t="n">
        <f aca="false">ROUND(+$K202*(VLOOKUP($I202,Retention,3,FALSE())),0)</f>
        <v>26</v>
      </c>
      <c r="W202" s="32" t="n">
        <f aca="false">ROUND(+$K202*(VLOOKUP($I202,Retention,4,FALSE())),0)</f>
        <v>11</v>
      </c>
      <c r="X202" s="32" t="n">
        <f aca="false">ROUND(+$K202*(VLOOKUP($I202,Retention,5,FALSE())),0)</f>
        <v>3</v>
      </c>
      <c r="Y202" s="31" t="n">
        <f aca="false">SUM(U202:X202)</f>
        <v>48</v>
      </c>
      <c r="AB202" s="33"/>
      <c r="AC202" s="33"/>
      <c r="AD202" s="0" t="e">
        <f aca="false">VLOOKUP(AB202,INCNG,3,FALSE())</f>
        <v>#N/A</v>
      </c>
    </row>
    <row r="203" customFormat="false" ht="12.75" hidden="false" customHeight="false" outlineLevel="0" collapsed="false">
      <c r="A203" s="0" t="s">
        <v>486</v>
      </c>
      <c r="B203" s="0" t="s">
        <v>273</v>
      </c>
      <c r="C203" s="0" t="s">
        <v>329</v>
      </c>
      <c r="D203" s="0" t="n">
        <v>4110401</v>
      </c>
      <c r="E203" s="0" t="s">
        <v>315</v>
      </c>
      <c r="F203" s="21" t="n">
        <v>37196</v>
      </c>
      <c r="G203" s="21"/>
      <c r="H203" s="21"/>
      <c r="I203" s="21" t="s">
        <v>450</v>
      </c>
      <c r="J203" s="0" t="n">
        <f aca="false">IF(ISNA(VLOOKUP(C203,CNGx,2,FALSE())),"na",(VLOOKUP(C203,CNGx,2,FALSE())))</f>
        <v>566</v>
      </c>
      <c r="K203" s="0" t="n">
        <f aca="false">IF(ISNA(VLOOKUP(C203,CNGx,3,0)),0,VLOOKUP(C203,CNGx,3,FALSE()))</f>
        <v>648</v>
      </c>
      <c r="L203" s="29" t="n">
        <f aca="false">VLOOKUP(I203,Retention,2,FALSE())</f>
        <v>0.0228</v>
      </c>
      <c r="M203" s="30" t="n">
        <f aca="false">IF(OR(I203="TD",I203="TW"),0,J203*0.0228)</f>
        <v>12.9048</v>
      </c>
      <c r="N203" s="30" t="n">
        <f aca="false">IF(OR(I203="TD",I203="TW"),0,K203*0.0228)</f>
        <v>14.7744</v>
      </c>
      <c r="O203" s="30" t="n">
        <f aca="false">J203-ROUND(+$J203*(VLOOKUP($I203,cngded,6,FALSE())),0)</f>
        <v>491</v>
      </c>
      <c r="P203" s="30" t="n">
        <f aca="false">K203-ROUND(+$K203*(VLOOKUP($I203,cngded,6,FALSE())),0)</f>
        <v>562</v>
      </c>
      <c r="Q203" s="23" t="str">
        <f aca="false">IF(ISNA(VLOOKUP(C203,INCNG,1,FALSE())),"--","Y")</f>
        <v>Y</v>
      </c>
      <c r="R203" s="23" t="n">
        <f aca="false">IF(ISNA(VLOOKUP(C203,INCNG,10,FALSE())),0,VLOOKUP(C203,INCNG,10,FALSE()))</f>
        <v>491</v>
      </c>
      <c r="S203" s="0" t="n">
        <f aca="false">+K203-R203</f>
        <v>157</v>
      </c>
      <c r="T203" s="31" t="n">
        <f aca="false">+P203-R203</f>
        <v>71</v>
      </c>
      <c r="U203" s="32" t="n">
        <f aca="false">ROUND(+$K203*(VLOOKUP($I203,Retention,2,FALSE())),0)</f>
        <v>15</v>
      </c>
      <c r="V203" s="32" t="n">
        <f aca="false">ROUND(+$K203*(VLOOKUP($I203,Retention,3,FALSE())),0)</f>
        <v>46</v>
      </c>
      <c r="W203" s="32" t="n">
        <f aca="false">ROUND(+$K203*(VLOOKUP($I203,Retention,4,FALSE())),0)</f>
        <v>19</v>
      </c>
      <c r="X203" s="32" t="n">
        <f aca="false">ROUND(+$K203*(VLOOKUP($I203,Retention,5,FALSE())),0)</f>
        <v>6</v>
      </c>
      <c r="Y203" s="31" t="n">
        <f aca="false">SUM(U203:X203)</f>
        <v>86</v>
      </c>
      <c r="AB203" s="33"/>
      <c r="AC203" s="33"/>
      <c r="AD203" s="0" t="e">
        <f aca="false">VLOOKUP(AB203,INCNG,3,FALSE())</f>
        <v>#N/A</v>
      </c>
    </row>
    <row r="204" customFormat="false" ht="12.75" hidden="false" customHeight="false" outlineLevel="0" collapsed="false">
      <c r="A204" s="0" t="s">
        <v>486</v>
      </c>
      <c r="B204" s="0" t="s">
        <v>273</v>
      </c>
      <c r="C204" s="0" t="s">
        <v>330</v>
      </c>
      <c r="D204" s="0" t="n">
        <v>4110701</v>
      </c>
      <c r="E204" s="0" t="s">
        <v>315</v>
      </c>
      <c r="F204" s="21" t="n">
        <v>37196</v>
      </c>
      <c r="G204" s="21"/>
      <c r="H204" s="21"/>
      <c r="I204" s="21" t="s">
        <v>450</v>
      </c>
      <c r="J204" s="0" t="n">
        <f aca="false">IF(ISNA(VLOOKUP(C204,CNGx,2,FALSE())),"na",(VLOOKUP(C204,CNGx,2,FALSE())))</f>
        <v>842</v>
      </c>
      <c r="K204" s="0" t="n">
        <f aca="false">IF(ISNA(VLOOKUP(C204,CNGx,3,0)),0,VLOOKUP(C204,CNGx,3,FALSE()))</f>
        <v>976</v>
      </c>
      <c r="L204" s="29" t="n">
        <f aca="false">VLOOKUP(I204,Retention,2,FALSE())</f>
        <v>0.0228</v>
      </c>
      <c r="M204" s="30" t="n">
        <f aca="false">IF(OR(I204="TD",I204="TW"),0,J204*0.0228)</f>
        <v>19.1976</v>
      </c>
      <c r="N204" s="30" t="n">
        <f aca="false">IF(OR(I204="TD",I204="TW"),0,K204*0.0228)</f>
        <v>22.2528</v>
      </c>
      <c r="O204" s="30" t="n">
        <f aca="false">J204-ROUND(+$J204*(VLOOKUP($I204,cngded,6,FALSE())),0)</f>
        <v>730</v>
      </c>
      <c r="P204" s="30" t="n">
        <f aca="false">K204-ROUND(+$K204*(VLOOKUP($I204,cngded,6,FALSE())),0)</f>
        <v>847</v>
      </c>
      <c r="Q204" s="23" t="str">
        <f aca="false">IF(ISNA(VLOOKUP(C204,INCNG,1,FALSE())),"--","Y")</f>
        <v>Y</v>
      </c>
      <c r="R204" s="23" t="n">
        <f aca="false">IF(ISNA(VLOOKUP(C204,INCNG,10,FALSE())),0,VLOOKUP(C204,INCNG,10,FALSE()))</f>
        <v>730</v>
      </c>
      <c r="S204" s="0" t="n">
        <f aca="false">+K204-R204</f>
        <v>246</v>
      </c>
      <c r="T204" s="31" t="n">
        <f aca="false">+P204-R204</f>
        <v>117</v>
      </c>
      <c r="U204" s="32" t="n">
        <f aca="false">ROUND(+$K204*(VLOOKUP($I204,Retention,2,FALSE())),0)</f>
        <v>22</v>
      </c>
      <c r="V204" s="32" t="n">
        <f aca="false">ROUND(+$K204*(VLOOKUP($I204,Retention,3,FALSE())),0)</f>
        <v>69</v>
      </c>
      <c r="W204" s="32" t="n">
        <f aca="false">ROUND(+$K204*(VLOOKUP($I204,Retention,4,FALSE())),0)</f>
        <v>29</v>
      </c>
      <c r="X204" s="32" t="n">
        <f aca="false">ROUND(+$K204*(VLOOKUP($I204,Retention,5,FALSE())),0)</f>
        <v>9</v>
      </c>
      <c r="Y204" s="31" t="n">
        <f aca="false">SUM(U204:X204)</f>
        <v>129</v>
      </c>
      <c r="AB204" s="33"/>
      <c r="AC204" s="33"/>
      <c r="AD204" s="0" t="e">
        <f aca="false">VLOOKUP(AB204,INCNG,3,FALSE())</f>
        <v>#N/A</v>
      </c>
    </row>
    <row r="205" customFormat="false" ht="12.75" hidden="false" customHeight="false" outlineLevel="0" collapsed="false">
      <c r="A205" s="0" t="s">
        <v>486</v>
      </c>
      <c r="B205" s="0" t="s">
        <v>136</v>
      </c>
      <c r="C205" s="0" t="s">
        <v>127</v>
      </c>
      <c r="D205" s="0" t="n">
        <v>4132101</v>
      </c>
      <c r="E205" s="0" t="s">
        <v>461</v>
      </c>
      <c r="F205" s="21" t="n">
        <v>37196</v>
      </c>
      <c r="G205" s="21"/>
      <c r="H205" s="21"/>
      <c r="I205" s="21" t="s">
        <v>451</v>
      </c>
      <c r="J205" s="0" t="n">
        <f aca="false">IF(ISNA(VLOOKUP(C205,CNGx,2,FALSE())),"na",(VLOOKUP(C205,CNGx,2,FALSE())))</f>
        <v>76</v>
      </c>
      <c r="K205" s="0" t="n">
        <f aca="false">IF(ISNA(VLOOKUP(C205,CNGx,3,0)),0,VLOOKUP(C205,CNGx,3,FALSE()))</f>
        <v>82</v>
      </c>
      <c r="L205" s="29" t="n">
        <f aca="false">VLOOKUP(I205,Retention,2,FALSE())</f>
        <v>0.0228</v>
      </c>
      <c r="M205" s="30" t="n">
        <f aca="false">IF(OR(I205="TD",I205="TW"),0,J205*0.0228)</f>
        <v>1.7328</v>
      </c>
      <c r="N205" s="30" t="n">
        <f aca="false">IF(OR(I205="TD",I205="TW"),0,K205*0.0228)</f>
        <v>1.8696</v>
      </c>
      <c r="O205" s="30" t="n">
        <f aca="false">J205-ROUND(+$J205*(VLOOKUP($I205,cngded,6,FALSE())),0)</f>
        <v>69</v>
      </c>
      <c r="P205" s="30" t="n">
        <f aca="false">K205-ROUND(+$K205*(VLOOKUP($I205,cngded,6,FALSE())),0)</f>
        <v>74</v>
      </c>
      <c r="Q205" s="23" t="str">
        <f aca="false">IF(ISNA(VLOOKUP(C205,INCNG,1,FALSE())),"--","Y")</f>
        <v>Y</v>
      </c>
      <c r="R205" s="23" t="n">
        <f aca="false">IF(ISNA(VLOOKUP(C205,INCNG,10,FALSE())),0,VLOOKUP(C205,INCNG,10,FALSE()))</f>
        <v>69</v>
      </c>
      <c r="S205" s="0" t="n">
        <f aca="false">+K205-R205</f>
        <v>13</v>
      </c>
      <c r="T205" s="31" t="n">
        <f aca="false">+P205-R205</f>
        <v>5</v>
      </c>
      <c r="U205" s="32" t="n">
        <f aca="false">ROUND(+$K205*(VLOOKUP($I205,Retention,2,FALSE())),0)</f>
        <v>2</v>
      </c>
      <c r="V205" s="32" t="n">
        <f aca="false">ROUND(+$K205*(VLOOKUP($I205,Retention,3,FALSE())),0)</f>
        <v>6</v>
      </c>
      <c r="W205" s="32" t="n">
        <f aca="false">ROUND(+$K205*(VLOOKUP($I205,Retention,4,FALSE())),0)</f>
        <v>0</v>
      </c>
      <c r="X205" s="32" t="n">
        <f aca="false">ROUND(+$K205*(VLOOKUP($I205,Retention,5,FALSE())),0)</f>
        <v>0</v>
      </c>
      <c r="Y205" s="31" t="n">
        <f aca="false">SUM(U205:X205)</f>
        <v>8</v>
      </c>
      <c r="AB205" s="33"/>
      <c r="AC205" s="33"/>
      <c r="AD205" s="0" t="e">
        <f aca="false">VLOOKUP(AB205,INCNG,3,FALSE())</f>
        <v>#N/A</v>
      </c>
    </row>
    <row r="206" customFormat="false" ht="12.75" hidden="false" customHeight="false" outlineLevel="0" collapsed="false">
      <c r="A206" s="0" t="s">
        <v>486</v>
      </c>
      <c r="B206" s="0" t="s">
        <v>136</v>
      </c>
      <c r="C206" s="0" t="s">
        <v>128</v>
      </c>
      <c r="D206" s="0" t="n">
        <v>4132201</v>
      </c>
      <c r="E206" s="0" t="s">
        <v>461</v>
      </c>
      <c r="F206" s="21" t="n">
        <v>37196</v>
      </c>
      <c r="G206" s="21"/>
      <c r="H206" s="21"/>
      <c r="I206" s="21" t="s">
        <v>451</v>
      </c>
      <c r="J206" s="0" t="n">
        <f aca="false">IF(ISNA(VLOOKUP(C206,CNGx,2,FALSE())),"na",(VLOOKUP(C206,CNGx,2,FALSE())))</f>
        <v>27</v>
      </c>
      <c r="K206" s="0" t="n">
        <f aca="false">IF(ISNA(VLOOKUP(C206,CNGx,3,0)),0,VLOOKUP(C206,CNGx,3,FALSE()))</f>
        <v>31</v>
      </c>
      <c r="L206" s="29" t="n">
        <f aca="false">VLOOKUP(I206,Retention,2,FALSE())</f>
        <v>0.0228</v>
      </c>
      <c r="M206" s="30" t="n">
        <f aca="false">IF(OR(I206="TD",I206="TW"),0,J206*0.0228)</f>
        <v>0.6156</v>
      </c>
      <c r="N206" s="30" t="n">
        <f aca="false">IF(OR(I206="TD",I206="TW"),0,K206*0.0228)</f>
        <v>0.7068</v>
      </c>
      <c r="O206" s="30" t="n">
        <f aca="false">J206-ROUND(+$J206*(VLOOKUP($I206,cngded,6,FALSE())),0)</f>
        <v>24</v>
      </c>
      <c r="P206" s="30" t="n">
        <f aca="false">K206-ROUND(+$K206*(VLOOKUP($I206,cngded,6,FALSE())),0)</f>
        <v>28</v>
      </c>
      <c r="Q206" s="23" t="str">
        <f aca="false">IF(ISNA(VLOOKUP(C206,INCNG,1,FALSE())),"--","Y")</f>
        <v>Y</v>
      </c>
      <c r="R206" s="23" t="n">
        <f aca="false">IF(ISNA(VLOOKUP(C206,INCNG,10,FALSE())),0,VLOOKUP(C206,INCNG,10,FALSE()))</f>
        <v>24</v>
      </c>
      <c r="S206" s="0" t="n">
        <f aca="false">+K206-R206</f>
        <v>7</v>
      </c>
      <c r="T206" s="31" t="n">
        <f aca="false">+P206-R206</f>
        <v>4</v>
      </c>
      <c r="U206" s="32" t="n">
        <f aca="false">ROUND(+$K206*(VLOOKUP($I206,Retention,2,FALSE())),0)</f>
        <v>1</v>
      </c>
      <c r="V206" s="32" t="n">
        <f aca="false">ROUND(+$K206*(VLOOKUP($I206,Retention,3,FALSE())),0)</f>
        <v>2</v>
      </c>
      <c r="W206" s="32" t="n">
        <f aca="false">ROUND(+$K206*(VLOOKUP($I206,Retention,4,FALSE())),0)</f>
        <v>0</v>
      </c>
      <c r="X206" s="32" t="n">
        <f aca="false">ROUND(+$K206*(VLOOKUP($I206,Retention,5,FALSE())),0)</f>
        <v>0</v>
      </c>
      <c r="Y206" s="31" t="n">
        <f aca="false">SUM(U206:X206)</f>
        <v>3</v>
      </c>
      <c r="AB206" s="33"/>
      <c r="AC206" s="33"/>
      <c r="AD206" s="0" t="e">
        <f aca="false">VLOOKUP(AB206,INCNG,3,FALSE())</f>
        <v>#N/A</v>
      </c>
    </row>
    <row r="207" customFormat="false" ht="12.75" hidden="false" customHeight="false" outlineLevel="0" collapsed="false">
      <c r="A207" s="0" t="s">
        <v>486</v>
      </c>
      <c r="B207" s="0" t="s">
        <v>136</v>
      </c>
      <c r="C207" s="0" t="s">
        <v>95</v>
      </c>
      <c r="D207" s="0" t="n">
        <v>4133001</v>
      </c>
      <c r="E207" s="0" t="s">
        <v>93</v>
      </c>
      <c r="F207" s="21" t="n">
        <v>37196</v>
      </c>
      <c r="G207" s="21"/>
      <c r="H207" s="21"/>
      <c r="I207" s="21" t="s">
        <v>451</v>
      </c>
      <c r="J207" s="0" t="n">
        <f aca="false">IF(ISNA(VLOOKUP(C207,CNGx,2,FALSE())),"na",(VLOOKUP(C207,CNGx,2,FALSE())))</f>
        <v>0</v>
      </c>
      <c r="K207" s="0" t="n">
        <f aca="false">IF(ISNA(VLOOKUP(C207,CNGx,3,0)),0,VLOOKUP(C207,CNGx,3,FALSE()))</f>
        <v>0</v>
      </c>
      <c r="L207" s="29" t="n">
        <f aca="false">VLOOKUP(I207,Retention,2,FALSE())</f>
        <v>0.0228</v>
      </c>
      <c r="M207" s="30" t="n">
        <f aca="false">IF(OR(I207="TD",I207="TW"),0,J207*0.0228)</f>
        <v>0</v>
      </c>
      <c r="N207" s="30" t="n">
        <f aca="false">IF(OR(I207="TD",I207="TW"),0,K207*0.0228)</f>
        <v>0</v>
      </c>
      <c r="O207" s="30" t="n">
        <f aca="false">J207-ROUND(+$J207*(VLOOKUP($I207,cngded,6,FALSE())),0)</f>
        <v>0</v>
      </c>
      <c r="P207" s="30" t="n">
        <f aca="false">K207-ROUND(+$K207*(VLOOKUP($I207,cngded,6,FALSE())),0)</f>
        <v>0</v>
      </c>
      <c r="Q207" s="23" t="str">
        <f aca="false">IF(ISNA(VLOOKUP(C207,INCNG,1,FALSE())),"--","Y")</f>
        <v>Y</v>
      </c>
      <c r="R207" s="23" t="n">
        <f aca="false">IF(ISNA(VLOOKUP(C207,INCNG,10,FALSE())),0,VLOOKUP(C207,INCNG,10,FALSE()))</f>
        <v>0</v>
      </c>
      <c r="S207" s="0" t="n">
        <f aca="false">+K207-R207</f>
        <v>0</v>
      </c>
      <c r="T207" s="31" t="n">
        <f aca="false">+P207-R207</f>
        <v>0</v>
      </c>
      <c r="U207" s="32" t="n">
        <f aca="false">ROUND(+$K207*(VLOOKUP($I207,Retention,2,FALSE())),0)</f>
        <v>0</v>
      </c>
      <c r="V207" s="32" t="n">
        <f aca="false">ROUND(+$K207*(VLOOKUP($I207,Retention,3,FALSE())),0)</f>
        <v>0</v>
      </c>
      <c r="W207" s="32" t="n">
        <f aca="false">ROUND(+$K207*(VLOOKUP($I207,Retention,4,FALSE())),0)</f>
        <v>0</v>
      </c>
      <c r="X207" s="32" t="n">
        <f aca="false">ROUND(+$K207*(VLOOKUP($I207,Retention,5,FALSE())),0)</f>
        <v>0</v>
      </c>
      <c r="Y207" s="31" t="n">
        <f aca="false">SUM(U207:X207)</f>
        <v>0</v>
      </c>
      <c r="AB207" s="33"/>
      <c r="AC207" s="33"/>
      <c r="AD207" s="0" t="e">
        <f aca="false">VLOOKUP(AB207,INCNG,3,FALSE())</f>
        <v>#N/A</v>
      </c>
    </row>
    <row r="208" customFormat="false" ht="12.75" hidden="false" customHeight="false" outlineLevel="0" collapsed="false">
      <c r="A208" s="0" t="s">
        <v>486</v>
      </c>
      <c r="B208" s="0" t="s">
        <v>136</v>
      </c>
      <c r="C208" s="0" t="s">
        <v>129</v>
      </c>
      <c r="D208" s="0" t="n">
        <v>4134301</v>
      </c>
      <c r="E208" s="0" t="s">
        <v>461</v>
      </c>
      <c r="F208" s="21" t="n">
        <v>37196</v>
      </c>
      <c r="G208" s="21"/>
      <c r="H208" s="21"/>
      <c r="I208" s="21" t="s">
        <v>451</v>
      </c>
      <c r="J208" s="0" t="n">
        <f aca="false">IF(ISNA(VLOOKUP(C208,CNGx,2,FALSE())),"na",(VLOOKUP(C208,CNGx,2,FALSE())))</f>
        <v>14</v>
      </c>
      <c r="K208" s="0" t="n">
        <f aca="false">IF(ISNA(VLOOKUP(C208,CNGx,3,0)),0,VLOOKUP(C208,CNGx,3,FALSE()))</f>
        <v>13</v>
      </c>
      <c r="L208" s="29" t="n">
        <f aca="false">VLOOKUP(I208,Retention,2,FALSE())</f>
        <v>0.0228</v>
      </c>
      <c r="M208" s="30" t="n">
        <f aca="false">IF(OR(I208="TD",I208="TW"),0,J208*0.0228)</f>
        <v>0.3192</v>
      </c>
      <c r="N208" s="30" t="n">
        <f aca="false">IF(OR(I208="TD",I208="TW"),0,K208*0.0228)</f>
        <v>0.2964</v>
      </c>
      <c r="O208" s="30" t="n">
        <f aca="false">J208-ROUND(+$J208*(VLOOKUP($I208,cngded,6,FALSE())),0)</f>
        <v>13</v>
      </c>
      <c r="P208" s="30" t="n">
        <f aca="false">K208-ROUND(+$K208*(VLOOKUP($I208,cngded,6,FALSE())),0)</f>
        <v>12</v>
      </c>
      <c r="Q208" s="23" t="str">
        <f aca="false">IF(ISNA(VLOOKUP(C208,INCNG,1,FALSE())),"--","Y")</f>
        <v>Y</v>
      </c>
      <c r="R208" s="23" t="n">
        <f aca="false">IF(ISNA(VLOOKUP(C208,INCNG,10,FALSE())),0,VLOOKUP(C208,INCNG,10,FALSE()))</f>
        <v>13</v>
      </c>
      <c r="S208" s="0" t="n">
        <f aca="false">+K208-R208</f>
        <v>0</v>
      </c>
      <c r="T208" s="31" t="n">
        <f aca="false">+P208-R208</f>
        <v>-1</v>
      </c>
      <c r="U208" s="32" t="n">
        <f aca="false">ROUND(+$K208*(VLOOKUP($I208,Retention,2,FALSE())),0)</f>
        <v>0</v>
      </c>
      <c r="V208" s="32" t="n">
        <f aca="false">ROUND(+$K208*(VLOOKUP($I208,Retention,3,FALSE())),0)</f>
        <v>1</v>
      </c>
      <c r="W208" s="32" t="n">
        <f aca="false">ROUND(+$K208*(VLOOKUP($I208,Retention,4,FALSE())),0)</f>
        <v>0</v>
      </c>
      <c r="X208" s="32" t="n">
        <f aca="false">ROUND(+$K208*(VLOOKUP($I208,Retention,5,FALSE())),0)</f>
        <v>0</v>
      </c>
      <c r="Y208" s="31" t="n">
        <f aca="false">SUM(U208:X208)</f>
        <v>1</v>
      </c>
      <c r="AB208" s="33"/>
      <c r="AC208" s="33"/>
      <c r="AD208" s="0" t="e">
        <f aca="false">VLOOKUP(AB208,INCNG,3,FALSE())</f>
        <v>#N/A</v>
      </c>
    </row>
    <row r="209" customFormat="false" ht="12.75" hidden="false" customHeight="false" outlineLevel="0" collapsed="false">
      <c r="A209" s="0" t="s">
        <v>486</v>
      </c>
      <c r="B209" s="0" t="s">
        <v>136</v>
      </c>
      <c r="C209" s="0" t="s">
        <v>130</v>
      </c>
      <c r="D209" s="0" t="n">
        <v>4137901</v>
      </c>
      <c r="E209" s="0" t="s">
        <v>461</v>
      </c>
      <c r="F209" s="21" t="n">
        <v>37196</v>
      </c>
      <c r="G209" s="21"/>
      <c r="H209" s="21"/>
      <c r="I209" s="21" t="s">
        <v>451</v>
      </c>
      <c r="J209" s="0" t="n">
        <f aca="false">IF(ISNA(VLOOKUP(C209,CNGx,2,FALSE())),"na",(VLOOKUP(C209,CNGx,2,FALSE())))</f>
        <v>48</v>
      </c>
      <c r="K209" s="0" t="n">
        <f aca="false">IF(ISNA(VLOOKUP(C209,CNGx,3,0)),0,VLOOKUP(C209,CNGx,3,FALSE()))</f>
        <v>53</v>
      </c>
      <c r="L209" s="29" t="n">
        <f aca="false">VLOOKUP(I209,Retention,2,FALSE())</f>
        <v>0.0228</v>
      </c>
      <c r="M209" s="30" t="n">
        <f aca="false">IF(OR(I209="TD",I209="TW"),0,J209*0.0228)</f>
        <v>1.0944</v>
      </c>
      <c r="N209" s="30" t="n">
        <f aca="false">IF(OR(I209="TD",I209="TW"),0,K209*0.0228)</f>
        <v>1.2084</v>
      </c>
      <c r="O209" s="30" t="n">
        <f aca="false">J209-ROUND(+$J209*(VLOOKUP($I209,cngded,6,FALSE())),0)</f>
        <v>44</v>
      </c>
      <c r="P209" s="30" t="n">
        <f aca="false">K209-ROUND(+$K209*(VLOOKUP($I209,cngded,6,FALSE())),0)</f>
        <v>48</v>
      </c>
      <c r="Q209" s="23" t="str">
        <f aca="false">IF(ISNA(VLOOKUP(C209,INCNG,1,FALSE())),"--","Y")</f>
        <v>Y</v>
      </c>
      <c r="R209" s="23" t="n">
        <f aca="false">IF(ISNA(VLOOKUP(C209,INCNG,10,FALSE())),0,VLOOKUP(C209,INCNG,10,FALSE()))</f>
        <v>44</v>
      </c>
      <c r="S209" s="0" t="n">
        <f aca="false">+K209-R209</f>
        <v>9</v>
      </c>
      <c r="T209" s="31" t="n">
        <f aca="false">+P209-R209</f>
        <v>4</v>
      </c>
      <c r="U209" s="32" t="n">
        <f aca="false">ROUND(+$K209*(VLOOKUP($I209,Retention,2,FALSE())),0)</f>
        <v>1</v>
      </c>
      <c r="V209" s="32" t="n">
        <f aca="false">ROUND(+$K209*(VLOOKUP($I209,Retention,3,FALSE())),0)</f>
        <v>4</v>
      </c>
      <c r="W209" s="32" t="n">
        <f aca="false">ROUND(+$K209*(VLOOKUP($I209,Retention,4,FALSE())),0)</f>
        <v>0</v>
      </c>
      <c r="X209" s="32" t="n">
        <f aca="false">ROUND(+$K209*(VLOOKUP($I209,Retention,5,FALSE())),0)</f>
        <v>0</v>
      </c>
      <c r="Y209" s="31" t="n">
        <f aca="false">SUM(U209:X209)</f>
        <v>5</v>
      </c>
      <c r="AB209" s="33"/>
      <c r="AC209" s="33"/>
      <c r="AD209" s="0" t="e">
        <f aca="false">VLOOKUP(AB209,INCNG,3,FALSE())</f>
        <v>#N/A</v>
      </c>
    </row>
    <row r="210" customFormat="false" ht="12.75" hidden="false" customHeight="false" outlineLevel="0" collapsed="false">
      <c r="A210" s="0" t="s">
        <v>486</v>
      </c>
      <c r="B210" s="0" t="s">
        <v>136</v>
      </c>
      <c r="C210" s="0" t="s">
        <v>380</v>
      </c>
      <c r="D210" s="0" t="n">
        <v>4156001</v>
      </c>
      <c r="E210" s="0" t="s">
        <v>456</v>
      </c>
      <c r="F210" s="21" t="n">
        <v>37196</v>
      </c>
      <c r="G210" s="21"/>
      <c r="H210" s="21"/>
      <c r="I210" s="21" t="s">
        <v>451</v>
      </c>
      <c r="J210" s="0" t="n">
        <f aca="false">IF(ISNA(VLOOKUP(C210,CNGx,2,FALSE())),"na",(VLOOKUP(C210,CNGx,2,FALSE())))</f>
        <v>0</v>
      </c>
      <c r="K210" s="0" t="n">
        <f aca="false">IF(ISNA(VLOOKUP(C210,CNGx,3,0)),0,VLOOKUP(C210,CNGx,3,FALSE()))</f>
        <v>0</v>
      </c>
      <c r="L210" s="29" t="n">
        <f aca="false">VLOOKUP(I210,Retention,2,FALSE())</f>
        <v>0.0228</v>
      </c>
      <c r="M210" s="30" t="n">
        <f aca="false">IF(OR(I210="TD",I210="TW"),0,J210*0.0228)</f>
        <v>0</v>
      </c>
      <c r="N210" s="30" t="n">
        <f aca="false">IF(OR(I210="TD",I210="TW"),0,K210*0.0228)</f>
        <v>0</v>
      </c>
      <c r="O210" s="30" t="n">
        <f aca="false">J210-ROUND(+$J210*(VLOOKUP($I210,cngded,6,FALSE())),0)</f>
        <v>0</v>
      </c>
      <c r="P210" s="30" t="n">
        <f aca="false">K210-ROUND(+$K210*(VLOOKUP($I210,cngded,6,FALSE())),0)</f>
        <v>0</v>
      </c>
      <c r="Q210" s="23" t="str">
        <f aca="false">IF(ISNA(VLOOKUP(C210,INCNG,1,FALSE())),"--","Y")</f>
        <v>Y</v>
      </c>
      <c r="R210" s="23" t="n">
        <f aca="false">IF(ISNA(VLOOKUP(C210,INCNG,10,FALSE())),0,VLOOKUP(C210,INCNG,10,FALSE()))</f>
        <v>0</v>
      </c>
      <c r="S210" s="0" t="n">
        <f aca="false">+K210-R210</f>
        <v>0</v>
      </c>
      <c r="T210" s="31" t="n">
        <f aca="false">+P210-R210</f>
        <v>0</v>
      </c>
      <c r="U210" s="32" t="n">
        <f aca="false">ROUND(+$K210*(VLOOKUP($I210,Retention,2,FALSE())),0)</f>
        <v>0</v>
      </c>
      <c r="V210" s="32" t="n">
        <f aca="false">ROUND(+$K210*(VLOOKUP($I210,Retention,3,FALSE())),0)</f>
        <v>0</v>
      </c>
      <c r="W210" s="32" t="n">
        <f aca="false">ROUND(+$K210*(VLOOKUP($I210,Retention,4,FALSE())),0)</f>
        <v>0</v>
      </c>
      <c r="X210" s="32" t="n">
        <f aca="false">ROUND(+$K210*(VLOOKUP($I210,Retention,5,FALSE())),0)</f>
        <v>0</v>
      </c>
      <c r="Y210" s="31" t="n">
        <f aca="false">SUM(U210:X210)</f>
        <v>0</v>
      </c>
      <c r="AB210" s="33"/>
      <c r="AC210" s="33"/>
      <c r="AD210" s="0" t="e">
        <f aca="false">VLOOKUP(AB210,INCNG,3,FALSE())</f>
        <v>#N/A</v>
      </c>
    </row>
    <row r="211" customFormat="false" ht="12.75" hidden="false" customHeight="false" outlineLevel="0" collapsed="false">
      <c r="A211" s="0" t="s">
        <v>486</v>
      </c>
      <c r="B211" s="0" t="s">
        <v>273</v>
      </c>
      <c r="C211" s="0" t="s">
        <v>289</v>
      </c>
      <c r="D211" s="0" t="n">
        <v>4180601</v>
      </c>
      <c r="E211" s="0" t="s">
        <v>466</v>
      </c>
      <c r="F211" s="21" t="n">
        <v>37196</v>
      </c>
      <c r="G211" s="21"/>
      <c r="H211" s="21"/>
      <c r="I211" s="21" t="s">
        <v>450</v>
      </c>
      <c r="J211" s="0" t="n">
        <f aca="false">IF(ISNA(VLOOKUP(C211,CNGx,2,FALSE())),"na",(VLOOKUP(C211,CNGx,2,FALSE())))</f>
        <v>8</v>
      </c>
      <c r="K211" s="0" t="n">
        <f aca="false">IF(ISNA(VLOOKUP(C211,CNGx,3,0)),0,VLOOKUP(C211,CNGx,3,FALSE()))</f>
        <v>11</v>
      </c>
      <c r="L211" s="29" t="n">
        <f aca="false">VLOOKUP(I211,Retention,2,FALSE())</f>
        <v>0.0228</v>
      </c>
      <c r="M211" s="30" t="n">
        <f aca="false">IF(OR(I211="TD",I211="TW"),0,J211*0.0228)</f>
        <v>0.1824</v>
      </c>
      <c r="N211" s="30" t="n">
        <f aca="false">IF(OR(I211="TD",I211="TW"),0,K211*0.0228)</f>
        <v>0.2508</v>
      </c>
      <c r="O211" s="30" t="n">
        <f aca="false">J211-ROUND(+$J211*(VLOOKUP($I211,cngded,6,FALSE())),0)</f>
        <v>7</v>
      </c>
      <c r="P211" s="30" t="n">
        <f aca="false">K211-ROUND(+$K211*(VLOOKUP($I211,cngded,6,FALSE())),0)</f>
        <v>10</v>
      </c>
      <c r="Q211" s="23" t="str">
        <f aca="false">IF(ISNA(VLOOKUP(C211,INCNG,1,FALSE())),"--","Y")</f>
        <v>Y</v>
      </c>
      <c r="R211" s="23" t="n">
        <f aca="false">IF(ISNA(VLOOKUP(C211,INCNG,10,FALSE())),0,VLOOKUP(C211,INCNG,10,FALSE()))</f>
        <v>7</v>
      </c>
      <c r="S211" s="0" t="n">
        <f aca="false">+K211-R211</f>
        <v>4</v>
      </c>
      <c r="T211" s="31" t="n">
        <f aca="false">+P211-R211</f>
        <v>3</v>
      </c>
      <c r="U211" s="32" t="n">
        <f aca="false">ROUND(+$K211*(VLOOKUP($I211,Retention,2,FALSE())),0)</f>
        <v>0</v>
      </c>
      <c r="V211" s="32" t="n">
        <f aca="false">ROUND(+$K211*(VLOOKUP($I211,Retention,3,FALSE())),0)</f>
        <v>1</v>
      </c>
      <c r="W211" s="32" t="n">
        <f aca="false">ROUND(+$K211*(VLOOKUP($I211,Retention,4,FALSE())),0)</f>
        <v>0</v>
      </c>
      <c r="X211" s="32" t="n">
        <f aca="false">ROUND(+$K211*(VLOOKUP($I211,Retention,5,FALSE())),0)</f>
        <v>0</v>
      </c>
      <c r="Y211" s="31" t="n">
        <f aca="false">SUM(U211:X211)</f>
        <v>1</v>
      </c>
      <c r="AB211" s="33"/>
      <c r="AC211" s="33"/>
      <c r="AD211" s="0" t="e">
        <f aca="false">VLOOKUP(AB211,INCNG,3,FALSE())</f>
        <v>#N/A</v>
      </c>
    </row>
    <row r="212" customFormat="false" ht="12.75" hidden="false" customHeight="false" outlineLevel="0" collapsed="false">
      <c r="A212" s="0" t="s">
        <v>486</v>
      </c>
      <c r="B212" s="0" t="s">
        <v>273</v>
      </c>
      <c r="C212" s="0" t="s">
        <v>291</v>
      </c>
      <c r="D212" s="0" t="n">
        <v>4188401</v>
      </c>
      <c r="E212" s="0" t="s">
        <v>466</v>
      </c>
      <c r="F212" s="21" t="n">
        <v>37196</v>
      </c>
      <c r="G212" s="21"/>
      <c r="H212" s="21"/>
      <c r="I212" s="21" t="s">
        <v>450</v>
      </c>
      <c r="J212" s="0" t="n">
        <f aca="false">IF(ISNA(VLOOKUP(C212,CNGx,2,FALSE())),"na",(VLOOKUP(C212,CNGx,2,FALSE())))</f>
        <v>16</v>
      </c>
      <c r="K212" s="0" t="n">
        <f aca="false">IF(ISNA(VLOOKUP(C212,CNGx,3,0)),0,VLOOKUP(C212,CNGx,3,FALSE()))</f>
        <v>20</v>
      </c>
      <c r="L212" s="29" t="n">
        <f aca="false">VLOOKUP(I212,Retention,2,FALSE())</f>
        <v>0.0228</v>
      </c>
      <c r="M212" s="30" t="n">
        <f aca="false">IF(OR(I212="TD",I212="TW"),0,J212*0.0228)</f>
        <v>0.3648</v>
      </c>
      <c r="N212" s="30" t="n">
        <f aca="false">IF(OR(I212="TD",I212="TW"),0,K212*0.0228)</f>
        <v>0.456</v>
      </c>
      <c r="O212" s="30" t="n">
        <f aca="false">J212-ROUND(+$J212*(VLOOKUP($I212,cngded,6,FALSE())),0)</f>
        <v>14</v>
      </c>
      <c r="P212" s="30" t="n">
        <f aca="false">K212-ROUND(+$K212*(VLOOKUP($I212,cngded,6,FALSE())),0)</f>
        <v>17</v>
      </c>
      <c r="Q212" s="23" t="str">
        <f aca="false">IF(ISNA(VLOOKUP(C212,INCNG,1,FALSE())),"--","Y")</f>
        <v>Y</v>
      </c>
      <c r="R212" s="23" t="n">
        <f aca="false">IF(ISNA(VLOOKUP(C212,INCNG,10,FALSE())),0,VLOOKUP(C212,INCNG,10,FALSE()))</f>
        <v>14</v>
      </c>
      <c r="S212" s="0" t="n">
        <f aca="false">+K212-R212</f>
        <v>6</v>
      </c>
      <c r="T212" s="31" t="n">
        <f aca="false">+P212-R212</f>
        <v>3</v>
      </c>
      <c r="U212" s="32" t="n">
        <f aca="false">ROUND(+$K212*(VLOOKUP($I212,Retention,2,FALSE())),0)</f>
        <v>0</v>
      </c>
      <c r="V212" s="32" t="n">
        <f aca="false">ROUND(+$K212*(VLOOKUP($I212,Retention,3,FALSE())),0)</f>
        <v>1</v>
      </c>
      <c r="W212" s="32" t="n">
        <f aca="false">ROUND(+$K212*(VLOOKUP($I212,Retention,4,FALSE())),0)</f>
        <v>1</v>
      </c>
      <c r="X212" s="32" t="n">
        <f aca="false">ROUND(+$K212*(VLOOKUP($I212,Retention,5,FALSE())),0)</f>
        <v>0</v>
      </c>
      <c r="Y212" s="31" t="n">
        <f aca="false">SUM(U212:X212)</f>
        <v>2</v>
      </c>
      <c r="AB212" s="33"/>
      <c r="AC212" s="33"/>
      <c r="AD212" s="0" t="e">
        <f aca="false">VLOOKUP(AB212,INCNG,3,FALSE())</f>
        <v>#N/A</v>
      </c>
    </row>
    <row r="213" customFormat="false" ht="12.75" hidden="false" customHeight="false" outlineLevel="0" collapsed="false">
      <c r="A213" s="0" t="s">
        <v>486</v>
      </c>
      <c r="B213" s="0" t="s">
        <v>136</v>
      </c>
      <c r="C213" s="0" t="s">
        <v>131</v>
      </c>
      <c r="D213" s="0" t="n">
        <v>4235001</v>
      </c>
      <c r="E213" s="0" t="s">
        <v>461</v>
      </c>
      <c r="F213" s="21" t="n">
        <v>37196</v>
      </c>
      <c r="G213" s="21"/>
      <c r="H213" s="21"/>
      <c r="I213" s="21" t="s">
        <v>451</v>
      </c>
      <c r="J213" s="0" t="n">
        <f aca="false">IF(ISNA(VLOOKUP(C213,CNGx,2,FALSE())),"na",(VLOOKUP(C213,CNGx,2,FALSE())))</f>
        <v>161</v>
      </c>
      <c r="K213" s="0" t="n">
        <f aca="false">IF(ISNA(VLOOKUP(C213,CNGx,3,0)),0,VLOOKUP(C213,CNGx,3,FALSE()))</f>
        <v>182</v>
      </c>
      <c r="L213" s="29" t="n">
        <f aca="false">VLOOKUP(I213,Retention,2,FALSE())</f>
        <v>0.0228</v>
      </c>
      <c r="M213" s="30" t="n">
        <f aca="false">IF(OR(I213="TD",I213="TW"),0,J213*0.0228)</f>
        <v>3.6708</v>
      </c>
      <c r="N213" s="30" t="n">
        <f aca="false">IF(OR(I213="TD",I213="TW"),0,K213*0.0228)</f>
        <v>4.1496</v>
      </c>
      <c r="O213" s="30" t="n">
        <f aca="false">J213-ROUND(+$J213*(VLOOKUP($I213,cngded,6,FALSE())),0)</f>
        <v>146</v>
      </c>
      <c r="P213" s="30" t="n">
        <f aca="false">K213-ROUND(+$K213*(VLOOKUP($I213,cngded,6,FALSE())),0)</f>
        <v>165</v>
      </c>
      <c r="Q213" s="23" t="str">
        <f aca="false">IF(ISNA(VLOOKUP(C213,INCNG,1,FALSE())),"--","Y")</f>
        <v>Y</v>
      </c>
      <c r="R213" s="23" t="n">
        <f aca="false">IF(ISNA(VLOOKUP(C213,INCNG,10,FALSE())),0,VLOOKUP(C213,INCNG,10,FALSE()))</f>
        <v>146</v>
      </c>
      <c r="S213" s="0" t="n">
        <f aca="false">+K213-R213</f>
        <v>36</v>
      </c>
      <c r="T213" s="31" t="n">
        <f aca="false">+P213-R213</f>
        <v>19</v>
      </c>
      <c r="U213" s="32" t="n">
        <f aca="false">ROUND(+$K213*(VLOOKUP($I213,Retention,2,FALSE())),0)</f>
        <v>4</v>
      </c>
      <c r="V213" s="32" t="n">
        <f aca="false">ROUND(+$K213*(VLOOKUP($I213,Retention,3,FALSE())),0)</f>
        <v>13</v>
      </c>
      <c r="W213" s="32" t="n">
        <f aca="false">ROUND(+$K213*(VLOOKUP($I213,Retention,4,FALSE())),0)</f>
        <v>0</v>
      </c>
      <c r="X213" s="32" t="n">
        <f aca="false">ROUND(+$K213*(VLOOKUP($I213,Retention,5,FALSE())),0)</f>
        <v>0</v>
      </c>
      <c r="Y213" s="31" t="n">
        <f aca="false">SUM(U213:X213)</f>
        <v>17</v>
      </c>
      <c r="AB213" s="33"/>
      <c r="AC213" s="33"/>
      <c r="AD213" s="0" t="e">
        <f aca="false">VLOOKUP(AB213,INCNG,3,FALSE())</f>
        <v>#N/A</v>
      </c>
    </row>
    <row r="214" customFormat="false" ht="12.75" hidden="false" customHeight="false" outlineLevel="0" collapsed="false">
      <c r="A214" s="0" t="s">
        <v>486</v>
      </c>
      <c r="B214" s="0" t="s">
        <v>273</v>
      </c>
      <c r="C214" s="0" t="s">
        <v>381</v>
      </c>
      <c r="D214" s="0" t="n">
        <v>4243601</v>
      </c>
      <c r="E214" s="0" t="s">
        <v>456</v>
      </c>
      <c r="F214" s="21" t="n">
        <v>37196</v>
      </c>
      <c r="G214" s="21"/>
      <c r="H214" s="21"/>
      <c r="I214" s="21" t="s">
        <v>450</v>
      </c>
      <c r="J214" s="0" t="n">
        <f aca="false">IF(ISNA(VLOOKUP(C214,CNGx,2,FALSE())),"na",(VLOOKUP(C214,CNGx,2,FALSE())))</f>
        <v>246</v>
      </c>
      <c r="K214" s="0" t="n">
        <f aca="false">IF(ISNA(VLOOKUP(C214,CNGx,3,0)),0,VLOOKUP(C214,CNGx,3,FALSE()))</f>
        <v>304</v>
      </c>
      <c r="L214" s="29" t="n">
        <f aca="false">VLOOKUP(I214,Retention,2,FALSE())</f>
        <v>0.0228</v>
      </c>
      <c r="M214" s="30" t="n">
        <f aca="false">IF(OR(I214="TD",I214="TW"),0,J214*0.0228)</f>
        <v>5.6088</v>
      </c>
      <c r="N214" s="30" t="n">
        <f aca="false">IF(OR(I214="TD",I214="TW"),0,K214*0.0228)</f>
        <v>6.9312</v>
      </c>
      <c r="O214" s="30" t="n">
        <f aca="false">J214-ROUND(+$J214*(VLOOKUP($I214,cngded,6,FALSE())),0)</f>
        <v>213</v>
      </c>
      <c r="P214" s="30" t="n">
        <f aca="false">K214-ROUND(+$K214*(VLOOKUP($I214,cngded,6,FALSE())),0)</f>
        <v>264</v>
      </c>
      <c r="Q214" s="23" t="str">
        <f aca="false">IF(ISNA(VLOOKUP(C214,INCNG,1,FALSE())),"--","Y")</f>
        <v>Y</v>
      </c>
      <c r="R214" s="23" t="n">
        <f aca="false">IF(ISNA(VLOOKUP(C214,INCNG,10,FALSE())),0,VLOOKUP(C214,INCNG,10,FALSE()))</f>
        <v>213</v>
      </c>
      <c r="S214" s="0" t="n">
        <f aca="false">+K214-R214</f>
        <v>91</v>
      </c>
      <c r="T214" s="31" t="n">
        <f aca="false">+P214-R214</f>
        <v>51</v>
      </c>
      <c r="U214" s="32" t="n">
        <f aca="false">ROUND(+$K214*(VLOOKUP($I214,Retention,2,FALSE())),0)</f>
        <v>7</v>
      </c>
      <c r="V214" s="32" t="n">
        <f aca="false">ROUND(+$K214*(VLOOKUP($I214,Retention,3,FALSE())),0)</f>
        <v>21</v>
      </c>
      <c r="W214" s="32" t="n">
        <f aca="false">ROUND(+$K214*(VLOOKUP($I214,Retention,4,FALSE())),0)</f>
        <v>9</v>
      </c>
      <c r="X214" s="32" t="n">
        <f aca="false">ROUND(+$K214*(VLOOKUP($I214,Retention,5,FALSE())),0)</f>
        <v>3</v>
      </c>
      <c r="Y214" s="31" t="n">
        <f aca="false">SUM(U214:X214)</f>
        <v>40</v>
      </c>
      <c r="AB214" s="33"/>
      <c r="AC214" s="33"/>
      <c r="AD214" s="0" t="e">
        <f aca="false">VLOOKUP(AB214,INCNG,3,FALSE())</f>
        <v>#N/A</v>
      </c>
    </row>
    <row r="215" customFormat="false" ht="12.75" hidden="false" customHeight="false" outlineLevel="0" collapsed="false">
      <c r="A215" s="0" t="s">
        <v>486</v>
      </c>
      <c r="B215" s="0" t="s">
        <v>273</v>
      </c>
      <c r="C215" s="0" t="s">
        <v>441</v>
      </c>
      <c r="D215" s="0" t="n">
        <v>4244501</v>
      </c>
      <c r="E215" s="0" t="s">
        <v>440</v>
      </c>
      <c r="F215" s="21" t="n">
        <v>37196</v>
      </c>
      <c r="G215" s="21"/>
      <c r="H215" s="21"/>
      <c r="I215" s="21" t="s">
        <v>450</v>
      </c>
      <c r="J215" s="0" t="n">
        <f aca="false">IF(ISNA(VLOOKUP(C215,CNGx,2,FALSE())),"na",(VLOOKUP(C215,CNGx,2,FALSE())))</f>
        <v>173</v>
      </c>
      <c r="K215" s="0" t="n">
        <f aca="false">IF(ISNA(VLOOKUP(C215,CNGx,3,0)),0,VLOOKUP(C215,CNGx,3,FALSE()))</f>
        <v>211</v>
      </c>
      <c r="L215" s="29" t="n">
        <f aca="false">VLOOKUP(I215,Retention,2,FALSE())</f>
        <v>0.0228</v>
      </c>
      <c r="M215" s="30" t="n">
        <f aca="false">IF(OR(I215="TD",I215="TW"),0,J215*0.0228)</f>
        <v>3.9444</v>
      </c>
      <c r="N215" s="30" t="n">
        <f aca="false">IF(OR(I215="TD",I215="TW"),0,K215*0.0228)</f>
        <v>4.8108</v>
      </c>
      <c r="O215" s="30" t="n">
        <f aca="false">J215-ROUND(+$J215*(VLOOKUP($I215,cngded,6,FALSE())),0)</f>
        <v>150</v>
      </c>
      <c r="P215" s="30" t="n">
        <f aca="false">K215-ROUND(+$K215*(VLOOKUP($I215,cngded,6,FALSE())),0)</f>
        <v>183</v>
      </c>
      <c r="Q215" s="23" t="str">
        <f aca="false">IF(ISNA(VLOOKUP(C215,INCNG,1,FALSE())),"--","Y")</f>
        <v>Y</v>
      </c>
      <c r="R215" s="23" t="n">
        <f aca="false">IF(ISNA(VLOOKUP(C215,INCNG,10,FALSE())),0,VLOOKUP(C215,INCNG,10,FALSE()))</f>
        <v>150</v>
      </c>
      <c r="S215" s="0" t="n">
        <f aca="false">+K215-R215</f>
        <v>61</v>
      </c>
      <c r="T215" s="31" t="n">
        <f aca="false">+P215-R215</f>
        <v>33</v>
      </c>
      <c r="U215" s="32" t="n">
        <f aca="false">ROUND(+$K215*(VLOOKUP($I215,Retention,2,FALSE())),0)</f>
        <v>5</v>
      </c>
      <c r="V215" s="32" t="n">
        <f aca="false">ROUND(+$K215*(VLOOKUP($I215,Retention,3,FALSE())),0)</f>
        <v>15</v>
      </c>
      <c r="W215" s="32" t="n">
        <f aca="false">ROUND(+$K215*(VLOOKUP($I215,Retention,4,FALSE())),0)</f>
        <v>6</v>
      </c>
      <c r="X215" s="32" t="n">
        <f aca="false">ROUND(+$K215*(VLOOKUP($I215,Retention,5,FALSE())),0)</f>
        <v>2</v>
      </c>
      <c r="Y215" s="31" t="n">
        <f aca="false">SUM(U215:X215)</f>
        <v>28</v>
      </c>
      <c r="AB215" s="33"/>
      <c r="AC215" s="33"/>
      <c r="AD215" s="0" t="e">
        <f aca="false">VLOOKUP(AB215,INCNG,3,FALSE())</f>
        <v>#N/A</v>
      </c>
    </row>
    <row r="216" customFormat="false" ht="12.75" hidden="false" customHeight="false" outlineLevel="0" collapsed="false">
      <c r="A216" s="0" t="s">
        <v>486</v>
      </c>
      <c r="B216" s="0" t="s">
        <v>136</v>
      </c>
      <c r="C216" s="0" t="s">
        <v>169</v>
      </c>
      <c r="D216" s="0" t="n">
        <v>4281001</v>
      </c>
      <c r="E216" s="0" t="s">
        <v>170</v>
      </c>
      <c r="F216" s="21" t="n">
        <v>37196</v>
      </c>
      <c r="G216" s="21"/>
      <c r="H216" s="21"/>
      <c r="I216" s="21" t="s">
        <v>451</v>
      </c>
      <c r="J216" s="0" t="n">
        <f aca="false">IF(ISNA(VLOOKUP(C216,CNGx,2,FALSE())),"na",(VLOOKUP(C216,CNGx,2,FALSE())))</f>
        <v>0</v>
      </c>
      <c r="K216" s="0" t="n">
        <f aca="false">IF(ISNA(VLOOKUP(C216,CNGx,3,0)),0,VLOOKUP(C216,CNGx,3,FALSE()))</f>
        <v>0</v>
      </c>
      <c r="L216" s="29" t="n">
        <f aca="false">VLOOKUP(I216,Retention,2,FALSE())</f>
        <v>0.0228</v>
      </c>
      <c r="M216" s="30" t="n">
        <f aca="false">IF(OR(I216="TD",I216="TW"),0,J216*0.0228)</f>
        <v>0</v>
      </c>
      <c r="N216" s="30" t="n">
        <f aca="false">IF(OR(I216="TD",I216="TW"),0,K216*0.0228)</f>
        <v>0</v>
      </c>
      <c r="O216" s="30" t="n">
        <f aca="false">J216-ROUND(+$J216*(VLOOKUP($I216,cngded,6,FALSE())),0)</f>
        <v>0</v>
      </c>
      <c r="P216" s="30" t="n">
        <f aca="false">K216-ROUND(+$K216*(VLOOKUP($I216,cngded,6,FALSE())),0)</f>
        <v>0</v>
      </c>
      <c r="Q216" s="23" t="str">
        <f aca="false">IF(ISNA(VLOOKUP(C216,INCNG,1,FALSE())),"--","Y")</f>
        <v>Y</v>
      </c>
      <c r="R216" s="23" t="n">
        <f aca="false">IF(ISNA(VLOOKUP(C216,INCNG,10,FALSE())),0,VLOOKUP(C216,INCNG,10,FALSE()))</f>
        <v>0</v>
      </c>
      <c r="S216" s="0" t="n">
        <f aca="false">+K216-R216</f>
        <v>0</v>
      </c>
      <c r="T216" s="31" t="n">
        <f aca="false">+P216-R216</f>
        <v>0</v>
      </c>
      <c r="U216" s="32" t="n">
        <f aca="false">ROUND(+$K216*(VLOOKUP($I216,Retention,2,FALSE())),0)</f>
        <v>0</v>
      </c>
      <c r="V216" s="32" t="n">
        <f aca="false">ROUND(+$K216*(VLOOKUP($I216,Retention,3,FALSE())),0)</f>
        <v>0</v>
      </c>
      <c r="W216" s="32" t="n">
        <f aca="false">ROUND(+$K216*(VLOOKUP($I216,Retention,4,FALSE())),0)</f>
        <v>0</v>
      </c>
      <c r="X216" s="32" t="n">
        <f aca="false">ROUND(+$K216*(VLOOKUP($I216,Retention,5,FALSE())),0)</f>
        <v>0</v>
      </c>
      <c r="Y216" s="31" t="n">
        <f aca="false">SUM(U216:X216)</f>
        <v>0</v>
      </c>
      <c r="AB216" s="33"/>
      <c r="AC216" s="33"/>
      <c r="AD216" s="0" t="e">
        <f aca="false">VLOOKUP(AB216,INCNG,3,FALSE())</f>
        <v>#N/A</v>
      </c>
    </row>
    <row r="217" customFormat="false" ht="12.75" hidden="false" customHeight="false" outlineLevel="0" collapsed="false">
      <c r="A217" s="0" t="s">
        <v>486</v>
      </c>
      <c r="B217" s="0" t="s">
        <v>136</v>
      </c>
      <c r="C217" s="0" t="s">
        <v>384</v>
      </c>
      <c r="D217" s="0" t="n">
        <v>4315601</v>
      </c>
      <c r="E217" s="0" t="s">
        <v>462</v>
      </c>
      <c r="F217" s="21" t="n">
        <v>37196</v>
      </c>
      <c r="G217" s="21"/>
      <c r="H217" s="21"/>
      <c r="I217" s="21" t="s">
        <v>451</v>
      </c>
      <c r="J217" s="0" t="str">
        <f aca="false">IF(ISNA(VLOOKUP(C217,CNGx,2,FALSE())),"na",(VLOOKUP(C217,CNGx,2,FALSE())))</f>
        <v>na</v>
      </c>
      <c r="K217" s="0" t="n">
        <f aca="false">IF(ISNA(VLOOKUP(C217,CNGx,3,0)),0,VLOOKUP(C217,CNGx,3,FALSE()))</f>
        <v>0</v>
      </c>
      <c r="L217" s="29" t="n">
        <f aca="false">VLOOKUP(I217,Retention,2,FALSE())</f>
        <v>0.0228</v>
      </c>
      <c r="M217" s="30" t="e">
        <f aca="false">IF(OR(I217="TD",I217="TW"),0,J217*0.0228)</f>
        <v>#VALUE!</v>
      </c>
      <c r="N217" s="30" t="n">
        <f aca="false">IF(OR(I217="TD",I217="TW"),0,K217*0.0228)</f>
        <v>0</v>
      </c>
      <c r="O217" s="30" t="e">
        <f aca="false">J217-ROUND(+$J217*(VLOOKUP($I217,cngded,6,FALSE())),0)</f>
        <v>#VALUE!</v>
      </c>
      <c r="P217" s="30" t="n">
        <f aca="false">K217-ROUND(+$K217*(VLOOKUP($I217,cngded,6,FALSE())),0)</f>
        <v>0</v>
      </c>
      <c r="Q217" s="23" t="str">
        <f aca="false">IF(ISNA(VLOOKUP(C217,INCNG,1,FALSE())),"--","Y")</f>
        <v>Y</v>
      </c>
      <c r="R217" s="23" t="e">
        <f aca="false">IF(ISNA(VLOOKUP(C217,INCNG,10,FALSE())),0,VLOOKUP(C217,INCNG,10,FALSE()))</f>
        <v>#VALUE!</v>
      </c>
      <c r="S217" s="0" t="e">
        <f aca="false">+K217-R217</f>
        <v>#VALUE!</v>
      </c>
      <c r="T217" s="31" t="e">
        <f aca="false">+P217-R217</f>
        <v>#VALUE!</v>
      </c>
      <c r="U217" s="32" t="n">
        <f aca="false">ROUND(+$K217*(VLOOKUP($I217,Retention,2,FALSE())),0)</f>
        <v>0</v>
      </c>
      <c r="V217" s="32" t="n">
        <f aca="false">ROUND(+$K217*(VLOOKUP($I217,Retention,3,FALSE())),0)</f>
        <v>0</v>
      </c>
      <c r="W217" s="32" t="n">
        <f aca="false">ROUND(+$K217*(VLOOKUP($I217,Retention,4,FALSE())),0)</f>
        <v>0</v>
      </c>
      <c r="X217" s="32" t="n">
        <f aca="false">ROUND(+$K217*(VLOOKUP($I217,Retention,5,FALSE())),0)</f>
        <v>0</v>
      </c>
      <c r="Y217" s="31" t="n">
        <f aca="false">SUM(U217:X217)</f>
        <v>0</v>
      </c>
      <c r="AB217" s="33"/>
      <c r="AC217" s="33"/>
      <c r="AD217" s="0" t="e">
        <f aca="false">VLOOKUP(AB217,INCNG,3,FALSE())</f>
        <v>#N/A</v>
      </c>
    </row>
    <row r="218" customFormat="false" ht="12.75" hidden="false" customHeight="false" outlineLevel="0" collapsed="false">
      <c r="A218" s="0" t="s">
        <v>486</v>
      </c>
      <c r="B218" s="0" t="s">
        <v>273</v>
      </c>
      <c r="C218" s="0" t="s">
        <v>412</v>
      </c>
      <c r="D218" s="0" t="n">
        <v>4324601</v>
      </c>
      <c r="E218" s="0" t="s">
        <v>413</v>
      </c>
      <c r="F218" s="21" t="n">
        <v>37196</v>
      </c>
      <c r="G218" s="21"/>
      <c r="H218" s="21"/>
      <c r="I218" s="21" t="s">
        <v>450</v>
      </c>
      <c r="J218" s="0" t="n">
        <f aca="false">IF(ISNA(VLOOKUP(C218,CNGx,2,FALSE())),"na",(VLOOKUP(C218,CNGx,2,FALSE())))</f>
        <v>103</v>
      </c>
      <c r="K218" s="0" t="n">
        <f aca="false">IF(ISNA(VLOOKUP(C218,CNGx,3,0)),0,VLOOKUP(C218,CNGx,3,FALSE()))</f>
        <v>128</v>
      </c>
      <c r="L218" s="29" t="n">
        <f aca="false">VLOOKUP(I218,Retention,2,FALSE())</f>
        <v>0.0228</v>
      </c>
      <c r="M218" s="30" t="n">
        <f aca="false">IF(OR(I218="TD",I218="TW"),0,J218*0.0228)</f>
        <v>2.3484</v>
      </c>
      <c r="N218" s="30" t="n">
        <f aca="false">IF(OR(I218="TD",I218="TW"),0,K218*0.0228)</f>
        <v>2.9184</v>
      </c>
      <c r="O218" s="30" t="n">
        <f aca="false">J218-ROUND(+$J218*(VLOOKUP($I218,cngded,6,FALSE())),0)</f>
        <v>89</v>
      </c>
      <c r="P218" s="30" t="n">
        <f aca="false">K218-ROUND(+$K218*(VLOOKUP($I218,cngded,6,FALSE())),0)</f>
        <v>111</v>
      </c>
      <c r="Q218" s="23" t="str">
        <f aca="false">IF(ISNA(VLOOKUP(C218,INCNG,1,FALSE())),"--","Y")</f>
        <v>Y</v>
      </c>
      <c r="R218" s="23" t="n">
        <f aca="false">IF(ISNA(VLOOKUP(C218,INCNG,10,FALSE())),0,VLOOKUP(C218,INCNG,10,FALSE()))</f>
        <v>89</v>
      </c>
      <c r="S218" s="0" t="n">
        <f aca="false">+K218-R218</f>
        <v>39</v>
      </c>
      <c r="T218" s="31" t="n">
        <f aca="false">+P218-R218</f>
        <v>22</v>
      </c>
      <c r="U218" s="32" t="n">
        <f aca="false">ROUND(+$K218*(VLOOKUP($I218,Retention,2,FALSE())),0)</f>
        <v>3</v>
      </c>
      <c r="V218" s="32" t="n">
        <f aca="false">ROUND(+$K218*(VLOOKUP($I218,Retention,3,FALSE())),0)</f>
        <v>9</v>
      </c>
      <c r="W218" s="32" t="n">
        <f aca="false">ROUND(+$K218*(VLOOKUP($I218,Retention,4,FALSE())),0)</f>
        <v>4</v>
      </c>
      <c r="X218" s="32" t="n">
        <f aca="false">ROUND(+$K218*(VLOOKUP($I218,Retention,5,FALSE())),0)</f>
        <v>1</v>
      </c>
      <c r="Y218" s="31" t="n">
        <f aca="false">SUM(U218:X218)</f>
        <v>17</v>
      </c>
      <c r="AB218" s="33"/>
      <c r="AC218" s="33"/>
      <c r="AD218" s="0" t="e">
        <f aca="false">VLOOKUP(AB218,INCNG,3,FALSE())</f>
        <v>#N/A</v>
      </c>
    </row>
    <row r="219" customFormat="false" ht="12.75" hidden="false" customHeight="false" outlineLevel="0" collapsed="false">
      <c r="A219" s="0" t="s">
        <v>486</v>
      </c>
      <c r="B219" s="0" t="s">
        <v>273</v>
      </c>
      <c r="C219" s="0" t="s">
        <v>199</v>
      </c>
      <c r="D219" s="0" t="n">
        <v>4333501</v>
      </c>
      <c r="E219" s="0" t="s">
        <v>36</v>
      </c>
      <c r="F219" s="21" t="n">
        <v>37196</v>
      </c>
      <c r="G219" s="21"/>
      <c r="H219" s="21"/>
      <c r="I219" s="21" t="s">
        <v>450</v>
      </c>
      <c r="J219" s="0" t="n">
        <f aca="false">IF(ISNA(VLOOKUP(C219,CNGx,2,FALSE())),"na",(VLOOKUP(C219,CNGx,2,FALSE())))</f>
        <v>0</v>
      </c>
      <c r="K219" s="0" t="n">
        <f aca="false">IF(ISNA(VLOOKUP(C219,CNGx,3,0)),0,VLOOKUP(C219,CNGx,3,FALSE()))</f>
        <v>0</v>
      </c>
      <c r="L219" s="29" t="n">
        <f aca="false">VLOOKUP(I219,Retention,2,FALSE())</f>
        <v>0.0228</v>
      </c>
      <c r="M219" s="30" t="n">
        <f aca="false">IF(OR(I219="TD",I219="TW"),0,J219*0.0228)</f>
        <v>0</v>
      </c>
      <c r="N219" s="30" t="n">
        <f aca="false">IF(OR(I219="TD",I219="TW"),0,K219*0.0228)</f>
        <v>0</v>
      </c>
      <c r="O219" s="30" t="n">
        <f aca="false">J219-ROUND(+$J219*(VLOOKUP($I219,cngded,6,FALSE())),0)</f>
        <v>0</v>
      </c>
      <c r="P219" s="30" t="n">
        <f aca="false">K219-ROUND(+$K219*(VLOOKUP($I219,cngded,6,FALSE())),0)</f>
        <v>0</v>
      </c>
      <c r="Q219" s="23" t="str">
        <f aca="false">IF(ISNA(VLOOKUP(C219,INCNG,1,FALSE())),"--","Y")</f>
        <v>Y</v>
      </c>
      <c r="R219" s="23" t="n">
        <f aca="false">IF(ISNA(VLOOKUP(C219,INCNG,10,FALSE())),0,VLOOKUP(C219,INCNG,10,FALSE()))</f>
        <v>0</v>
      </c>
      <c r="S219" s="0" t="n">
        <f aca="false">+K219-R219</f>
        <v>0</v>
      </c>
      <c r="T219" s="31" t="n">
        <f aca="false">+P219-R219</f>
        <v>0</v>
      </c>
      <c r="U219" s="32" t="n">
        <f aca="false">ROUND(+$K219*(VLOOKUP($I219,Retention,2,FALSE())),0)</f>
        <v>0</v>
      </c>
      <c r="V219" s="32" t="n">
        <f aca="false">ROUND(+$K219*(VLOOKUP($I219,Retention,3,FALSE())),0)</f>
        <v>0</v>
      </c>
      <c r="W219" s="32" t="n">
        <f aca="false">ROUND(+$K219*(VLOOKUP($I219,Retention,4,FALSE())),0)</f>
        <v>0</v>
      </c>
      <c r="X219" s="32" t="n">
        <f aca="false">ROUND(+$K219*(VLOOKUP($I219,Retention,5,FALSE())),0)</f>
        <v>0</v>
      </c>
      <c r="Y219" s="31" t="n">
        <f aca="false">SUM(U219:X219)</f>
        <v>0</v>
      </c>
      <c r="AB219" s="33"/>
      <c r="AC219" s="33"/>
      <c r="AD219" s="0" t="e">
        <f aca="false">VLOOKUP(AB219,INCNG,3,FALSE())</f>
        <v>#N/A</v>
      </c>
    </row>
    <row r="220" customFormat="false" ht="12.75" hidden="false" customHeight="false" outlineLevel="0" collapsed="false">
      <c r="A220" s="0" t="s">
        <v>486</v>
      </c>
      <c r="B220" s="0" t="s">
        <v>273</v>
      </c>
      <c r="C220" s="0" t="s">
        <v>231</v>
      </c>
      <c r="D220" s="0" t="n">
        <v>4334701</v>
      </c>
      <c r="E220" s="0" t="s">
        <v>452</v>
      </c>
      <c r="F220" s="21" t="n">
        <v>37196</v>
      </c>
      <c r="G220" s="21"/>
      <c r="H220" s="21"/>
      <c r="I220" s="21" t="s">
        <v>450</v>
      </c>
      <c r="J220" s="0" t="n">
        <f aca="false">IF(ISNA(VLOOKUP(C220,CNGx,2,FALSE())),"na",(VLOOKUP(C220,CNGx,2,FALSE())))</f>
        <v>0</v>
      </c>
      <c r="K220" s="0" t="n">
        <f aca="false">IF(ISNA(VLOOKUP(C220,CNGx,3,0)),0,VLOOKUP(C220,CNGx,3,FALSE()))</f>
        <v>0</v>
      </c>
      <c r="L220" s="29" t="n">
        <f aca="false">VLOOKUP(I220,Retention,2,FALSE())</f>
        <v>0.0228</v>
      </c>
      <c r="M220" s="30" t="n">
        <f aca="false">IF(OR(I220="TD",I220="TW"),0,J220*0.0228)</f>
        <v>0</v>
      </c>
      <c r="N220" s="30" t="n">
        <f aca="false">IF(OR(I220="TD",I220="TW"),0,K220*0.0228)</f>
        <v>0</v>
      </c>
      <c r="O220" s="30" t="n">
        <f aca="false">J220-ROUND(+$J220*(VLOOKUP($I220,cngded,6,FALSE())),0)</f>
        <v>0</v>
      </c>
      <c r="P220" s="30" t="n">
        <f aca="false">K220-ROUND(+$K220*(VLOOKUP($I220,cngded,6,FALSE())),0)</f>
        <v>0</v>
      </c>
      <c r="Q220" s="23" t="str">
        <f aca="false">IF(ISNA(VLOOKUP(C220,INCNG,1,FALSE())),"--","Y")</f>
        <v>Y</v>
      </c>
      <c r="R220" s="23" t="n">
        <f aca="false">IF(ISNA(VLOOKUP(C220,INCNG,10,FALSE())),0,VLOOKUP(C220,INCNG,10,FALSE()))</f>
        <v>0</v>
      </c>
      <c r="S220" s="0" t="n">
        <f aca="false">+K220-R220</f>
        <v>0</v>
      </c>
      <c r="T220" s="31" t="n">
        <f aca="false">+P220-R220</f>
        <v>0</v>
      </c>
      <c r="U220" s="32" t="n">
        <f aca="false">ROUND(+$K220*(VLOOKUP($I220,Retention,2,FALSE())),0)</f>
        <v>0</v>
      </c>
      <c r="V220" s="32" t="n">
        <f aca="false">ROUND(+$K220*(VLOOKUP($I220,Retention,3,FALSE())),0)</f>
        <v>0</v>
      </c>
      <c r="W220" s="32" t="n">
        <f aca="false">ROUND(+$K220*(VLOOKUP($I220,Retention,4,FALSE())),0)</f>
        <v>0</v>
      </c>
      <c r="X220" s="32" t="n">
        <f aca="false">ROUND(+$K220*(VLOOKUP($I220,Retention,5,FALSE())),0)</f>
        <v>0</v>
      </c>
      <c r="Y220" s="31" t="n">
        <f aca="false">SUM(U220:X220)</f>
        <v>0</v>
      </c>
      <c r="AB220" s="33"/>
      <c r="AC220" s="33"/>
      <c r="AD220" s="0" t="e">
        <f aca="false">VLOOKUP(AB220,INCNG,3,FALSE())</f>
        <v>#N/A</v>
      </c>
    </row>
    <row r="221" customFormat="false" ht="12.75" hidden="false" customHeight="false" outlineLevel="0" collapsed="false">
      <c r="A221" s="0" t="s">
        <v>486</v>
      </c>
      <c r="B221" s="0" t="s">
        <v>273</v>
      </c>
      <c r="C221" s="0" t="s">
        <v>200</v>
      </c>
      <c r="D221" s="0" t="n">
        <v>4336801</v>
      </c>
      <c r="E221" s="0" t="s">
        <v>36</v>
      </c>
      <c r="F221" s="21" t="n">
        <v>37196</v>
      </c>
      <c r="G221" s="21"/>
      <c r="H221" s="21"/>
      <c r="I221" s="21" t="s">
        <v>450</v>
      </c>
      <c r="J221" s="0" t="n">
        <f aca="false">IF(ISNA(VLOOKUP(C221,CNGx,2,FALSE())),"na",(VLOOKUP(C221,CNGx,2,FALSE())))</f>
        <v>440</v>
      </c>
      <c r="K221" s="0" t="n">
        <f aca="false">IF(ISNA(VLOOKUP(C221,CNGx,3,0)),0,VLOOKUP(C221,CNGx,3,FALSE()))</f>
        <v>526</v>
      </c>
      <c r="L221" s="29" t="n">
        <f aca="false">VLOOKUP(I221,Retention,2,FALSE())</f>
        <v>0.0228</v>
      </c>
      <c r="M221" s="30" t="n">
        <f aca="false">IF(OR(I221="TD",I221="TW"),0,J221*0.0228)</f>
        <v>10.032</v>
      </c>
      <c r="N221" s="30" t="n">
        <f aca="false">IF(OR(I221="TD",I221="TW"),0,K221*0.0228)</f>
        <v>11.9928</v>
      </c>
      <c r="O221" s="30" t="n">
        <f aca="false">J221-ROUND(+$J221*(VLOOKUP($I221,cngded,6,FALSE())),0)</f>
        <v>382</v>
      </c>
      <c r="P221" s="30" t="n">
        <f aca="false">K221-ROUND(+$K221*(VLOOKUP($I221,cngded,6,FALSE())),0)</f>
        <v>456</v>
      </c>
      <c r="Q221" s="23" t="str">
        <f aca="false">IF(ISNA(VLOOKUP(C221,INCNG,1,FALSE())),"--","Y")</f>
        <v>Y</v>
      </c>
      <c r="R221" s="23" t="n">
        <f aca="false">IF(ISNA(VLOOKUP(C221,INCNG,10,FALSE())),0,VLOOKUP(C221,INCNG,10,FALSE()))</f>
        <v>382</v>
      </c>
      <c r="S221" s="0" t="n">
        <f aca="false">+K221-R221</f>
        <v>144</v>
      </c>
      <c r="T221" s="31" t="n">
        <f aca="false">+P221-R221</f>
        <v>74</v>
      </c>
      <c r="U221" s="32" t="n">
        <f aca="false">ROUND(+$K221*(VLOOKUP($I221,Retention,2,FALSE())),0)</f>
        <v>12</v>
      </c>
      <c r="V221" s="32" t="n">
        <f aca="false">ROUND(+$K221*(VLOOKUP($I221,Retention,3,FALSE())),0)</f>
        <v>37</v>
      </c>
      <c r="W221" s="32" t="n">
        <f aca="false">ROUND(+$K221*(VLOOKUP($I221,Retention,4,FALSE())),0)</f>
        <v>16</v>
      </c>
      <c r="X221" s="32" t="n">
        <f aca="false">ROUND(+$K221*(VLOOKUP($I221,Retention,5,FALSE())),0)</f>
        <v>5</v>
      </c>
      <c r="Y221" s="31" t="n">
        <f aca="false">SUM(U221:X221)</f>
        <v>70</v>
      </c>
      <c r="AB221" s="33"/>
      <c r="AC221" s="33"/>
      <c r="AD221" s="0" t="e">
        <f aca="false">VLOOKUP(AB221,INCNG,3,FALSE())</f>
        <v>#N/A</v>
      </c>
    </row>
    <row r="222" customFormat="false" ht="12.75" hidden="false" customHeight="false" outlineLevel="0" collapsed="false">
      <c r="A222" s="0" t="s">
        <v>486</v>
      </c>
      <c r="B222" s="0" t="s">
        <v>273</v>
      </c>
      <c r="C222" s="0" t="s">
        <v>201</v>
      </c>
      <c r="D222" s="0" t="n">
        <v>4336901</v>
      </c>
      <c r="E222" s="0" t="s">
        <v>36</v>
      </c>
      <c r="F222" s="21" t="n">
        <v>37196</v>
      </c>
      <c r="G222" s="21"/>
      <c r="H222" s="21"/>
      <c r="I222" s="21" t="s">
        <v>450</v>
      </c>
      <c r="J222" s="0" t="n">
        <f aca="false">IF(ISNA(VLOOKUP(C222,CNGx,2,FALSE())),"na",(VLOOKUP(C222,CNGx,2,FALSE())))</f>
        <v>106</v>
      </c>
      <c r="K222" s="0" t="n">
        <f aca="false">IF(ISNA(VLOOKUP(C222,CNGx,3,0)),0,VLOOKUP(C222,CNGx,3,FALSE()))</f>
        <v>120</v>
      </c>
      <c r="L222" s="29" t="n">
        <f aca="false">VLOOKUP(I222,Retention,2,FALSE())</f>
        <v>0.0228</v>
      </c>
      <c r="M222" s="30" t="n">
        <f aca="false">IF(OR(I222="TD",I222="TW"),0,J222*0.0228)</f>
        <v>2.4168</v>
      </c>
      <c r="N222" s="30" t="n">
        <f aca="false">IF(OR(I222="TD",I222="TW"),0,K222*0.0228)</f>
        <v>2.736</v>
      </c>
      <c r="O222" s="30" t="n">
        <f aca="false">J222-ROUND(+$J222*(VLOOKUP($I222,cngded,6,FALSE())),0)</f>
        <v>92</v>
      </c>
      <c r="P222" s="30" t="n">
        <f aca="false">K222-ROUND(+$K222*(VLOOKUP($I222,cngded,6,FALSE())),0)</f>
        <v>104</v>
      </c>
      <c r="Q222" s="23" t="str">
        <f aca="false">IF(ISNA(VLOOKUP(C222,INCNG,1,FALSE())),"--","Y")</f>
        <v>Y</v>
      </c>
      <c r="R222" s="23" t="n">
        <f aca="false">IF(ISNA(VLOOKUP(C222,INCNG,10,FALSE())),0,VLOOKUP(C222,INCNG,10,FALSE()))</f>
        <v>92</v>
      </c>
      <c r="S222" s="0" t="n">
        <f aca="false">+K222-R222</f>
        <v>28</v>
      </c>
      <c r="T222" s="31" t="n">
        <f aca="false">+P222-R222</f>
        <v>12</v>
      </c>
      <c r="U222" s="32" t="n">
        <f aca="false">ROUND(+$K222*(VLOOKUP($I222,Retention,2,FALSE())),0)</f>
        <v>3</v>
      </c>
      <c r="V222" s="32" t="n">
        <f aca="false">ROUND(+$K222*(VLOOKUP($I222,Retention,3,FALSE())),0)</f>
        <v>8</v>
      </c>
      <c r="W222" s="32" t="n">
        <f aca="false">ROUND(+$K222*(VLOOKUP($I222,Retention,4,FALSE())),0)</f>
        <v>4</v>
      </c>
      <c r="X222" s="32" t="n">
        <f aca="false">ROUND(+$K222*(VLOOKUP($I222,Retention,5,FALSE())),0)</f>
        <v>1</v>
      </c>
      <c r="Y222" s="31" t="n">
        <f aca="false">SUM(U222:X222)</f>
        <v>16</v>
      </c>
      <c r="AB222" s="33"/>
      <c r="AC222" s="33"/>
      <c r="AD222" s="0" t="e">
        <f aca="false">VLOOKUP(AB222,INCNG,3,FALSE())</f>
        <v>#N/A</v>
      </c>
    </row>
    <row r="223" customFormat="false" ht="12.75" hidden="false" customHeight="false" outlineLevel="0" collapsed="false">
      <c r="A223" s="0" t="s">
        <v>486</v>
      </c>
      <c r="B223" s="0" t="s">
        <v>273</v>
      </c>
      <c r="C223" s="0" t="s">
        <v>202</v>
      </c>
      <c r="D223" s="0" t="n">
        <v>4341201</v>
      </c>
      <c r="E223" s="0" t="s">
        <v>36</v>
      </c>
      <c r="F223" s="21" t="n">
        <v>37196</v>
      </c>
      <c r="G223" s="21"/>
      <c r="H223" s="21"/>
      <c r="I223" s="21" t="s">
        <v>450</v>
      </c>
      <c r="J223" s="0" t="n">
        <f aca="false">IF(ISNA(VLOOKUP(C223,CNGx,2,FALSE())),"na",(VLOOKUP(C223,CNGx,2,FALSE())))</f>
        <v>44</v>
      </c>
      <c r="K223" s="0" t="n">
        <f aca="false">IF(ISNA(VLOOKUP(C223,CNGx,3,0)),0,VLOOKUP(C223,CNGx,3,FALSE()))</f>
        <v>50</v>
      </c>
      <c r="L223" s="29" t="n">
        <f aca="false">VLOOKUP(I223,Retention,2,FALSE())</f>
        <v>0.0228</v>
      </c>
      <c r="M223" s="30" t="n">
        <f aca="false">IF(OR(I223="TD",I223="TW"),0,J223*0.0228)</f>
        <v>1.0032</v>
      </c>
      <c r="N223" s="30" t="n">
        <f aca="false">IF(OR(I223="TD",I223="TW"),0,K223*0.0228)</f>
        <v>1.14</v>
      </c>
      <c r="O223" s="30" t="n">
        <f aca="false">J223-ROUND(+$J223*(VLOOKUP($I223,cngded,6,FALSE())),0)</f>
        <v>38</v>
      </c>
      <c r="P223" s="30" t="n">
        <f aca="false">K223-ROUND(+$K223*(VLOOKUP($I223,cngded,6,FALSE())),0)</f>
        <v>43</v>
      </c>
      <c r="Q223" s="23" t="str">
        <f aca="false">IF(ISNA(VLOOKUP(C223,INCNG,1,FALSE())),"--","Y")</f>
        <v>Y</v>
      </c>
      <c r="R223" s="23" t="n">
        <f aca="false">IF(ISNA(VLOOKUP(C223,INCNG,10,FALSE())),0,VLOOKUP(C223,INCNG,10,FALSE()))</f>
        <v>38</v>
      </c>
      <c r="S223" s="0" t="n">
        <f aca="false">+K223-R223</f>
        <v>12</v>
      </c>
      <c r="T223" s="31" t="n">
        <f aca="false">+P223-R223</f>
        <v>5</v>
      </c>
      <c r="U223" s="32" t="n">
        <f aca="false">ROUND(+$K223*(VLOOKUP($I223,Retention,2,FALSE())),0)</f>
        <v>1</v>
      </c>
      <c r="V223" s="32" t="n">
        <f aca="false">ROUND(+$K223*(VLOOKUP($I223,Retention,3,FALSE())),0)</f>
        <v>4</v>
      </c>
      <c r="W223" s="32" t="n">
        <f aca="false">ROUND(+$K223*(VLOOKUP($I223,Retention,4,FALSE())),0)</f>
        <v>2</v>
      </c>
      <c r="X223" s="32" t="n">
        <f aca="false">ROUND(+$K223*(VLOOKUP($I223,Retention,5,FALSE())),0)</f>
        <v>0</v>
      </c>
      <c r="Y223" s="31" t="n">
        <f aca="false">SUM(U223:X223)</f>
        <v>7</v>
      </c>
      <c r="AB223" s="33"/>
      <c r="AC223" s="33"/>
      <c r="AD223" s="0" t="e">
        <f aca="false">VLOOKUP(AB223,INCNG,3,FALSE())</f>
        <v>#N/A</v>
      </c>
    </row>
    <row r="224" customFormat="false" ht="12.75" hidden="false" customHeight="false" outlineLevel="0" collapsed="false">
      <c r="A224" s="0" t="s">
        <v>486</v>
      </c>
      <c r="B224" s="0" t="s">
        <v>273</v>
      </c>
      <c r="C224" s="0" t="s">
        <v>267</v>
      </c>
      <c r="D224" s="0" t="n">
        <v>4342301</v>
      </c>
      <c r="E224" s="0" t="s">
        <v>463</v>
      </c>
      <c r="F224" s="21" t="n">
        <v>37196</v>
      </c>
      <c r="G224" s="21"/>
      <c r="H224" s="21"/>
      <c r="I224" s="21" t="s">
        <v>450</v>
      </c>
      <c r="J224" s="0" t="n">
        <f aca="false">IF(ISNA(VLOOKUP(C224,CNGx,2,FALSE())),"na",(VLOOKUP(C224,CNGx,2,FALSE())))</f>
        <v>285</v>
      </c>
      <c r="K224" s="0" t="n">
        <f aca="false">IF(ISNA(VLOOKUP(C224,CNGx,3,0)),0,VLOOKUP(C224,CNGx,3,FALSE()))</f>
        <v>320</v>
      </c>
      <c r="L224" s="29" t="n">
        <f aca="false">VLOOKUP(I224,Retention,2,FALSE())</f>
        <v>0.0228</v>
      </c>
      <c r="M224" s="30" t="n">
        <f aca="false">IF(OR(I224="TD",I224="TW"),0,J224*0.0228)</f>
        <v>6.498</v>
      </c>
      <c r="N224" s="30" t="n">
        <f aca="false">IF(OR(I224="TD",I224="TW"),0,K224*0.0228)</f>
        <v>7.296</v>
      </c>
      <c r="O224" s="30" t="n">
        <f aca="false">J224-ROUND(+$J224*(VLOOKUP($I224,cngded,6,FALSE())),0)</f>
        <v>247</v>
      </c>
      <c r="P224" s="30" t="n">
        <f aca="false">K224-ROUND(+$K224*(VLOOKUP($I224,cngded,6,FALSE())),0)</f>
        <v>278</v>
      </c>
      <c r="Q224" s="23" t="str">
        <f aca="false">IF(ISNA(VLOOKUP(C224,INCNG,1,FALSE())),"--","Y")</f>
        <v>Y</v>
      </c>
      <c r="R224" s="23" t="n">
        <f aca="false">IF(ISNA(VLOOKUP(C224,INCNG,10,FALSE())),0,VLOOKUP(C224,INCNG,10,FALSE()))</f>
        <v>247</v>
      </c>
      <c r="S224" s="0" t="n">
        <f aca="false">+K224-R224</f>
        <v>73</v>
      </c>
      <c r="T224" s="31" t="n">
        <f aca="false">+P224-R224</f>
        <v>31</v>
      </c>
      <c r="U224" s="32" t="n">
        <f aca="false">ROUND(+$K224*(VLOOKUP($I224,Retention,2,FALSE())),0)</f>
        <v>7</v>
      </c>
      <c r="V224" s="32" t="n">
        <f aca="false">ROUND(+$K224*(VLOOKUP($I224,Retention,3,FALSE())),0)</f>
        <v>23</v>
      </c>
      <c r="W224" s="32" t="n">
        <f aca="false">ROUND(+$K224*(VLOOKUP($I224,Retention,4,FALSE())),0)</f>
        <v>10</v>
      </c>
      <c r="X224" s="32" t="n">
        <f aca="false">ROUND(+$K224*(VLOOKUP($I224,Retention,5,FALSE())),0)</f>
        <v>3</v>
      </c>
      <c r="Y224" s="31" t="n">
        <f aca="false">SUM(U224:X224)</f>
        <v>43</v>
      </c>
      <c r="AB224" s="33"/>
      <c r="AC224" s="33"/>
      <c r="AD224" s="0" t="e">
        <f aca="false">VLOOKUP(AB224,INCNG,3,FALSE())</f>
        <v>#N/A</v>
      </c>
    </row>
    <row r="225" customFormat="false" ht="12.75" hidden="false" customHeight="false" outlineLevel="0" collapsed="false">
      <c r="A225" s="0" t="s">
        <v>486</v>
      </c>
      <c r="B225" s="0" t="s">
        <v>273</v>
      </c>
      <c r="C225" s="0" t="s">
        <v>203</v>
      </c>
      <c r="D225" s="0" t="n">
        <v>4343301</v>
      </c>
      <c r="E225" s="0" t="s">
        <v>36</v>
      </c>
      <c r="F225" s="21" t="n">
        <v>37196</v>
      </c>
      <c r="G225" s="21"/>
      <c r="H225" s="21"/>
      <c r="I225" s="21" t="s">
        <v>450</v>
      </c>
      <c r="J225" s="0" t="n">
        <f aca="false">IF(ISNA(VLOOKUP(C225,CNGx,2,FALSE())),"na",(VLOOKUP(C225,CNGx,2,FALSE())))</f>
        <v>220</v>
      </c>
      <c r="K225" s="0" t="n">
        <f aca="false">IF(ISNA(VLOOKUP(C225,CNGx,3,0)),0,VLOOKUP(C225,CNGx,3,FALSE()))</f>
        <v>274</v>
      </c>
      <c r="L225" s="29" t="n">
        <f aca="false">VLOOKUP(I225,Retention,2,FALSE())</f>
        <v>0.0228</v>
      </c>
      <c r="M225" s="30" t="n">
        <f aca="false">IF(OR(I225="TD",I225="TW"),0,J225*0.0228)</f>
        <v>5.016</v>
      </c>
      <c r="N225" s="30" t="n">
        <f aca="false">IF(OR(I225="TD",I225="TW"),0,K225*0.0228)</f>
        <v>6.2472</v>
      </c>
      <c r="O225" s="30" t="n">
        <f aca="false">J225-ROUND(+$J225*(VLOOKUP($I225,cngded,6,FALSE())),0)</f>
        <v>191</v>
      </c>
      <c r="P225" s="30" t="n">
        <f aca="false">K225-ROUND(+$K225*(VLOOKUP($I225,cngded,6,FALSE())),0)</f>
        <v>238</v>
      </c>
      <c r="Q225" s="23" t="str">
        <f aca="false">IF(ISNA(VLOOKUP(C225,INCNG,1,FALSE())),"--","Y")</f>
        <v>Y</v>
      </c>
      <c r="R225" s="23" t="n">
        <f aca="false">IF(ISNA(VLOOKUP(C225,INCNG,10,FALSE())),0,VLOOKUP(C225,INCNG,10,FALSE()))</f>
        <v>191</v>
      </c>
      <c r="S225" s="0" t="n">
        <f aca="false">+K225-R225</f>
        <v>83</v>
      </c>
      <c r="T225" s="31" t="n">
        <f aca="false">+P225-R225</f>
        <v>47</v>
      </c>
      <c r="U225" s="32" t="n">
        <f aca="false">ROUND(+$K225*(VLOOKUP($I225,Retention,2,FALSE())),0)</f>
        <v>6</v>
      </c>
      <c r="V225" s="32" t="n">
        <f aca="false">ROUND(+$K225*(VLOOKUP($I225,Retention,3,FALSE())),0)</f>
        <v>19</v>
      </c>
      <c r="W225" s="32" t="n">
        <f aca="false">ROUND(+$K225*(VLOOKUP($I225,Retention,4,FALSE())),0)</f>
        <v>8</v>
      </c>
      <c r="X225" s="32" t="n">
        <f aca="false">ROUND(+$K225*(VLOOKUP($I225,Retention,5,FALSE())),0)</f>
        <v>2</v>
      </c>
      <c r="Y225" s="31" t="n">
        <f aca="false">SUM(U225:X225)</f>
        <v>35</v>
      </c>
      <c r="AB225" s="33"/>
      <c r="AC225" s="33"/>
      <c r="AD225" s="0" t="e">
        <f aca="false">VLOOKUP(AB225,INCNG,3,FALSE())</f>
        <v>#N/A</v>
      </c>
    </row>
    <row r="226" customFormat="false" ht="12.75" hidden="false" customHeight="false" outlineLevel="0" collapsed="false">
      <c r="A226" s="0" t="s">
        <v>486</v>
      </c>
      <c r="B226" s="0" t="s">
        <v>273</v>
      </c>
      <c r="C226" s="0" t="s">
        <v>204</v>
      </c>
      <c r="D226" s="0" t="n">
        <v>4345701</v>
      </c>
      <c r="E226" s="0" t="s">
        <v>36</v>
      </c>
      <c r="F226" s="21" t="n">
        <v>37196</v>
      </c>
      <c r="G226" s="21"/>
      <c r="H226" s="21"/>
      <c r="I226" s="21" t="s">
        <v>450</v>
      </c>
      <c r="J226" s="0" t="n">
        <f aca="false">IF(ISNA(VLOOKUP(C226,CNGx,2,FALSE())),"na",(VLOOKUP(C226,CNGx,2,FALSE())))</f>
        <v>157</v>
      </c>
      <c r="K226" s="0" t="n">
        <f aca="false">IF(ISNA(VLOOKUP(C226,CNGx,3,0)),0,VLOOKUP(C226,CNGx,3,FALSE()))</f>
        <v>174</v>
      </c>
      <c r="L226" s="29" t="n">
        <f aca="false">VLOOKUP(I226,Retention,2,FALSE())</f>
        <v>0.0228</v>
      </c>
      <c r="M226" s="30" t="n">
        <f aca="false">IF(OR(I226="TD",I226="TW"),0,J226*0.0228)</f>
        <v>3.5796</v>
      </c>
      <c r="N226" s="30" t="n">
        <f aca="false">IF(OR(I226="TD",I226="TW"),0,K226*0.0228)</f>
        <v>3.9672</v>
      </c>
      <c r="O226" s="30" t="n">
        <f aca="false">J226-ROUND(+$J226*(VLOOKUP($I226,cngded,6,FALSE())),0)</f>
        <v>136</v>
      </c>
      <c r="P226" s="30" t="n">
        <f aca="false">K226-ROUND(+$K226*(VLOOKUP($I226,cngded,6,FALSE())),0)</f>
        <v>151</v>
      </c>
      <c r="Q226" s="23" t="str">
        <f aca="false">IF(ISNA(VLOOKUP(C226,INCNG,1,FALSE())),"--","Y")</f>
        <v>Y</v>
      </c>
      <c r="R226" s="23" t="n">
        <f aca="false">IF(ISNA(VLOOKUP(C226,INCNG,10,FALSE())),0,VLOOKUP(C226,INCNG,10,FALSE()))</f>
        <v>136</v>
      </c>
      <c r="S226" s="0" t="n">
        <f aca="false">+K226-R226</f>
        <v>38</v>
      </c>
      <c r="T226" s="31" t="n">
        <f aca="false">+P226-R226</f>
        <v>15</v>
      </c>
      <c r="U226" s="32" t="n">
        <f aca="false">ROUND(+$K226*(VLOOKUP($I226,Retention,2,FALSE())),0)</f>
        <v>4</v>
      </c>
      <c r="V226" s="32" t="n">
        <f aca="false">ROUND(+$K226*(VLOOKUP($I226,Retention,3,FALSE())),0)</f>
        <v>12</v>
      </c>
      <c r="W226" s="32" t="n">
        <f aca="false">ROUND(+$K226*(VLOOKUP($I226,Retention,4,FALSE())),0)</f>
        <v>5</v>
      </c>
      <c r="X226" s="32" t="n">
        <f aca="false">ROUND(+$K226*(VLOOKUP($I226,Retention,5,FALSE())),0)</f>
        <v>2</v>
      </c>
      <c r="Y226" s="31" t="n">
        <f aca="false">SUM(U226:X226)</f>
        <v>23</v>
      </c>
      <c r="AB226" s="33"/>
      <c r="AC226" s="33"/>
      <c r="AD226" s="0" t="e">
        <f aca="false">VLOOKUP(AB226,INCNG,3,FALSE())</f>
        <v>#N/A</v>
      </c>
    </row>
    <row r="227" customFormat="false" ht="12.75" hidden="false" customHeight="false" outlineLevel="0" collapsed="false">
      <c r="A227" s="0" t="s">
        <v>486</v>
      </c>
      <c r="B227" s="0" t="s">
        <v>273</v>
      </c>
      <c r="C227" s="0" t="s">
        <v>205</v>
      </c>
      <c r="D227" s="0" t="n">
        <v>4345801</v>
      </c>
      <c r="E227" s="0" t="s">
        <v>36</v>
      </c>
      <c r="F227" s="21" t="n">
        <v>37196</v>
      </c>
      <c r="G227" s="21"/>
      <c r="H227" s="21"/>
      <c r="I227" s="21" t="s">
        <v>450</v>
      </c>
      <c r="J227" s="0" t="n">
        <f aca="false">IF(ISNA(VLOOKUP(C227,CNGx,2,FALSE())),"na",(VLOOKUP(C227,CNGx,2,FALSE())))</f>
        <v>23</v>
      </c>
      <c r="K227" s="0" t="n">
        <f aca="false">IF(ISNA(VLOOKUP(C227,CNGx,3,0)),0,VLOOKUP(C227,CNGx,3,FALSE()))</f>
        <v>26</v>
      </c>
      <c r="L227" s="29" t="n">
        <f aca="false">VLOOKUP(I227,Retention,2,FALSE())</f>
        <v>0.0228</v>
      </c>
      <c r="M227" s="30" t="n">
        <f aca="false">IF(OR(I227="TD",I227="TW"),0,J227*0.0228)</f>
        <v>0.5244</v>
      </c>
      <c r="N227" s="30" t="n">
        <f aca="false">IF(OR(I227="TD",I227="TW"),0,K227*0.0228)</f>
        <v>0.5928</v>
      </c>
      <c r="O227" s="30" t="n">
        <f aca="false">J227-ROUND(+$J227*(VLOOKUP($I227,cngded,6,FALSE())),0)</f>
        <v>20</v>
      </c>
      <c r="P227" s="30" t="n">
        <f aca="false">K227-ROUND(+$K227*(VLOOKUP($I227,cngded,6,FALSE())),0)</f>
        <v>23</v>
      </c>
      <c r="Q227" s="23" t="str">
        <f aca="false">IF(ISNA(VLOOKUP(C227,INCNG,1,FALSE())),"--","Y")</f>
        <v>Y</v>
      </c>
      <c r="R227" s="23" t="n">
        <f aca="false">IF(ISNA(VLOOKUP(C227,INCNG,10,FALSE())),0,VLOOKUP(C227,INCNG,10,FALSE()))</f>
        <v>20</v>
      </c>
      <c r="S227" s="0" t="n">
        <f aca="false">+K227-R227</f>
        <v>6</v>
      </c>
      <c r="T227" s="31" t="n">
        <f aca="false">+P227-R227</f>
        <v>3</v>
      </c>
      <c r="U227" s="32" t="n">
        <f aca="false">ROUND(+$K227*(VLOOKUP($I227,Retention,2,FALSE())),0)</f>
        <v>1</v>
      </c>
      <c r="V227" s="32" t="n">
        <f aca="false">ROUND(+$K227*(VLOOKUP($I227,Retention,3,FALSE())),0)</f>
        <v>2</v>
      </c>
      <c r="W227" s="32" t="n">
        <f aca="false">ROUND(+$K227*(VLOOKUP($I227,Retention,4,FALSE())),0)</f>
        <v>1</v>
      </c>
      <c r="X227" s="32" t="n">
        <f aca="false">ROUND(+$K227*(VLOOKUP($I227,Retention,5,FALSE())),0)</f>
        <v>0</v>
      </c>
      <c r="Y227" s="31" t="n">
        <f aca="false">SUM(U227:X227)</f>
        <v>4</v>
      </c>
      <c r="AB227" s="33"/>
      <c r="AC227" s="33"/>
      <c r="AD227" s="0" t="e">
        <f aca="false">VLOOKUP(AB227,INCNG,3,FALSE())</f>
        <v>#N/A</v>
      </c>
    </row>
    <row r="228" customFormat="false" ht="12.75" hidden="false" customHeight="false" outlineLevel="0" collapsed="false">
      <c r="A228" s="0" t="s">
        <v>486</v>
      </c>
      <c r="B228" s="0" t="s">
        <v>136</v>
      </c>
      <c r="C228" s="0" t="s">
        <v>426</v>
      </c>
      <c r="D228" s="0" t="n">
        <v>4348401</v>
      </c>
      <c r="E228" s="0" t="s">
        <v>425</v>
      </c>
      <c r="F228" s="21" t="n">
        <v>37196</v>
      </c>
      <c r="G228" s="21"/>
      <c r="H228" s="21"/>
      <c r="I228" s="21" t="s">
        <v>451</v>
      </c>
      <c r="J228" s="0" t="n">
        <f aca="false">IF(ISNA(VLOOKUP(C228,CNGx,2,FALSE())),"na",(VLOOKUP(C228,CNGx,2,FALSE())))</f>
        <v>27</v>
      </c>
      <c r="K228" s="0" t="n">
        <f aca="false">IF(ISNA(VLOOKUP(C228,CNGx,3,0)),0,VLOOKUP(C228,CNGx,3,FALSE()))</f>
        <v>29</v>
      </c>
      <c r="L228" s="29" t="n">
        <f aca="false">VLOOKUP(I228,Retention,2,FALSE())</f>
        <v>0.0228</v>
      </c>
      <c r="M228" s="30" t="n">
        <f aca="false">IF(OR(I228="TD",I228="TW"),0,J228*0.0228)</f>
        <v>0.6156</v>
      </c>
      <c r="N228" s="30" t="n">
        <f aca="false">IF(OR(I228="TD",I228="TW"),0,K228*0.0228)</f>
        <v>0.6612</v>
      </c>
      <c r="O228" s="30" t="n">
        <f aca="false">J228-ROUND(+$J228*(VLOOKUP($I228,cngded,6,FALSE())),0)</f>
        <v>24</v>
      </c>
      <c r="P228" s="30" t="n">
        <f aca="false">K228-ROUND(+$K228*(VLOOKUP($I228,cngded,6,FALSE())),0)</f>
        <v>26</v>
      </c>
      <c r="Q228" s="23" t="str">
        <f aca="false">IF(ISNA(VLOOKUP(C228,INCNG,1,FALSE())),"--","Y")</f>
        <v>Y</v>
      </c>
      <c r="R228" s="23" t="n">
        <f aca="false">IF(ISNA(VLOOKUP(C228,INCNG,10,FALSE())),0,VLOOKUP(C228,INCNG,10,FALSE()))</f>
        <v>24</v>
      </c>
      <c r="S228" s="0" t="n">
        <f aca="false">+K228-R228</f>
        <v>5</v>
      </c>
      <c r="T228" s="31" t="n">
        <f aca="false">+P228-R228</f>
        <v>2</v>
      </c>
      <c r="U228" s="32" t="n">
        <f aca="false">ROUND(+$K228*(VLOOKUP($I228,Retention,2,FALSE())),0)</f>
        <v>1</v>
      </c>
      <c r="V228" s="32" t="n">
        <f aca="false">ROUND(+$K228*(VLOOKUP($I228,Retention,3,FALSE())),0)</f>
        <v>2</v>
      </c>
      <c r="W228" s="32" t="n">
        <f aca="false">ROUND(+$K228*(VLOOKUP($I228,Retention,4,FALSE())),0)</f>
        <v>0</v>
      </c>
      <c r="X228" s="32" t="n">
        <f aca="false">ROUND(+$K228*(VLOOKUP($I228,Retention,5,FALSE())),0)</f>
        <v>0</v>
      </c>
      <c r="Y228" s="31" t="n">
        <f aca="false">SUM(U228:X228)</f>
        <v>3</v>
      </c>
      <c r="AB228" s="33"/>
      <c r="AC228" s="33"/>
      <c r="AD228" s="0" t="e">
        <f aca="false">VLOOKUP(AB228,INCNG,3,FALSE())</f>
        <v>#N/A</v>
      </c>
    </row>
    <row r="229" customFormat="false" ht="12.75" hidden="false" customHeight="false" outlineLevel="0" collapsed="false">
      <c r="A229" s="0" t="s">
        <v>486</v>
      </c>
      <c r="B229" s="0" t="s">
        <v>273</v>
      </c>
      <c r="C229" s="0" t="s">
        <v>206</v>
      </c>
      <c r="D229" s="0" t="n">
        <v>4349401</v>
      </c>
      <c r="E229" s="0" t="s">
        <v>36</v>
      </c>
      <c r="F229" s="21" t="n">
        <v>37196</v>
      </c>
      <c r="G229" s="21"/>
      <c r="H229" s="21"/>
      <c r="I229" s="21" t="s">
        <v>450</v>
      </c>
      <c r="J229" s="0" t="n">
        <f aca="false">IF(ISNA(VLOOKUP(C229,CNGx,2,FALSE())),"na",(VLOOKUP(C229,CNGx,2,FALSE())))</f>
        <v>203</v>
      </c>
      <c r="K229" s="0" t="n">
        <f aca="false">IF(ISNA(VLOOKUP(C229,CNGx,3,0)),0,VLOOKUP(C229,CNGx,3,FALSE()))</f>
        <v>235</v>
      </c>
      <c r="L229" s="29" t="n">
        <f aca="false">VLOOKUP(I229,Retention,2,FALSE())</f>
        <v>0.0228</v>
      </c>
      <c r="M229" s="30" t="n">
        <f aca="false">IF(OR(I229="TD",I229="TW"),0,J229*0.0228)</f>
        <v>4.6284</v>
      </c>
      <c r="N229" s="30" t="n">
        <f aca="false">IF(OR(I229="TD",I229="TW"),0,K229*0.0228)</f>
        <v>5.358</v>
      </c>
      <c r="O229" s="30" t="n">
        <f aca="false">J229-ROUND(+$J229*(VLOOKUP($I229,cngded,6,FALSE())),0)</f>
        <v>176</v>
      </c>
      <c r="P229" s="30" t="n">
        <f aca="false">K229-ROUND(+$K229*(VLOOKUP($I229,cngded,6,FALSE())),0)</f>
        <v>204</v>
      </c>
      <c r="Q229" s="23" t="str">
        <f aca="false">IF(ISNA(VLOOKUP(C229,INCNG,1,FALSE())),"--","Y")</f>
        <v>Y</v>
      </c>
      <c r="R229" s="23" t="n">
        <f aca="false">IF(ISNA(VLOOKUP(C229,INCNG,10,FALSE())),0,VLOOKUP(C229,INCNG,10,FALSE()))</f>
        <v>176</v>
      </c>
      <c r="S229" s="0" t="n">
        <f aca="false">+K229-R229</f>
        <v>59</v>
      </c>
      <c r="T229" s="31" t="n">
        <f aca="false">+P229-R229</f>
        <v>28</v>
      </c>
      <c r="U229" s="32" t="n">
        <f aca="false">ROUND(+$K229*(VLOOKUP($I229,Retention,2,FALSE())),0)</f>
        <v>5</v>
      </c>
      <c r="V229" s="32" t="n">
        <f aca="false">ROUND(+$K229*(VLOOKUP($I229,Retention,3,FALSE())),0)</f>
        <v>17</v>
      </c>
      <c r="W229" s="32" t="n">
        <f aca="false">ROUND(+$K229*(VLOOKUP($I229,Retention,4,FALSE())),0)</f>
        <v>7</v>
      </c>
      <c r="X229" s="32" t="n">
        <f aca="false">ROUND(+$K229*(VLOOKUP($I229,Retention,5,FALSE())),0)</f>
        <v>2</v>
      </c>
      <c r="Y229" s="31" t="n">
        <f aca="false">SUM(U229:X229)</f>
        <v>31</v>
      </c>
      <c r="AB229" s="33"/>
      <c r="AC229" s="33"/>
      <c r="AD229" s="0" t="e">
        <f aca="false">VLOOKUP(AB229,INCNG,3,FALSE())</f>
        <v>#N/A</v>
      </c>
    </row>
    <row r="230" customFormat="false" ht="12.75" hidden="false" customHeight="false" outlineLevel="0" collapsed="false">
      <c r="A230" s="0" t="s">
        <v>486</v>
      </c>
      <c r="B230" s="0" t="s">
        <v>273</v>
      </c>
      <c r="C230" s="0" t="s">
        <v>210</v>
      </c>
      <c r="D230" s="0" t="n">
        <v>4354501</v>
      </c>
      <c r="E230" s="0" t="s">
        <v>457</v>
      </c>
      <c r="F230" s="21" t="n">
        <v>37196</v>
      </c>
      <c r="G230" s="21"/>
      <c r="H230" s="21"/>
      <c r="I230" s="21" t="s">
        <v>450</v>
      </c>
      <c r="J230" s="0" t="n">
        <f aca="false">IF(ISNA(VLOOKUP(C230,CNGx,2,FALSE())),"na",(VLOOKUP(C230,CNGx,2,FALSE())))</f>
        <v>314</v>
      </c>
      <c r="K230" s="0" t="n">
        <f aca="false">IF(ISNA(VLOOKUP(C230,CNGx,3,0)),0,VLOOKUP(C230,CNGx,3,FALSE()))</f>
        <v>351</v>
      </c>
      <c r="L230" s="29" t="n">
        <f aca="false">VLOOKUP(I230,Retention,2,FALSE())</f>
        <v>0.0228</v>
      </c>
      <c r="M230" s="30" t="n">
        <f aca="false">IF(OR(I230="TD",I230="TW"),0,J230*0.0228)</f>
        <v>7.1592</v>
      </c>
      <c r="N230" s="30" t="n">
        <f aca="false">IF(OR(I230="TD",I230="TW"),0,K230*0.0228)</f>
        <v>8.0028</v>
      </c>
      <c r="O230" s="30" t="n">
        <f aca="false">J230-ROUND(+$J230*(VLOOKUP($I230,cngded,6,FALSE())),0)</f>
        <v>272</v>
      </c>
      <c r="P230" s="30" t="n">
        <f aca="false">K230-ROUND(+$K230*(VLOOKUP($I230,cngded,6,FALSE())),0)</f>
        <v>304</v>
      </c>
      <c r="Q230" s="23" t="str">
        <f aca="false">IF(ISNA(VLOOKUP(C230,INCNG,1,FALSE())),"--","Y")</f>
        <v>Y</v>
      </c>
      <c r="R230" s="23" t="n">
        <f aca="false">IF(ISNA(VLOOKUP(C230,INCNG,10,FALSE())),0,VLOOKUP(C230,INCNG,10,FALSE()))</f>
        <v>272</v>
      </c>
      <c r="S230" s="0" t="n">
        <f aca="false">+K230-R230</f>
        <v>79</v>
      </c>
      <c r="T230" s="31" t="n">
        <f aca="false">+P230-R230</f>
        <v>32</v>
      </c>
      <c r="U230" s="32" t="n">
        <f aca="false">ROUND(+$K230*(VLOOKUP($I230,Retention,2,FALSE())),0)</f>
        <v>8</v>
      </c>
      <c r="V230" s="32" t="n">
        <f aca="false">ROUND(+$K230*(VLOOKUP($I230,Retention,3,FALSE())),0)</f>
        <v>25</v>
      </c>
      <c r="W230" s="32" t="n">
        <f aca="false">ROUND(+$K230*(VLOOKUP($I230,Retention,4,FALSE())),0)</f>
        <v>11</v>
      </c>
      <c r="X230" s="32" t="n">
        <f aca="false">ROUND(+$K230*(VLOOKUP($I230,Retention,5,FALSE())),0)</f>
        <v>3</v>
      </c>
      <c r="Y230" s="31" t="n">
        <f aca="false">SUM(U230:X230)</f>
        <v>47</v>
      </c>
      <c r="AB230" s="33"/>
      <c r="AC230" s="33"/>
      <c r="AD230" s="0" t="e">
        <f aca="false">VLOOKUP(AB230,INCNG,3,FALSE())</f>
        <v>#N/A</v>
      </c>
    </row>
    <row r="231" customFormat="false" ht="12.75" hidden="false" customHeight="false" outlineLevel="0" collapsed="false">
      <c r="A231" s="0" t="s">
        <v>486</v>
      </c>
      <c r="B231" s="0" t="s">
        <v>273</v>
      </c>
      <c r="C231" s="0" t="s">
        <v>339</v>
      </c>
      <c r="D231" s="0" t="n">
        <v>4362001</v>
      </c>
      <c r="E231" s="0" t="s">
        <v>36</v>
      </c>
      <c r="F231" s="21" t="n">
        <v>37196</v>
      </c>
      <c r="G231" s="21"/>
      <c r="H231" s="21"/>
      <c r="I231" s="21" t="s">
        <v>450</v>
      </c>
      <c r="J231" s="0" t="n">
        <f aca="false">IF(ISNA(VLOOKUP(C231,CNGx,2,FALSE())),"na",(VLOOKUP(C231,CNGx,2,FALSE())))</f>
        <v>51</v>
      </c>
      <c r="K231" s="0" t="n">
        <f aca="false">IF(ISNA(VLOOKUP(C231,CNGx,3,0)),0,VLOOKUP(C231,CNGx,3,FALSE()))</f>
        <v>71</v>
      </c>
      <c r="L231" s="29" t="n">
        <f aca="false">VLOOKUP(I231,Retention,2,FALSE())</f>
        <v>0.0228</v>
      </c>
      <c r="M231" s="30" t="n">
        <f aca="false">IF(OR(I231="TD",I231="TW"),0,J231*0.0228)</f>
        <v>1.1628</v>
      </c>
      <c r="N231" s="30" t="n">
        <f aca="false">IF(OR(I231="TD",I231="TW"),0,K231*0.0228)</f>
        <v>1.6188</v>
      </c>
      <c r="O231" s="30" t="n">
        <f aca="false">J231-ROUND(+$J231*(VLOOKUP($I231,cngded,6,FALSE())),0)</f>
        <v>44</v>
      </c>
      <c r="P231" s="30" t="n">
        <f aca="false">K231-ROUND(+$K231*(VLOOKUP($I231,cngded,6,FALSE())),0)</f>
        <v>62</v>
      </c>
      <c r="Q231" s="23" t="str">
        <f aca="false">IF(ISNA(VLOOKUP(C231,INCNG,1,FALSE())),"--","Y")</f>
        <v>Y</v>
      </c>
      <c r="R231" s="23" t="n">
        <f aca="false">IF(ISNA(VLOOKUP(C231,INCNG,10,FALSE())),0,VLOOKUP(C231,INCNG,10,FALSE()))</f>
        <v>44</v>
      </c>
      <c r="S231" s="0" t="n">
        <f aca="false">+K231-R231</f>
        <v>27</v>
      </c>
      <c r="T231" s="31" t="n">
        <f aca="false">+P231-R231</f>
        <v>18</v>
      </c>
      <c r="U231" s="32" t="n">
        <f aca="false">ROUND(+$K231*(VLOOKUP($I231,Retention,2,FALSE())),0)</f>
        <v>2</v>
      </c>
      <c r="V231" s="32" t="n">
        <f aca="false">ROUND(+$K231*(VLOOKUP($I231,Retention,3,FALSE())),0)</f>
        <v>5</v>
      </c>
      <c r="W231" s="32" t="n">
        <f aca="false">ROUND(+$K231*(VLOOKUP($I231,Retention,4,FALSE())),0)</f>
        <v>2</v>
      </c>
      <c r="X231" s="32" t="n">
        <f aca="false">ROUND(+$K231*(VLOOKUP($I231,Retention,5,FALSE())),0)</f>
        <v>1</v>
      </c>
      <c r="Y231" s="31" t="n">
        <f aca="false">SUM(U231:X231)</f>
        <v>10</v>
      </c>
      <c r="AB231" s="33"/>
      <c r="AC231" s="33"/>
      <c r="AD231" s="0" t="e">
        <f aca="false">VLOOKUP(AB231,INCNG,3,FALSE())</f>
        <v>#N/A</v>
      </c>
    </row>
    <row r="232" customFormat="false" ht="12.75" hidden="false" customHeight="false" outlineLevel="0" collapsed="false">
      <c r="A232" s="0" t="s">
        <v>486</v>
      </c>
      <c r="B232" s="0" t="s">
        <v>273</v>
      </c>
      <c r="C232" s="0" t="s">
        <v>207</v>
      </c>
      <c r="D232" s="0" t="n">
        <v>4362801</v>
      </c>
      <c r="E232" s="0" t="s">
        <v>36</v>
      </c>
      <c r="F232" s="21" t="n">
        <v>37196</v>
      </c>
      <c r="G232" s="21"/>
      <c r="H232" s="21"/>
      <c r="I232" s="21" t="s">
        <v>450</v>
      </c>
      <c r="J232" s="0" t="n">
        <f aca="false">IF(ISNA(VLOOKUP(C232,CNGx,2,FALSE())),"na",(VLOOKUP(C232,CNGx,2,FALSE())))</f>
        <v>201</v>
      </c>
      <c r="K232" s="0" t="n">
        <f aca="false">IF(ISNA(VLOOKUP(C232,CNGx,3,0)),0,VLOOKUP(C232,CNGx,3,FALSE()))</f>
        <v>232</v>
      </c>
      <c r="L232" s="29" t="n">
        <f aca="false">VLOOKUP(I232,Retention,2,FALSE())</f>
        <v>0.0228</v>
      </c>
      <c r="M232" s="30" t="n">
        <f aca="false">IF(OR(I232="TD",I232="TW"),0,J232*0.0228)</f>
        <v>4.5828</v>
      </c>
      <c r="N232" s="30" t="n">
        <f aca="false">IF(OR(I232="TD",I232="TW"),0,K232*0.0228)</f>
        <v>5.2896</v>
      </c>
      <c r="O232" s="30" t="n">
        <f aca="false">J232-ROUND(+$J232*(VLOOKUP($I232,cngded,6,FALSE())),0)</f>
        <v>174</v>
      </c>
      <c r="P232" s="30" t="n">
        <f aca="false">K232-ROUND(+$K232*(VLOOKUP($I232,cngded,6,FALSE())),0)</f>
        <v>201</v>
      </c>
      <c r="Q232" s="23" t="str">
        <f aca="false">IF(ISNA(VLOOKUP(C232,INCNG,1,FALSE())),"--","Y")</f>
        <v>Y</v>
      </c>
      <c r="R232" s="23" t="n">
        <f aca="false">IF(ISNA(VLOOKUP(C232,INCNG,10,FALSE())),0,VLOOKUP(C232,INCNG,10,FALSE()))</f>
        <v>174</v>
      </c>
      <c r="S232" s="0" t="n">
        <f aca="false">+K232-R232</f>
        <v>58</v>
      </c>
      <c r="T232" s="31" t="n">
        <f aca="false">+P232-R232</f>
        <v>27</v>
      </c>
      <c r="U232" s="32" t="n">
        <f aca="false">ROUND(+$K232*(VLOOKUP($I232,Retention,2,FALSE())),0)</f>
        <v>5</v>
      </c>
      <c r="V232" s="32" t="n">
        <f aca="false">ROUND(+$K232*(VLOOKUP($I232,Retention,3,FALSE())),0)</f>
        <v>16</v>
      </c>
      <c r="W232" s="32" t="n">
        <f aca="false">ROUND(+$K232*(VLOOKUP($I232,Retention,4,FALSE())),0)</f>
        <v>7</v>
      </c>
      <c r="X232" s="32" t="n">
        <f aca="false">ROUND(+$K232*(VLOOKUP($I232,Retention,5,FALSE())),0)</f>
        <v>2</v>
      </c>
      <c r="Y232" s="31" t="n">
        <f aca="false">SUM(U232:X232)</f>
        <v>30</v>
      </c>
      <c r="AB232" s="33"/>
      <c r="AC232" s="33"/>
      <c r="AD232" s="0" t="e">
        <f aca="false">VLOOKUP(AB232,INCNG,3,FALSE())</f>
        <v>#N/A</v>
      </c>
    </row>
    <row r="233" customFormat="false" ht="12.75" hidden="false" customHeight="false" outlineLevel="0" collapsed="false">
      <c r="A233" s="0" t="s">
        <v>486</v>
      </c>
      <c r="B233" s="0" t="s">
        <v>273</v>
      </c>
      <c r="C233" s="0" t="s">
        <v>208</v>
      </c>
      <c r="D233" s="0" t="n">
        <v>4362901</v>
      </c>
      <c r="E233" s="0" t="s">
        <v>457</v>
      </c>
      <c r="F233" s="21" t="n">
        <v>37196</v>
      </c>
      <c r="G233" s="21"/>
      <c r="H233" s="21"/>
      <c r="I233" s="21" t="s">
        <v>450</v>
      </c>
      <c r="J233" s="0" t="n">
        <f aca="false">IF(ISNA(VLOOKUP(C233,CNGx,2,FALSE())),"na",(VLOOKUP(C233,CNGx,2,FALSE())))</f>
        <v>189</v>
      </c>
      <c r="K233" s="0" t="n">
        <f aca="false">IF(ISNA(VLOOKUP(C233,CNGx,3,0)),0,VLOOKUP(C233,CNGx,3,FALSE()))</f>
        <v>219</v>
      </c>
      <c r="L233" s="29" t="n">
        <f aca="false">VLOOKUP(I233,Retention,2,FALSE())</f>
        <v>0.0228</v>
      </c>
      <c r="M233" s="30" t="n">
        <f aca="false">IF(OR(I233="TD",I233="TW"),0,J233*0.0228)</f>
        <v>4.3092</v>
      </c>
      <c r="N233" s="30" t="n">
        <f aca="false">IF(OR(I233="TD",I233="TW"),0,K233*0.0228)</f>
        <v>4.9932</v>
      </c>
      <c r="O233" s="30" t="n">
        <f aca="false">J233-ROUND(+$J233*(VLOOKUP($I233,cngded,6,FALSE())),0)</f>
        <v>164</v>
      </c>
      <c r="P233" s="30" t="n">
        <f aca="false">K233-ROUND(+$K233*(VLOOKUP($I233,cngded,6,FALSE())),0)</f>
        <v>190</v>
      </c>
      <c r="Q233" s="23" t="str">
        <f aca="false">IF(ISNA(VLOOKUP(C233,INCNG,1,FALSE())),"--","Y")</f>
        <v>Y</v>
      </c>
      <c r="R233" s="23" t="n">
        <f aca="false">IF(ISNA(VLOOKUP(C233,INCNG,10,FALSE())),0,VLOOKUP(C233,INCNG,10,FALSE()))</f>
        <v>164</v>
      </c>
      <c r="S233" s="0" t="n">
        <f aca="false">+K233-R233</f>
        <v>55</v>
      </c>
      <c r="T233" s="31" t="n">
        <f aca="false">+P233-R233</f>
        <v>26</v>
      </c>
      <c r="U233" s="32" t="n">
        <f aca="false">ROUND(+$K233*(VLOOKUP($I233,Retention,2,FALSE())),0)</f>
        <v>5</v>
      </c>
      <c r="V233" s="32" t="n">
        <f aca="false">ROUND(+$K233*(VLOOKUP($I233,Retention,3,FALSE())),0)</f>
        <v>15</v>
      </c>
      <c r="W233" s="32" t="n">
        <f aca="false">ROUND(+$K233*(VLOOKUP($I233,Retention,4,FALSE())),0)</f>
        <v>7</v>
      </c>
      <c r="X233" s="32" t="n">
        <f aca="false">ROUND(+$K233*(VLOOKUP($I233,Retention,5,FALSE())),0)</f>
        <v>2</v>
      </c>
      <c r="Y233" s="31" t="n">
        <f aca="false">SUM(U233:X233)</f>
        <v>29</v>
      </c>
      <c r="AB233" s="33"/>
      <c r="AC233" s="33"/>
      <c r="AD233" s="0" t="e">
        <f aca="false">VLOOKUP(AB233,INCNG,3,FALSE())</f>
        <v>#N/A</v>
      </c>
    </row>
    <row r="234" customFormat="false" ht="12.75" hidden="false" customHeight="false" outlineLevel="0" collapsed="false">
      <c r="A234" s="0" t="s">
        <v>486</v>
      </c>
      <c r="B234" s="0" t="s">
        <v>273</v>
      </c>
      <c r="C234" s="0" t="s">
        <v>209</v>
      </c>
      <c r="D234" s="0" t="n">
        <v>4364001</v>
      </c>
      <c r="E234" s="0" t="s">
        <v>36</v>
      </c>
      <c r="F234" s="21" t="n">
        <v>37196</v>
      </c>
      <c r="G234" s="21"/>
      <c r="H234" s="21"/>
      <c r="I234" s="21" t="s">
        <v>450</v>
      </c>
      <c r="J234" s="0" t="n">
        <f aca="false">IF(ISNA(VLOOKUP(C234,CNGx,2,FALSE())),"na",(VLOOKUP(C234,CNGx,2,FALSE())))</f>
        <v>401</v>
      </c>
      <c r="K234" s="0" t="n">
        <f aca="false">IF(ISNA(VLOOKUP(C234,CNGx,3,0)),0,VLOOKUP(C234,CNGx,3,FALSE()))</f>
        <v>445</v>
      </c>
      <c r="L234" s="29" t="n">
        <f aca="false">VLOOKUP(I234,Retention,2,FALSE())</f>
        <v>0.0228</v>
      </c>
      <c r="M234" s="30" t="n">
        <f aca="false">IF(OR(I234="TD",I234="TW"),0,J234*0.0228)</f>
        <v>9.1428</v>
      </c>
      <c r="N234" s="30" t="n">
        <f aca="false">IF(OR(I234="TD",I234="TW"),0,K234*0.0228)</f>
        <v>10.146</v>
      </c>
      <c r="O234" s="30" t="n">
        <f aca="false">J234-ROUND(+$J234*(VLOOKUP($I234,cngded,6,FALSE())),0)</f>
        <v>348</v>
      </c>
      <c r="P234" s="30" t="n">
        <f aca="false">K234-ROUND(+$K234*(VLOOKUP($I234,cngded,6,FALSE())),0)</f>
        <v>386</v>
      </c>
      <c r="Q234" s="23" t="str">
        <f aca="false">IF(ISNA(VLOOKUP(C234,INCNG,1,FALSE())),"--","Y")</f>
        <v>Y</v>
      </c>
      <c r="R234" s="23" t="n">
        <f aca="false">IF(ISNA(VLOOKUP(C234,INCNG,10,FALSE())),0,VLOOKUP(C234,INCNG,10,FALSE()))</f>
        <v>348</v>
      </c>
      <c r="S234" s="0" t="n">
        <f aca="false">+K234-R234</f>
        <v>97</v>
      </c>
      <c r="T234" s="31" t="n">
        <f aca="false">+P234-R234</f>
        <v>38</v>
      </c>
      <c r="U234" s="32" t="n">
        <f aca="false">ROUND(+$K234*(VLOOKUP($I234,Retention,2,FALSE())),0)</f>
        <v>10</v>
      </c>
      <c r="V234" s="32" t="n">
        <f aca="false">ROUND(+$K234*(VLOOKUP($I234,Retention,3,FALSE())),0)</f>
        <v>31</v>
      </c>
      <c r="W234" s="32" t="n">
        <f aca="false">ROUND(+$K234*(VLOOKUP($I234,Retention,4,FALSE())),0)</f>
        <v>13</v>
      </c>
      <c r="X234" s="32" t="n">
        <f aca="false">ROUND(+$K234*(VLOOKUP($I234,Retention,5,FALSE())),0)</f>
        <v>4</v>
      </c>
      <c r="Y234" s="31" t="n">
        <f aca="false">SUM(U234:X234)</f>
        <v>58</v>
      </c>
      <c r="AB234" s="33"/>
      <c r="AC234" s="33"/>
      <c r="AD234" s="0" t="e">
        <f aca="false">VLOOKUP(AB234,INCNG,3,FALSE())</f>
        <v>#N/A</v>
      </c>
    </row>
    <row r="235" customFormat="false" ht="12.75" hidden="false" customHeight="false" outlineLevel="0" collapsed="false">
      <c r="A235" s="0" t="s">
        <v>486</v>
      </c>
      <c r="B235" s="0" t="s">
        <v>273</v>
      </c>
      <c r="C235" s="0" t="s">
        <v>403</v>
      </c>
      <c r="D235" s="0" t="n">
        <v>4366901</v>
      </c>
      <c r="E235" s="0" t="s">
        <v>464</v>
      </c>
      <c r="F235" s="21" t="n">
        <v>37196</v>
      </c>
      <c r="G235" s="21"/>
      <c r="H235" s="21"/>
      <c r="I235" s="21" t="s">
        <v>450</v>
      </c>
      <c r="J235" s="0" t="n">
        <f aca="false">IF(ISNA(VLOOKUP(C235,CNGx,2,FALSE())),"na",(VLOOKUP(C235,CNGx,2,FALSE())))</f>
        <v>609</v>
      </c>
      <c r="K235" s="0" t="n">
        <f aca="false">IF(ISNA(VLOOKUP(C235,CNGx,3,0)),0,VLOOKUP(C235,CNGx,3,FALSE()))</f>
        <v>672</v>
      </c>
      <c r="L235" s="29" t="n">
        <f aca="false">VLOOKUP(I235,Retention,2,FALSE())</f>
        <v>0.0228</v>
      </c>
      <c r="M235" s="30" t="n">
        <f aca="false">IF(OR(I235="TD",I235="TW"),0,J235*0.0228)</f>
        <v>13.8852</v>
      </c>
      <c r="N235" s="30" t="n">
        <f aca="false">IF(OR(I235="TD",I235="TW"),0,K235*0.0228)</f>
        <v>15.3216</v>
      </c>
      <c r="O235" s="30" t="n">
        <f aca="false">J235-ROUND(+$J235*(VLOOKUP($I235,cngded,6,FALSE())),0)</f>
        <v>528</v>
      </c>
      <c r="P235" s="30" t="n">
        <f aca="false">K235-ROUND(+$K235*(VLOOKUP($I235,cngded,6,FALSE())),0)</f>
        <v>583</v>
      </c>
      <c r="Q235" s="23" t="str">
        <f aca="false">IF(ISNA(VLOOKUP(C235,INCNG,1,FALSE())),"--","Y")</f>
        <v>Y</v>
      </c>
      <c r="R235" s="23" t="n">
        <f aca="false">IF(ISNA(VLOOKUP(C235,INCNG,10,FALSE())),0,VLOOKUP(C235,INCNG,10,FALSE()))</f>
        <v>528</v>
      </c>
      <c r="S235" s="0" t="n">
        <f aca="false">+K235-R235</f>
        <v>144</v>
      </c>
      <c r="T235" s="31" t="n">
        <f aca="false">+P235-R235</f>
        <v>55</v>
      </c>
      <c r="U235" s="32" t="n">
        <f aca="false">ROUND(+$K235*(VLOOKUP($I235,Retention,2,FALSE())),0)</f>
        <v>15</v>
      </c>
      <c r="V235" s="32" t="n">
        <f aca="false">ROUND(+$K235*(VLOOKUP($I235,Retention,3,FALSE())),0)</f>
        <v>47</v>
      </c>
      <c r="W235" s="32" t="n">
        <f aca="false">ROUND(+$K235*(VLOOKUP($I235,Retention,4,FALSE())),0)</f>
        <v>20</v>
      </c>
      <c r="X235" s="32" t="n">
        <f aca="false">ROUND(+$K235*(VLOOKUP($I235,Retention,5,FALSE())),0)</f>
        <v>6</v>
      </c>
      <c r="Y235" s="31" t="n">
        <f aca="false">SUM(U235:X235)</f>
        <v>88</v>
      </c>
      <c r="AB235" s="33"/>
      <c r="AC235" s="33"/>
      <c r="AD235" s="0" t="e">
        <f aca="false">VLOOKUP(AB235,INCNG,3,FALSE())</f>
        <v>#N/A</v>
      </c>
    </row>
    <row r="236" customFormat="false" ht="12.75" hidden="false" customHeight="false" outlineLevel="0" collapsed="false">
      <c r="A236" s="0" t="s">
        <v>486</v>
      </c>
      <c r="B236" s="0" t="s">
        <v>136</v>
      </c>
      <c r="C236" s="0" t="s">
        <v>132</v>
      </c>
      <c r="D236" s="0" t="n">
        <v>4370801</v>
      </c>
      <c r="E236" s="0" t="s">
        <v>461</v>
      </c>
      <c r="F236" s="21" t="n">
        <v>37196</v>
      </c>
      <c r="G236" s="21"/>
      <c r="H236" s="21"/>
      <c r="I236" s="21" t="s">
        <v>451</v>
      </c>
      <c r="J236" s="0" t="n">
        <f aca="false">IF(ISNA(VLOOKUP(C236,CNGx,2,FALSE())),"na",(VLOOKUP(C236,CNGx,2,FALSE())))</f>
        <v>67</v>
      </c>
      <c r="K236" s="0" t="n">
        <f aca="false">IF(ISNA(VLOOKUP(C236,CNGx,3,0)),0,VLOOKUP(C236,CNGx,3,FALSE()))</f>
        <v>71</v>
      </c>
      <c r="L236" s="29" t="n">
        <f aca="false">VLOOKUP(I236,Retention,2,FALSE())</f>
        <v>0.0228</v>
      </c>
      <c r="M236" s="30" t="n">
        <f aca="false">IF(OR(I236="TD",I236="TW"),0,J236*0.0228)</f>
        <v>1.5276</v>
      </c>
      <c r="N236" s="30" t="n">
        <f aca="false">IF(OR(I236="TD",I236="TW"),0,K236*0.0228)</f>
        <v>1.6188</v>
      </c>
      <c r="O236" s="30" t="n">
        <f aca="false">J236-ROUND(+$J236*(VLOOKUP($I236,cngded,6,FALSE())),0)</f>
        <v>61</v>
      </c>
      <c r="P236" s="30" t="n">
        <f aca="false">K236-ROUND(+$K236*(VLOOKUP($I236,cngded,6,FALSE())),0)</f>
        <v>64</v>
      </c>
      <c r="Q236" s="23" t="str">
        <f aca="false">IF(ISNA(VLOOKUP(C236,INCNG,1,FALSE())),"--","Y")</f>
        <v>Y</v>
      </c>
      <c r="R236" s="23" t="n">
        <f aca="false">IF(ISNA(VLOOKUP(C236,INCNG,10,FALSE())),0,VLOOKUP(C236,INCNG,10,FALSE()))</f>
        <v>61</v>
      </c>
      <c r="S236" s="0" t="n">
        <f aca="false">+K236-R236</f>
        <v>10</v>
      </c>
      <c r="T236" s="31" t="n">
        <f aca="false">+P236-R236</f>
        <v>3</v>
      </c>
      <c r="U236" s="32" t="n">
        <f aca="false">ROUND(+$K236*(VLOOKUP($I236,Retention,2,FALSE())),0)</f>
        <v>2</v>
      </c>
      <c r="V236" s="32" t="n">
        <f aca="false">ROUND(+$K236*(VLOOKUP($I236,Retention,3,FALSE())),0)</f>
        <v>5</v>
      </c>
      <c r="W236" s="32" t="n">
        <f aca="false">ROUND(+$K236*(VLOOKUP($I236,Retention,4,FALSE())),0)</f>
        <v>0</v>
      </c>
      <c r="X236" s="32" t="n">
        <f aca="false">ROUND(+$K236*(VLOOKUP($I236,Retention,5,FALSE())),0)</f>
        <v>0</v>
      </c>
      <c r="Y236" s="31" t="n">
        <f aca="false">SUM(U236:X236)</f>
        <v>7</v>
      </c>
      <c r="AB236" s="33"/>
      <c r="AC236" s="33"/>
      <c r="AD236" s="0" t="e">
        <f aca="false">VLOOKUP(AB236,INCNG,3,FALSE())</f>
        <v>#N/A</v>
      </c>
    </row>
    <row r="237" customFormat="false" ht="12.75" hidden="false" customHeight="false" outlineLevel="0" collapsed="false">
      <c r="A237" s="0" t="s">
        <v>486</v>
      </c>
      <c r="B237" s="0" t="s">
        <v>273</v>
      </c>
      <c r="C237" s="0" t="s">
        <v>133</v>
      </c>
      <c r="D237" s="0" t="n">
        <v>4370901</v>
      </c>
      <c r="E237" s="0" t="s">
        <v>461</v>
      </c>
      <c r="F237" s="21" t="n">
        <v>37196</v>
      </c>
      <c r="G237" s="21"/>
      <c r="H237" s="21"/>
      <c r="I237" s="21" t="s">
        <v>450</v>
      </c>
      <c r="J237" s="0" t="n">
        <f aca="false">IF(ISNA(VLOOKUP(C237,CNGx,2,FALSE())),"na",(VLOOKUP(C237,CNGx,2,FALSE())))</f>
        <v>44</v>
      </c>
      <c r="K237" s="0" t="n">
        <f aca="false">IF(ISNA(VLOOKUP(C237,CNGx,3,0)),0,VLOOKUP(C237,CNGx,3,FALSE()))</f>
        <v>54</v>
      </c>
      <c r="L237" s="29" t="n">
        <f aca="false">VLOOKUP(I237,Retention,2,FALSE())</f>
        <v>0.0228</v>
      </c>
      <c r="M237" s="30" t="n">
        <f aca="false">IF(OR(I237="TD",I237="TW"),0,J237*0.0228)</f>
        <v>1.0032</v>
      </c>
      <c r="N237" s="30" t="n">
        <f aca="false">IF(OR(I237="TD",I237="TW"),0,K237*0.0228)</f>
        <v>1.2312</v>
      </c>
      <c r="O237" s="30" t="n">
        <f aca="false">J237-ROUND(+$J237*(VLOOKUP($I237,cngded,6,FALSE())),0)</f>
        <v>38</v>
      </c>
      <c r="P237" s="30" t="n">
        <f aca="false">K237-ROUND(+$K237*(VLOOKUP($I237,cngded,6,FALSE())),0)</f>
        <v>47</v>
      </c>
      <c r="Q237" s="23" t="str">
        <f aca="false">IF(ISNA(VLOOKUP(C237,INCNG,1,FALSE())),"--","Y")</f>
        <v>Y</v>
      </c>
      <c r="R237" s="23" t="n">
        <f aca="false">IF(ISNA(VLOOKUP(C237,INCNG,10,FALSE())),0,VLOOKUP(C237,INCNG,10,FALSE()))</f>
        <v>38</v>
      </c>
      <c r="S237" s="0" t="n">
        <f aca="false">+K237-R237</f>
        <v>16</v>
      </c>
      <c r="T237" s="31" t="n">
        <f aca="false">+P237-R237</f>
        <v>9</v>
      </c>
      <c r="U237" s="32" t="n">
        <f aca="false">ROUND(+$K237*(VLOOKUP($I237,Retention,2,FALSE())),0)</f>
        <v>1</v>
      </c>
      <c r="V237" s="32" t="n">
        <f aca="false">ROUND(+$K237*(VLOOKUP($I237,Retention,3,FALSE())),0)</f>
        <v>4</v>
      </c>
      <c r="W237" s="32" t="n">
        <f aca="false">ROUND(+$K237*(VLOOKUP($I237,Retention,4,FALSE())),0)</f>
        <v>2</v>
      </c>
      <c r="X237" s="32" t="n">
        <f aca="false">ROUND(+$K237*(VLOOKUP($I237,Retention,5,FALSE())),0)</f>
        <v>0</v>
      </c>
      <c r="Y237" s="31" t="n">
        <f aca="false">SUM(U237:X237)</f>
        <v>7</v>
      </c>
      <c r="AB237" s="33"/>
      <c r="AC237" s="33"/>
      <c r="AD237" s="0" t="e">
        <f aca="false">VLOOKUP(AB237,INCNG,3,FALSE())</f>
        <v>#N/A</v>
      </c>
    </row>
    <row r="238" customFormat="false" ht="12.75" hidden="false" customHeight="false" outlineLevel="0" collapsed="false">
      <c r="A238" s="0" t="s">
        <v>486</v>
      </c>
      <c r="B238" s="0" t="s">
        <v>136</v>
      </c>
      <c r="C238" s="0" t="s">
        <v>172</v>
      </c>
      <c r="D238" s="0" t="n">
        <v>4371101</v>
      </c>
      <c r="E238" s="0" t="s">
        <v>170</v>
      </c>
      <c r="F238" s="21" t="n">
        <v>37196</v>
      </c>
      <c r="G238" s="21"/>
      <c r="H238" s="21"/>
      <c r="I238" s="21" t="s">
        <v>451</v>
      </c>
      <c r="J238" s="0" t="n">
        <f aca="false">IF(ISNA(VLOOKUP(C238,CNGx,2,FALSE())),"na",(VLOOKUP(C238,CNGx,2,FALSE())))</f>
        <v>146</v>
      </c>
      <c r="K238" s="0" t="n">
        <f aca="false">IF(ISNA(VLOOKUP(C238,CNGx,3,0)),0,VLOOKUP(C238,CNGx,3,FALSE()))</f>
        <v>155</v>
      </c>
      <c r="L238" s="29" t="n">
        <f aca="false">VLOOKUP(I238,Retention,2,FALSE())</f>
        <v>0.0228</v>
      </c>
      <c r="M238" s="30" t="n">
        <f aca="false">IF(OR(I238="TD",I238="TW"),0,J238*0.0228)</f>
        <v>3.3288</v>
      </c>
      <c r="N238" s="30" t="n">
        <f aca="false">IF(OR(I238="TD",I238="TW"),0,K238*0.0228)</f>
        <v>3.534</v>
      </c>
      <c r="O238" s="30" t="n">
        <f aca="false">J238-ROUND(+$J238*(VLOOKUP($I238,cngded,6,FALSE())),0)</f>
        <v>132</v>
      </c>
      <c r="P238" s="30" t="n">
        <f aca="false">K238-ROUND(+$K238*(VLOOKUP($I238,cngded,6,FALSE())),0)</f>
        <v>141</v>
      </c>
      <c r="Q238" s="23" t="str">
        <f aca="false">IF(ISNA(VLOOKUP(C238,INCNG,1,FALSE())),"--","Y")</f>
        <v>Y</v>
      </c>
      <c r="R238" s="23" t="n">
        <f aca="false">IF(ISNA(VLOOKUP(C238,INCNG,10,FALSE())),0,VLOOKUP(C238,INCNG,10,FALSE()))</f>
        <v>132</v>
      </c>
      <c r="S238" s="0" t="n">
        <f aca="false">+K238-R238</f>
        <v>23</v>
      </c>
      <c r="T238" s="31" t="n">
        <f aca="false">+P238-R238</f>
        <v>9</v>
      </c>
      <c r="U238" s="32" t="n">
        <f aca="false">ROUND(+$K238*(VLOOKUP($I238,Retention,2,FALSE())),0)</f>
        <v>4</v>
      </c>
      <c r="V238" s="32" t="n">
        <f aca="false">ROUND(+$K238*(VLOOKUP($I238,Retention,3,FALSE())),0)</f>
        <v>11</v>
      </c>
      <c r="W238" s="32" t="n">
        <f aca="false">ROUND(+$K238*(VLOOKUP($I238,Retention,4,FALSE())),0)</f>
        <v>0</v>
      </c>
      <c r="X238" s="32" t="n">
        <f aca="false">ROUND(+$K238*(VLOOKUP($I238,Retention,5,FALSE())),0)</f>
        <v>0</v>
      </c>
      <c r="Y238" s="31" t="n">
        <f aca="false">SUM(U238:X238)</f>
        <v>15</v>
      </c>
      <c r="AB238" s="33"/>
      <c r="AC238" s="33"/>
      <c r="AD238" s="0" t="e">
        <f aca="false">VLOOKUP(AB238,INCNG,3,FALSE())</f>
        <v>#N/A</v>
      </c>
    </row>
    <row r="239" customFormat="false" ht="12.75" hidden="false" customHeight="false" outlineLevel="0" collapsed="false">
      <c r="A239" s="0" t="s">
        <v>486</v>
      </c>
      <c r="B239" s="0" t="s">
        <v>136</v>
      </c>
      <c r="C239" s="0" t="s">
        <v>134</v>
      </c>
      <c r="D239" s="0" t="n">
        <v>4371201</v>
      </c>
      <c r="E239" s="0" t="s">
        <v>461</v>
      </c>
      <c r="F239" s="21" t="n">
        <v>37196</v>
      </c>
      <c r="G239" s="21"/>
      <c r="H239" s="21"/>
      <c r="I239" s="21" t="s">
        <v>451</v>
      </c>
      <c r="J239" s="0" t="n">
        <f aca="false">IF(ISNA(VLOOKUP(C239,CNGx,2,FALSE())),"na",(VLOOKUP(C239,CNGx,2,FALSE())))</f>
        <v>37</v>
      </c>
      <c r="K239" s="0" t="n">
        <f aca="false">IF(ISNA(VLOOKUP(C239,CNGx,3,0)),0,VLOOKUP(C239,CNGx,3,FALSE()))</f>
        <v>40</v>
      </c>
      <c r="L239" s="29" t="n">
        <f aca="false">VLOOKUP(I239,Retention,2,FALSE())</f>
        <v>0.0228</v>
      </c>
      <c r="M239" s="30" t="n">
        <f aca="false">IF(OR(I239="TD",I239="TW"),0,J239*0.0228)</f>
        <v>0.8436</v>
      </c>
      <c r="N239" s="30" t="n">
        <f aca="false">IF(OR(I239="TD",I239="TW"),0,K239*0.0228)</f>
        <v>0.912</v>
      </c>
      <c r="O239" s="30" t="n">
        <f aca="false">J239-ROUND(+$J239*(VLOOKUP($I239,cngded,6,FALSE())),0)</f>
        <v>34</v>
      </c>
      <c r="P239" s="30" t="n">
        <f aca="false">K239-ROUND(+$K239*(VLOOKUP($I239,cngded,6,FALSE())),0)</f>
        <v>36</v>
      </c>
      <c r="Q239" s="23" t="str">
        <f aca="false">IF(ISNA(VLOOKUP(C239,INCNG,1,FALSE())),"--","Y")</f>
        <v>Y</v>
      </c>
      <c r="R239" s="23" t="n">
        <f aca="false">IF(ISNA(VLOOKUP(C239,INCNG,10,FALSE())),0,VLOOKUP(C239,INCNG,10,FALSE()))</f>
        <v>34</v>
      </c>
      <c r="S239" s="0" t="n">
        <f aca="false">+K239-R239</f>
        <v>6</v>
      </c>
      <c r="T239" s="31" t="n">
        <f aca="false">+P239-R239</f>
        <v>2</v>
      </c>
      <c r="U239" s="32" t="n">
        <f aca="false">ROUND(+$K239*(VLOOKUP($I239,Retention,2,FALSE())),0)</f>
        <v>1</v>
      </c>
      <c r="V239" s="32" t="n">
        <f aca="false">ROUND(+$K239*(VLOOKUP($I239,Retention,3,FALSE())),0)</f>
        <v>3</v>
      </c>
      <c r="W239" s="32" t="n">
        <f aca="false">ROUND(+$K239*(VLOOKUP($I239,Retention,4,FALSE())),0)</f>
        <v>0</v>
      </c>
      <c r="X239" s="32" t="n">
        <f aca="false">ROUND(+$K239*(VLOOKUP($I239,Retention,5,FALSE())),0)</f>
        <v>0</v>
      </c>
      <c r="Y239" s="31" t="n">
        <f aca="false">SUM(U239:X239)</f>
        <v>4</v>
      </c>
      <c r="AB239" s="33"/>
      <c r="AC239" s="33"/>
      <c r="AD239" s="0" t="e">
        <f aca="false">VLOOKUP(AB239,INCNG,3,FALSE())</f>
        <v>#N/A</v>
      </c>
    </row>
    <row r="240" customFormat="false" ht="12.75" hidden="false" customHeight="false" outlineLevel="0" collapsed="false">
      <c r="A240" s="0" t="s">
        <v>486</v>
      </c>
      <c r="B240" s="0" t="s">
        <v>136</v>
      </c>
      <c r="C240" s="0" t="s">
        <v>135</v>
      </c>
      <c r="D240" s="0" t="n">
        <v>4371701</v>
      </c>
      <c r="E240" s="0" t="s">
        <v>461</v>
      </c>
      <c r="F240" s="21" t="n">
        <v>37196</v>
      </c>
      <c r="G240" s="21"/>
      <c r="H240" s="21"/>
      <c r="I240" s="21" t="s">
        <v>451</v>
      </c>
      <c r="J240" s="0" t="n">
        <f aca="false">IF(ISNA(VLOOKUP(C240,CNGx,2,FALSE())),"na",(VLOOKUP(C240,CNGx,2,FALSE())))</f>
        <v>74</v>
      </c>
      <c r="K240" s="0" t="n">
        <f aca="false">IF(ISNA(VLOOKUP(C240,CNGx,3,0)),0,VLOOKUP(C240,CNGx,3,FALSE()))</f>
        <v>76</v>
      </c>
      <c r="L240" s="29" t="n">
        <f aca="false">VLOOKUP(I240,Retention,2,FALSE())</f>
        <v>0.0228</v>
      </c>
      <c r="M240" s="30" t="n">
        <f aca="false">IF(OR(I240="TD",I240="TW"),0,J240*0.0228)</f>
        <v>1.6872</v>
      </c>
      <c r="N240" s="30" t="n">
        <f aca="false">IF(OR(I240="TD",I240="TW"),0,K240*0.0228)</f>
        <v>1.7328</v>
      </c>
      <c r="O240" s="30" t="n">
        <f aca="false">J240-ROUND(+$J240*(VLOOKUP($I240,cngded,6,FALSE())),0)</f>
        <v>67</v>
      </c>
      <c r="P240" s="30" t="n">
        <f aca="false">K240-ROUND(+$K240*(VLOOKUP($I240,cngded,6,FALSE())),0)</f>
        <v>69</v>
      </c>
      <c r="Q240" s="23" t="str">
        <f aca="false">IF(ISNA(VLOOKUP(C240,INCNG,1,FALSE())),"--","Y")</f>
        <v>Y</v>
      </c>
      <c r="R240" s="23" t="n">
        <f aca="false">IF(ISNA(VLOOKUP(C240,INCNG,10,FALSE())),0,VLOOKUP(C240,INCNG,10,FALSE()))</f>
        <v>67</v>
      </c>
      <c r="S240" s="0" t="n">
        <f aca="false">+K240-R240</f>
        <v>9</v>
      </c>
      <c r="T240" s="31" t="n">
        <f aca="false">+P240-R240</f>
        <v>2</v>
      </c>
      <c r="U240" s="32" t="n">
        <f aca="false">ROUND(+$K240*(VLOOKUP($I240,Retention,2,FALSE())),0)</f>
        <v>2</v>
      </c>
      <c r="V240" s="32" t="n">
        <f aca="false">ROUND(+$K240*(VLOOKUP($I240,Retention,3,FALSE())),0)</f>
        <v>5</v>
      </c>
      <c r="W240" s="32" t="n">
        <f aca="false">ROUND(+$K240*(VLOOKUP($I240,Retention,4,FALSE())),0)</f>
        <v>0</v>
      </c>
      <c r="X240" s="32" t="n">
        <f aca="false">ROUND(+$K240*(VLOOKUP($I240,Retention,5,FALSE())),0)</f>
        <v>0</v>
      </c>
      <c r="Y240" s="31" t="n">
        <f aca="false">SUM(U240:X240)</f>
        <v>7</v>
      </c>
      <c r="AB240" s="33"/>
      <c r="AC240" s="33"/>
      <c r="AD240" s="0" t="e">
        <f aca="false">VLOOKUP(AB240,INCNG,3,FALSE())</f>
        <v>#N/A</v>
      </c>
    </row>
    <row r="241" customFormat="false" ht="12.75" hidden="false" customHeight="false" outlineLevel="0" collapsed="false">
      <c r="A241" s="0" t="s">
        <v>486</v>
      </c>
      <c r="B241" s="0" t="s">
        <v>136</v>
      </c>
      <c r="C241" s="0" t="s">
        <v>137</v>
      </c>
      <c r="D241" s="0" t="n">
        <v>4373001</v>
      </c>
      <c r="E241" s="0" t="s">
        <v>461</v>
      </c>
      <c r="F241" s="21" t="n">
        <v>37196</v>
      </c>
      <c r="G241" s="21"/>
      <c r="H241" s="21"/>
      <c r="I241" s="21" t="s">
        <v>451</v>
      </c>
      <c r="J241" s="0" t="n">
        <f aca="false">IF(ISNA(VLOOKUP(C241,CNGx,2,FALSE())),"na",(VLOOKUP(C241,CNGx,2,FALSE())))</f>
        <v>13</v>
      </c>
      <c r="K241" s="0" t="n">
        <f aca="false">IF(ISNA(VLOOKUP(C241,CNGx,3,0)),0,VLOOKUP(C241,CNGx,3,FALSE()))</f>
        <v>14</v>
      </c>
      <c r="L241" s="29" t="n">
        <f aca="false">VLOOKUP(I241,Retention,2,FALSE())</f>
        <v>0.0228</v>
      </c>
      <c r="M241" s="30" t="n">
        <f aca="false">IF(OR(I241="TD",I241="TW"),0,J241*0.0228)</f>
        <v>0.2964</v>
      </c>
      <c r="N241" s="30" t="n">
        <f aca="false">IF(OR(I241="TD",I241="TW"),0,K241*0.0228)</f>
        <v>0.3192</v>
      </c>
      <c r="O241" s="30" t="n">
        <f aca="false">J241-ROUND(+$J241*(VLOOKUP($I241,cngded,6,FALSE())),0)</f>
        <v>12</v>
      </c>
      <c r="P241" s="30" t="n">
        <f aca="false">K241-ROUND(+$K241*(VLOOKUP($I241,cngded,6,FALSE())),0)</f>
        <v>13</v>
      </c>
      <c r="Q241" s="23" t="str">
        <f aca="false">IF(ISNA(VLOOKUP(C241,INCNG,1,FALSE())),"--","Y")</f>
        <v>Y</v>
      </c>
      <c r="R241" s="23" t="n">
        <f aca="false">IF(ISNA(VLOOKUP(C241,INCNG,10,FALSE())),0,VLOOKUP(C241,INCNG,10,FALSE()))</f>
        <v>12</v>
      </c>
      <c r="S241" s="0" t="n">
        <f aca="false">+K241-R241</f>
        <v>2</v>
      </c>
      <c r="T241" s="31" t="n">
        <f aca="false">+P241-R241</f>
        <v>1</v>
      </c>
      <c r="U241" s="32" t="n">
        <f aca="false">ROUND(+$K241*(VLOOKUP($I241,Retention,2,FALSE())),0)</f>
        <v>0</v>
      </c>
      <c r="V241" s="32" t="n">
        <f aca="false">ROUND(+$K241*(VLOOKUP($I241,Retention,3,FALSE())),0)</f>
        <v>1</v>
      </c>
      <c r="W241" s="32" t="n">
        <f aca="false">ROUND(+$K241*(VLOOKUP($I241,Retention,4,FALSE())),0)</f>
        <v>0</v>
      </c>
      <c r="X241" s="32" t="n">
        <f aca="false">ROUND(+$K241*(VLOOKUP($I241,Retention,5,FALSE())),0)</f>
        <v>0</v>
      </c>
      <c r="Y241" s="31" t="n">
        <f aca="false">SUM(U241:X241)</f>
        <v>1</v>
      </c>
      <c r="AB241" s="33"/>
      <c r="AC241" s="33"/>
      <c r="AD241" s="0" t="e">
        <f aca="false">VLOOKUP(AB241,INCNG,3,FALSE())</f>
        <v>#N/A</v>
      </c>
    </row>
    <row r="242" customFormat="false" ht="12.75" hidden="false" customHeight="false" outlineLevel="0" collapsed="false">
      <c r="A242" s="0" t="s">
        <v>486</v>
      </c>
      <c r="B242" s="0" t="s">
        <v>489</v>
      </c>
      <c r="C242" s="0" t="s">
        <v>331</v>
      </c>
      <c r="D242" s="0" t="n">
        <v>5156201</v>
      </c>
      <c r="E242" s="0" t="s">
        <v>315</v>
      </c>
      <c r="F242" s="21" t="n">
        <v>37196</v>
      </c>
      <c r="G242" s="21"/>
      <c r="H242" s="21"/>
      <c r="I242" s="21" t="s">
        <v>451</v>
      </c>
      <c r="J242" s="0" t="n">
        <f aca="false">IF(ISNA(VLOOKUP(C242,CNGx,2,FALSE())),"na",(VLOOKUP(C242,CNGx,2,FALSE())))</f>
        <v>777</v>
      </c>
      <c r="K242" s="0" t="n">
        <f aca="false">IF(ISNA(VLOOKUP(C242,CNGx,3,0)),0,VLOOKUP(C242,CNGx,3,FALSE()))</f>
        <v>804</v>
      </c>
      <c r="L242" s="29" t="n">
        <f aca="false">VLOOKUP(I242,Retention,2,FALSE())</f>
        <v>0.0228</v>
      </c>
      <c r="M242" s="30" t="n">
        <f aca="false">IF(OR(I242="TD",I242="TW"),0,J242*0.0228)</f>
        <v>17.7156</v>
      </c>
      <c r="N242" s="30" t="n">
        <f aca="false">IF(OR(I242="TD",I242="TW"),0,K242*0.0228)</f>
        <v>18.3312</v>
      </c>
      <c r="O242" s="30" t="n">
        <f aca="false">J242-ROUND(+$J242*(VLOOKUP($I242,cngded,6,FALSE())),0)</f>
        <v>704</v>
      </c>
      <c r="P242" s="30" t="n">
        <f aca="false">K242-ROUND(+$K242*(VLOOKUP($I242,cngded,6,FALSE())),0)</f>
        <v>729</v>
      </c>
      <c r="Q242" s="23" t="str">
        <f aca="false">IF(ISNA(VLOOKUP(C242,INCNG,1,FALSE())),"--","Y")</f>
        <v>Y</v>
      </c>
      <c r="R242" s="23" t="n">
        <f aca="false">IF(ISNA(VLOOKUP(C242,INCNG,10,FALSE())),0,VLOOKUP(C242,INCNG,10,FALSE()))</f>
        <v>704</v>
      </c>
      <c r="S242" s="0" t="n">
        <f aca="false">+K242-R242</f>
        <v>100</v>
      </c>
      <c r="T242" s="31" t="n">
        <f aca="false">+P242-R242</f>
        <v>25</v>
      </c>
      <c r="U242" s="32" t="n">
        <f aca="false">ROUND(+$K242*(VLOOKUP($I242,Retention,2,FALSE())),0)</f>
        <v>18</v>
      </c>
      <c r="V242" s="32" t="n">
        <f aca="false">ROUND(+$K242*(VLOOKUP($I242,Retention,3,FALSE())),0)</f>
        <v>57</v>
      </c>
      <c r="W242" s="32" t="n">
        <f aca="false">ROUND(+$K242*(VLOOKUP($I242,Retention,4,FALSE())),0)</f>
        <v>0</v>
      </c>
      <c r="X242" s="32" t="n">
        <f aca="false">ROUND(+$K242*(VLOOKUP($I242,Retention,5,FALSE())),0)</f>
        <v>0</v>
      </c>
      <c r="Y242" s="31" t="n">
        <f aca="false">SUM(U242:X242)</f>
        <v>75</v>
      </c>
      <c r="AB242" s="33"/>
      <c r="AC242" s="33"/>
      <c r="AD242" s="0" t="e">
        <f aca="false">VLOOKUP(AB242,INCNG,3,FALSE())</f>
        <v>#N/A</v>
      </c>
    </row>
    <row r="243" customFormat="false" ht="12.75" hidden="false" customHeight="false" outlineLevel="0" collapsed="false">
      <c r="A243" s="0" t="s">
        <v>486</v>
      </c>
      <c r="B243" s="0" t="s">
        <v>489</v>
      </c>
      <c r="C243" s="0" t="s">
        <v>332</v>
      </c>
      <c r="D243" s="0" t="n">
        <v>5171101</v>
      </c>
      <c r="E243" s="0" t="s">
        <v>315</v>
      </c>
      <c r="F243" s="21" t="n">
        <v>37196</v>
      </c>
      <c r="G243" s="21"/>
      <c r="H243" s="21"/>
      <c r="I243" s="21" t="s">
        <v>451</v>
      </c>
      <c r="J243" s="0" t="n">
        <f aca="false">IF(ISNA(VLOOKUP(C243,CNGx,2,FALSE())),"na",(VLOOKUP(C243,CNGx,2,FALSE())))</f>
        <v>147</v>
      </c>
      <c r="K243" s="0" t="n">
        <f aca="false">IF(ISNA(VLOOKUP(C243,CNGx,3,0)),0,VLOOKUP(C243,CNGx,3,FALSE()))</f>
        <v>155</v>
      </c>
      <c r="L243" s="29" t="n">
        <f aca="false">VLOOKUP(I243,Retention,2,FALSE())</f>
        <v>0.0228</v>
      </c>
      <c r="M243" s="30" t="n">
        <f aca="false">IF(OR(I243="TD",I243="TW"),0,J243*0.0228)</f>
        <v>3.3516</v>
      </c>
      <c r="N243" s="30" t="n">
        <f aca="false">IF(OR(I243="TD",I243="TW"),0,K243*0.0228)</f>
        <v>3.534</v>
      </c>
      <c r="O243" s="30" t="n">
        <f aca="false">J243-ROUND(+$J243*(VLOOKUP($I243,cngded,6,FALSE())),0)</f>
        <v>133</v>
      </c>
      <c r="P243" s="30" t="n">
        <f aca="false">K243-ROUND(+$K243*(VLOOKUP($I243,cngded,6,FALSE())),0)</f>
        <v>141</v>
      </c>
      <c r="Q243" s="23" t="str">
        <f aca="false">IF(ISNA(VLOOKUP(C243,INCNG,1,FALSE())),"--","Y")</f>
        <v>Y</v>
      </c>
      <c r="R243" s="23" t="n">
        <f aca="false">IF(ISNA(VLOOKUP(C243,INCNG,10,FALSE())),0,VLOOKUP(C243,INCNG,10,FALSE()))</f>
        <v>133</v>
      </c>
      <c r="S243" s="0" t="n">
        <f aca="false">+K243-R243</f>
        <v>22</v>
      </c>
      <c r="T243" s="31" t="n">
        <f aca="false">+P243-R243</f>
        <v>8</v>
      </c>
      <c r="U243" s="32" t="n">
        <f aca="false">ROUND(+$K243*(VLOOKUP($I243,Retention,2,FALSE())),0)</f>
        <v>4</v>
      </c>
      <c r="V243" s="32" t="n">
        <f aca="false">ROUND(+$K243*(VLOOKUP($I243,Retention,3,FALSE())),0)</f>
        <v>11</v>
      </c>
      <c r="W243" s="32" t="n">
        <f aca="false">ROUND(+$K243*(VLOOKUP($I243,Retention,4,FALSE())),0)</f>
        <v>0</v>
      </c>
      <c r="X243" s="32" t="n">
        <f aca="false">ROUND(+$K243*(VLOOKUP($I243,Retention,5,FALSE())),0)</f>
        <v>0</v>
      </c>
      <c r="Y243" s="31" t="n">
        <f aca="false">SUM(U243:X243)</f>
        <v>15</v>
      </c>
      <c r="AB243" s="33"/>
      <c r="AC243" s="33"/>
      <c r="AD243" s="0" t="e">
        <f aca="false">VLOOKUP(AB243,INCNG,3,FALSE())</f>
        <v>#N/A</v>
      </c>
    </row>
    <row r="244" customFormat="false" ht="12.75" hidden="false" customHeight="false" outlineLevel="0" collapsed="false">
      <c r="A244" s="0" t="s">
        <v>486</v>
      </c>
      <c r="B244" s="0" t="s">
        <v>273</v>
      </c>
      <c r="C244" s="0" t="s">
        <v>146</v>
      </c>
      <c r="D244" s="0" t="s">
        <v>147</v>
      </c>
      <c r="E244" s="0" t="s">
        <v>452</v>
      </c>
      <c r="F244" s="21" t="n">
        <v>37196</v>
      </c>
      <c r="G244" s="21"/>
      <c r="H244" s="21"/>
      <c r="I244" s="21" t="s">
        <v>450</v>
      </c>
      <c r="J244" s="0" t="n">
        <f aca="false">IF(ISNA(VLOOKUP(C244,CNGx,2,FALSE())),"na",(VLOOKUP(C244,CNGx,2,FALSE())))</f>
        <v>72</v>
      </c>
      <c r="K244" s="0" t="n">
        <f aca="false">IF(ISNA(VLOOKUP(C244,CNGx,3,0)),0,VLOOKUP(C244,CNGx,3,FALSE()))</f>
        <v>81</v>
      </c>
      <c r="L244" s="29" t="n">
        <f aca="false">VLOOKUP(I244,Retention,2,FALSE())</f>
        <v>0.0228</v>
      </c>
      <c r="M244" s="30" t="n">
        <f aca="false">IF(OR(I244="TD",I244="TW"),0,J244*0.0228)</f>
        <v>1.6416</v>
      </c>
      <c r="N244" s="30" t="n">
        <f aca="false">IF(OR(I244="TD",I244="TW"),0,K244*0.0228)</f>
        <v>1.8468</v>
      </c>
      <c r="O244" s="30" t="n">
        <f aca="false">J244-ROUND(+$J244*(VLOOKUP($I244,cngded,6,FALSE())),0)</f>
        <v>62</v>
      </c>
      <c r="P244" s="30" t="n">
        <f aca="false">K244-ROUND(+$K244*(VLOOKUP($I244,cngded,6,FALSE())),0)</f>
        <v>70</v>
      </c>
      <c r="Q244" s="23" t="str">
        <f aca="false">IF(ISNA(VLOOKUP(C244,INCNG,1,FALSE())),"--","Y")</f>
        <v>Y</v>
      </c>
      <c r="R244" s="23" t="n">
        <f aca="false">IF(ISNA(VLOOKUP(C244,INCNG,10,FALSE())),0,VLOOKUP(C244,INCNG,10,FALSE()))</f>
        <v>62</v>
      </c>
      <c r="S244" s="0" t="n">
        <f aca="false">+K244-R244</f>
        <v>19</v>
      </c>
      <c r="T244" s="31" t="n">
        <f aca="false">+P244-R244</f>
        <v>8</v>
      </c>
      <c r="U244" s="32" t="n">
        <f aca="false">ROUND(+$K244*(VLOOKUP($I244,Retention,2,FALSE())),0)</f>
        <v>2</v>
      </c>
      <c r="V244" s="32" t="n">
        <f aca="false">ROUND(+$K244*(VLOOKUP($I244,Retention,3,FALSE())),0)</f>
        <v>6</v>
      </c>
      <c r="W244" s="32" t="n">
        <f aca="false">ROUND(+$K244*(VLOOKUP($I244,Retention,4,FALSE())),0)</f>
        <v>2</v>
      </c>
      <c r="X244" s="32" t="n">
        <f aca="false">ROUND(+$K244*(VLOOKUP($I244,Retention,5,FALSE())),0)</f>
        <v>1</v>
      </c>
      <c r="Y244" s="31" t="n">
        <f aca="false">SUM(U244:X244)</f>
        <v>11</v>
      </c>
      <c r="AB244" s="33"/>
      <c r="AC244" s="33"/>
      <c r="AD244" s="0" t="e">
        <f aca="false">VLOOKUP(AB244,INCNG,3,FALSE())</f>
        <v>#N/A</v>
      </c>
    </row>
    <row r="245" customFormat="false" ht="12.75" hidden="false" customHeight="false" outlineLevel="0" collapsed="false">
      <c r="A245" s="0" t="s">
        <v>486</v>
      </c>
      <c r="B245" s="0" t="s">
        <v>487</v>
      </c>
      <c r="C245" s="0" t="s">
        <v>181</v>
      </c>
      <c r="D245" s="0" t="s">
        <v>182</v>
      </c>
      <c r="E245" s="0" t="s">
        <v>180</v>
      </c>
      <c r="F245" s="21" t="n">
        <v>37196</v>
      </c>
      <c r="G245" s="21"/>
      <c r="H245" s="21"/>
      <c r="I245" s="21" t="s">
        <v>446</v>
      </c>
      <c r="J245" s="0" t="n">
        <f aca="false">IF(ISNA(VLOOKUP(C245,CNGx,2,FALSE())),"na",(VLOOKUP(C245,CNGx,2,FALSE())))</f>
        <v>1289</v>
      </c>
      <c r="K245" s="0" t="n">
        <f aca="false">IF(ISNA(VLOOKUP(C245,CNGx,3,0)),0,VLOOKUP(C245,CNGx,3,FALSE()))</f>
        <v>1568</v>
      </c>
      <c r="L245" s="29" t="n">
        <f aca="false">VLOOKUP(I245,Retention,2,FALSE())</f>
        <v>0</v>
      </c>
      <c r="M245" s="30" t="n">
        <f aca="false">IF(OR(I245="TD",I245="TW"),0,J245*0.0228)</f>
        <v>0</v>
      </c>
      <c r="N245" s="30" t="n">
        <f aca="false">IF(OR(I245="TD",I245="TW"),0,K245*0.0228)</f>
        <v>0</v>
      </c>
      <c r="O245" s="30" t="n">
        <f aca="false">J245-ROUND(+$J245*(VLOOKUP($I245,cngded,6,FALSE())),0)</f>
        <v>1239</v>
      </c>
      <c r="P245" s="30" t="n">
        <f aca="false">K245-ROUND(+$K245*(VLOOKUP($I245,cngded,6,FALSE())),0)</f>
        <v>1507</v>
      </c>
      <c r="Q245" s="23" t="str">
        <f aca="false">IF(ISNA(VLOOKUP(C245,INCNG,1,FALSE())),"--","Y")</f>
        <v>Y</v>
      </c>
      <c r="R245" s="23" t="n">
        <f aca="false">IF(ISNA(VLOOKUP(C245,INCNG,10,FALSE())),0,VLOOKUP(C245,INCNG,10,FALSE()))</f>
        <v>1239</v>
      </c>
      <c r="S245" s="0" t="n">
        <f aca="false">+K245-R245</f>
        <v>329</v>
      </c>
      <c r="T245" s="31" t="n">
        <f aca="false">+P245-R245</f>
        <v>268</v>
      </c>
      <c r="U245" s="32" t="n">
        <f aca="false">ROUND(+$K245*(VLOOKUP($I245,Retention,2,FALSE())),0)</f>
        <v>0</v>
      </c>
      <c r="V245" s="32" t="n">
        <f aca="false">ROUND(+$K245*(VLOOKUP($I245,Retention,3,FALSE())),0)</f>
        <v>0</v>
      </c>
      <c r="W245" s="32" t="n">
        <f aca="false">ROUND(+$K245*(VLOOKUP($I245,Retention,4,FALSE())),0)</f>
        <v>47</v>
      </c>
      <c r="X245" s="32" t="n">
        <f aca="false">ROUND(+$K245*(VLOOKUP($I245,Retention,5,FALSE())),0)</f>
        <v>14</v>
      </c>
      <c r="Y245" s="31" t="n">
        <f aca="false">SUM(U245:X245)</f>
        <v>61</v>
      </c>
      <c r="AB245" s="33"/>
      <c r="AC245" s="33"/>
      <c r="AD245" s="0" t="e">
        <f aca="false">VLOOKUP(AB245,INCNG,3,FALSE())</f>
        <v>#N/A</v>
      </c>
    </row>
    <row r="246" customFormat="false" ht="12.75" hidden="false" customHeight="false" outlineLevel="0" collapsed="false">
      <c r="A246" s="0" t="s">
        <v>486</v>
      </c>
      <c r="B246" s="0" t="s">
        <v>487</v>
      </c>
      <c r="C246" s="0" t="s">
        <v>186</v>
      </c>
      <c r="D246" s="0" t="s">
        <v>447</v>
      </c>
      <c r="E246" s="0" t="s">
        <v>448</v>
      </c>
      <c r="F246" s="21" t="n">
        <v>37196</v>
      </c>
      <c r="G246" s="21"/>
      <c r="H246" s="21"/>
      <c r="I246" s="21" t="s">
        <v>446</v>
      </c>
      <c r="J246" s="0" t="n">
        <f aca="false">IF(ISNA(VLOOKUP(C246,CNGx,2,FALSE())),"na",(VLOOKUP(C246,CNGx,2,FALSE())))</f>
        <v>141</v>
      </c>
      <c r="K246" s="0" t="n">
        <f aca="false">IF(ISNA(VLOOKUP(C246,CNGx,3,0)),0,VLOOKUP(C246,CNGx,3,FALSE()))</f>
        <v>162</v>
      </c>
      <c r="L246" s="29" t="n">
        <f aca="false">VLOOKUP(I246,Retention,2,FALSE())</f>
        <v>0</v>
      </c>
      <c r="M246" s="30" t="n">
        <f aca="false">IF(OR(I246="TD",I246="TW"),0,J246*0.0228)</f>
        <v>0</v>
      </c>
      <c r="N246" s="30" t="n">
        <f aca="false">IF(OR(I246="TD",I246="TW"),0,K246*0.0228)</f>
        <v>0</v>
      </c>
      <c r="O246" s="30" t="n">
        <f aca="false">J246-ROUND(+$J246*(VLOOKUP($I246,cngded,6,FALSE())),0)</f>
        <v>135</v>
      </c>
      <c r="P246" s="30" t="n">
        <f aca="false">K246-ROUND(+$K246*(VLOOKUP($I246,cngded,6,FALSE())),0)</f>
        <v>156</v>
      </c>
      <c r="Q246" s="23" t="str">
        <f aca="false">IF(ISNA(VLOOKUP(C246,INCNG,1,FALSE())),"--","Y")</f>
        <v>Y</v>
      </c>
      <c r="R246" s="23" t="n">
        <f aca="false">IF(ISNA(VLOOKUP(C246,INCNG,10,FALSE())),0,VLOOKUP(C246,INCNG,10,FALSE()))</f>
        <v>135</v>
      </c>
      <c r="S246" s="0" t="n">
        <f aca="false">+K246-R246</f>
        <v>27</v>
      </c>
      <c r="T246" s="31" t="n">
        <f aca="false">+P246-R246</f>
        <v>21</v>
      </c>
      <c r="U246" s="32" t="n">
        <f aca="false">ROUND(+$K246*(VLOOKUP($I246,Retention,2,FALSE())),0)</f>
        <v>0</v>
      </c>
      <c r="V246" s="32" t="n">
        <f aca="false">ROUND(+$K246*(VLOOKUP($I246,Retention,3,FALSE())),0)</f>
        <v>0</v>
      </c>
      <c r="W246" s="32" t="n">
        <f aca="false">ROUND(+$K246*(VLOOKUP($I246,Retention,4,FALSE())),0)</f>
        <v>5</v>
      </c>
      <c r="X246" s="32" t="n">
        <f aca="false">ROUND(+$K246*(VLOOKUP($I246,Retention,5,FALSE())),0)</f>
        <v>1</v>
      </c>
      <c r="Y246" s="31" t="n">
        <f aca="false">SUM(U246:X246)</f>
        <v>6</v>
      </c>
      <c r="AB246" s="33"/>
      <c r="AC246" s="33"/>
      <c r="AD246" s="0" t="e">
        <f aca="false">VLOOKUP(AB246,INCNG,3,FALSE())</f>
        <v>#N/A</v>
      </c>
    </row>
    <row r="247" customFormat="false" ht="12.75" hidden="false" customHeight="false" outlineLevel="0" collapsed="false">
      <c r="A247" s="0" t="s">
        <v>486</v>
      </c>
      <c r="B247" s="0" t="s">
        <v>488</v>
      </c>
      <c r="C247" s="0" t="s">
        <v>184</v>
      </c>
      <c r="D247" s="0" t="s">
        <v>185</v>
      </c>
      <c r="E247" s="0" t="s">
        <v>180</v>
      </c>
      <c r="F247" s="21" t="n">
        <v>37196</v>
      </c>
      <c r="G247" s="21"/>
      <c r="H247" s="21"/>
      <c r="I247" s="21" t="s">
        <v>449</v>
      </c>
      <c r="J247" s="0" t="n">
        <f aca="false">IF(ISNA(VLOOKUP(C247,CNGx,2,FALSE())),"na",(VLOOKUP(C247,CNGx,2,FALSE())))</f>
        <v>85</v>
      </c>
      <c r="K247" s="0" t="n">
        <f aca="false">IF(ISNA(VLOOKUP(C247,CNGx,3,0)),0,VLOOKUP(C247,CNGx,3,FALSE()))</f>
        <v>94</v>
      </c>
      <c r="L247" s="29" t="n">
        <f aca="false">VLOOKUP(I247,Retention,2,FALSE())</f>
        <v>0</v>
      </c>
      <c r="M247" s="30" t="n">
        <f aca="false">IF(OR(I247="TD",I247="TW"),0,J247*0.0228)</f>
        <v>0</v>
      </c>
      <c r="N247" s="30" t="n">
        <f aca="false">IF(OR(I247="TD",I247="TW"),0,K247*0.0228)</f>
        <v>0</v>
      </c>
      <c r="O247" s="30" t="n">
        <f aca="false">J247-ROUND(+$J247*(VLOOKUP($I247,cngded,6,FALSE())),0)</f>
        <v>85</v>
      </c>
      <c r="P247" s="30" t="n">
        <f aca="false">K247-ROUND(+$K247*(VLOOKUP($I247,cngded,6,FALSE())),0)</f>
        <v>94</v>
      </c>
      <c r="Q247" s="23" t="str">
        <f aca="false">IF(ISNA(VLOOKUP(C247,INCNG,1,FALSE())),"--","Y")</f>
        <v>Y</v>
      </c>
      <c r="R247" s="23" t="n">
        <f aca="false">IF(ISNA(VLOOKUP(C247,INCNG,10,FALSE())),0,VLOOKUP(C247,INCNG,10,FALSE()))</f>
        <v>85</v>
      </c>
      <c r="S247" s="0" t="n">
        <f aca="false">+K247-R247</f>
        <v>9</v>
      </c>
      <c r="T247" s="31" t="n">
        <f aca="false">+P247-R247</f>
        <v>9</v>
      </c>
      <c r="U247" s="32" t="n">
        <f aca="false">ROUND(+$K247*(VLOOKUP($I247,Retention,2,FALSE())),0)</f>
        <v>0</v>
      </c>
      <c r="V247" s="32" t="n">
        <f aca="false">ROUND(+$K247*(VLOOKUP($I247,Retention,3,FALSE())),0)</f>
        <v>0</v>
      </c>
      <c r="W247" s="32" t="n">
        <f aca="false">ROUND(+$K247*(VLOOKUP($I247,Retention,4,FALSE())),0)</f>
        <v>0</v>
      </c>
      <c r="X247" s="32" t="n">
        <f aca="false">ROUND(+$K247*(VLOOKUP($I247,Retention,5,FALSE())),0)</f>
        <v>0</v>
      </c>
      <c r="Y247" s="31" t="n">
        <f aca="false">SUM(U247:X247)</f>
        <v>0</v>
      </c>
      <c r="AB247" s="33"/>
      <c r="AC247" s="33"/>
      <c r="AD247" s="0" t="e">
        <f aca="false">VLOOKUP(AB247,INCNG,3,FALSE())</f>
        <v>#N/A</v>
      </c>
    </row>
    <row r="248" customFormat="false" ht="12.75" hidden="false" customHeight="false" outlineLevel="0" collapsed="false">
      <c r="M248" s="40"/>
    </row>
    <row r="249" customFormat="false" ht="12.75" hidden="false" customHeight="false" outlineLevel="0" collapsed="false">
      <c r="J249" s="0" t="n">
        <f aca="false">SUM(J2:J248)</f>
        <v>67884</v>
      </c>
      <c r="K249" s="0" t="n">
        <f aca="false">SUM(K2:K248)</f>
        <v>85254</v>
      </c>
      <c r="M249" s="40" t="n">
        <f aca="false">IF(OR(I249="TD",I249="TW"),0,J249*0.0228)</f>
        <v>1547.7552</v>
      </c>
      <c r="N249" s="40" t="n">
        <f aca="false">SUM(N2:N248)</f>
        <v>1625.9364</v>
      </c>
      <c r="O249" s="40" t="e">
        <f aca="false">SUM(O2:O248)</f>
        <v>#VALUE!</v>
      </c>
      <c r="P249" s="40" t="n">
        <f aca="false">SUM(P2:P248)</f>
        <v>74510</v>
      </c>
      <c r="R249" s="0" t="e">
        <f aca="false">SUM(R2:R248)</f>
        <v>#VALUE!</v>
      </c>
      <c r="S249" s="0" t="e">
        <f aca="false">SUM(S2:S248)</f>
        <v>#VALUE!</v>
      </c>
      <c r="T249" s="0" t="e">
        <f aca="false">SUM(T2:T248)</f>
        <v>#VALUE!</v>
      </c>
      <c r="U249" s="41" t="n">
        <f aca="false">SUM(U2:U248)</f>
        <v>1863</v>
      </c>
      <c r="V249" s="41" t="n">
        <f aca="false">SUM(V2:V248)</f>
        <v>5771</v>
      </c>
      <c r="W249" s="41" t="n">
        <f aca="false">SUM(W2:W248)</f>
        <v>2392</v>
      </c>
      <c r="X249" s="41" t="n">
        <f aca="false">SUM(X2:X248)</f>
        <v>726</v>
      </c>
      <c r="Y249" s="41" t="n">
        <f aca="false">SUM(U249:X249)</f>
        <v>10752</v>
      </c>
    </row>
    <row r="253" customFormat="false" ht="12.75" hidden="false" customHeight="false" outlineLevel="0" collapsed="false">
      <c r="A253" s="0" t="n">
        <v>200110</v>
      </c>
      <c r="B253" s="0" t="s">
        <v>273</v>
      </c>
      <c r="C253" s="0" t="s">
        <v>48</v>
      </c>
      <c r="D253" s="0" t="n">
        <v>1059901</v>
      </c>
      <c r="E253" s="0" t="s">
        <v>46</v>
      </c>
      <c r="F253" s="21" t="n">
        <v>37224</v>
      </c>
      <c r="G253" s="21" t="n">
        <v>37225</v>
      </c>
      <c r="H253" s="0" t="s">
        <v>490</v>
      </c>
      <c r="I253" s="0" t="s">
        <v>491</v>
      </c>
      <c r="J253" s="0" t="n">
        <v>26</v>
      </c>
      <c r="K253" s="0" t="n">
        <v>28</v>
      </c>
      <c r="L253" s="23"/>
      <c r="M253" s="30"/>
      <c r="N253" s="0"/>
      <c r="O253" s="0"/>
      <c r="P253" s="0"/>
      <c r="Q253" s="0"/>
      <c r="W253" s="33"/>
      <c r="X253" s="33"/>
      <c r="AB253" s="0"/>
      <c r="AC253" s="0"/>
    </row>
    <row r="254" customFormat="false" ht="12.75" hidden="false" customHeight="false" outlineLevel="0" collapsed="false">
      <c r="A254" s="0" t="n">
        <v>200110</v>
      </c>
      <c r="B254" s="0" t="s">
        <v>273</v>
      </c>
      <c r="C254" s="0" t="s">
        <v>236</v>
      </c>
      <c r="D254" s="0" t="n">
        <v>3508401</v>
      </c>
      <c r="E254" s="0" t="s">
        <v>233</v>
      </c>
      <c r="F254" s="21" t="n">
        <v>37225</v>
      </c>
      <c r="G254" s="21" t="n">
        <v>37225</v>
      </c>
      <c r="H254" s="0" t="s">
        <v>490</v>
      </c>
      <c r="I254" s="0" t="s">
        <v>491</v>
      </c>
      <c r="J254" s="0" t="n">
        <v>2</v>
      </c>
      <c r="K254" s="0" t="n">
        <v>2</v>
      </c>
      <c r="L254" s="23"/>
      <c r="M254" s="30"/>
      <c r="N254" s="0"/>
      <c r="O254" s="0"/>
      <c r="P254" s="0"/>
      <c r="Q254" s="0"/>
      <c r="W254" s="33"/>
      <c r="X254" s="33"/>
      <c r="AB254" s="0"/>
      <c r="AC254" s="0"/>
    </row>
    <row r="255" customFormat="false" ht="12.75" hidden="false" customHeight="false" outlineLevel="0" collapsed="false">
      <c r="A255" s="0" t="n">
        <v>200110</v>
      </c>
      <c r="B255" s="0" t="s">
        <v>273</v>
      </c>
      <c r="C255" s="0" t="s">
        <v>73</v>
      </c>
      <c r="D255" s="0" t="n">
        <v>3549701</v>
      </c>
      <c r="E255" s="0" t="s">
        <v>46</v>
      </c>
      <c r="F255" s="21" t="n">
        <v>37224</v>
      </c>
      <c r="G255" s="21" t="n">
        <v>37225</v>
      </c>
      <c r="H255" s="0" t="s">
        <v>490</v>
      </c>
      <c r="I255" s="0" t="s">
        <v>491</v>
      </c>
      <c r="J255" s="0" t="n">
        <v>14</v>
      </c>
      <c r="K255" s="0" t="n">
        <v>15</v>
      </c>
      <c r="L255" s="23"/>
      <c r="M255" s="30"/>
      <c r="N255" s="0"/>
      <c r="O255" s="0"/>
      <c r="P255" s="0"/>
      <c r="Q255" s="0"/>
      <c r="W255" s="33"/>
      <c r="X255" s="33"/>
      <c r="AB255" s="0"/>
      <c r="AC255" s="0"/>
    </row>
    <row r="256" customFormat="false" ht="12.75" hidden="false" customHeight="false" outlineLevel="0" collapsed="false">
      <c r="A256" s="0" t="n">
        <v>200110</v>
      </c>
      <c r="B256" s="0" t="s">
        <v>273</v>
      </c>
      <c r="C256" s="0" t="s">
        <v>74</v>
      </c>
      <c r="D256" s="0" t="n">
        <v>3552201</v>
      </c>
      <c r="E256" s="0" t="s">
        <v>46</v>
      </c>
      <c r="F256" s="21" t="n">
        <v>37224</v>
      </c>
      <c r="G256" s="21" t="n">
        <v>37225</v>
      </c>
      <c r="H256" s="0" t="s">
        <v>490</v>
      </c>
      <c r="I256" s="0" t="s">
        <v>491</v>
      </c>
      <c r="J256" s="0" t="n">
        <v>2</v>
      </c>
      <c r="K256" s="0" t="n">
        <v>2</v>
      </c>
      <c r="L256" s="23"/>
      <c r="M256" s="30"/>
      <c r="N256" s="0"/>
      <c r="O256" s="0"/>
      <c r="P256" s="0"/>
      <c r="Q256" s="0"/>
      <c r="W256" s="33"/>
      <c r="X256" s="33"/>
      <c r="AB256" s="0"/>
      <c r="AC256" s="0"/>
    </row>
    <row r="257" customFormat="false" ht="12.75" hidden="false" customHeight="false" outlineLevel="0" collapsed="false">
      <c r="A257" s="0" t="n">
        <v>200110</v>
      </c>
      <c r="B257" s="0" t="s">
        <v>273</v>
      </c>
      <c r="C257" s="0" t="s">
        <v>255</v>
      </c>
      <c r="D257" s="0" t="n">
        <v>3565501</v>
      </c>
      <c r="E257" s="0" t="s">
        <v>459</v>
      </c>
      <c r="F257" s="21" t="n">
        <v>37225</v>
      </c>
      <c r="G257" s="21" t="n">
        <v>37225</v>
      </c>
      <c r="H257" s="0" t="s">
        <v>490</v>
      </c>
      <c r="I257" s="0" t="s">
        <v>491</v>
      </c>
      <c r="J257" s="0" t="n">
        <v>4</v>
      </c>
      <c r="K257" s="0" t="n">
        <v>4</v>
      </c>
      <c r="L257" s="23"/>
      <c r="M257" s="30"/>
      <c r="N257" s="0"/>
      <c r="O257" s="0"/>
      <c r="P257" s="0"/>
      <c r="Q257" s="0"/>
      <c r="W257" s="33"/>
      <c r="X257" s="33"/>
      <c r="AB257" s="0"/>
      <c r="AC257" s="0"/>
    </row>
    <row r="258" customFormat="false" ht="12.75" hidden="false" customHeight="false" outlineLevel="0" collapsed="false">
      <c r="A258" s="0" t="n">
        <v>200110</v>
      </c>
      <c r="B258" s="0" t="s">
        <v>273</v>
      </c>
      <c r="C258" s="0" t="s">
        <v>275</v>
      </c>
      <c r="D258" s="0" t="n">
        <v>3584401</v>
      </c>
      <c r="E258" s="0" t="s">
        <v>270</v>
      </c>
      <c r="F258" s="21" t="n">
        <v>37225</v>
      </c>
      <c r="G258" s="21" t="n">
        <v>37225</v>
      </c>
      <c r="H258" s="0" t="s">
        <v>490</v>
      </c>
      <c r="I258" s="0" t="s">
        <v>491</v>
      </c>
      <c r="J258" s="0" t="n">
        <v>1</v>
      </c>
      <c r="K258" s="0" t="n">
        <v>2</v>
      </c>
      <c r="L258" s="23"/>
      <c r="M258" s="30"/>
      <c r="N258" s="0"/>
      <c r="O258" s="0"/>
      <c r="P258" s="0"/>
      <c r="Q258" s="0"/>
      <c r="W258" s="33"/>
      <c r="X258" s="33"/>
      <c r="AB258" s="0"/>
      <c r="AC258" s="0"/>
    </row>
    <row r="259" customFormat="false" ht="12.75" hidden="false" customHeight="false" outlineLevel="0" collapsed="false">
      <c r="A259" s="0" t="n">
        <v>200110</v>
      </c>
      <c r="B259" s="0" t="s">
        <v>273</v>
      </c>
      <c r="C259" s="0" t="s">
        <v>258</v>
      </c>
      <c r="D259" s="0" t="n">
        <v>3585801</v>
      </c>
      <c r="E259" s="0" t="s">
        <v>459</v>
      </c>
      <c r="F259" s="21" t="n">
        <v>37106</v>
      </c>
      <c r="G259" s="21" t="n">
        <v>37134</v>
      </c>
      <c r="H259" s="0" t="s">
        <v>492</v>
      </c>
      <c r="I259" s="0" t="s">
        <v>493</v>
      </c>
      <c r="J259" s="0" t="n">
        <v>-44</v>
      </c>
      <c r="K259" s="0" t="n">
        <v>-55</v>
      </c>
      <c r="L259" s="23"/>
      <c r="M259" s="30"/>
      <c r="N259" s="0"/>
      <c r="O259" s="0"/>
      <c r="P259" s="0"/>
      <c r="Q259" s="0"/>
      <c r="W259" s="33"/>
      <c r="X259" s="33"/>
      <c r="AB259" s="0"/>
      <c r="AC259" s="0"/>
    </row>
    <row r="260" customFormat="false" ht="12.75" hidden="false" customHeight="false" outlineLevel="0" collapsed="false">
      <c r="A260" s="0" t="n">
        <v>200110</v>
      </c>
      <c r="B260" s="0" t="s">
        <v>273</v>
      </c>
      <c r="C260" s="0" t="s">
        <v>258</v>
      </c>
      <c r="D260" s="0" t="n">
        <v>3585801</v>
      </c>
      <c r="E260" s="0" t="s">
        <v>459</v>
      </c>
      <c r="F260" s="21" t="n">
        <v>37135</v>
      </c>
      <c r="G260" s="21" t="n">
        <v>37164</v>
      </c>
      <c r="H260" s="0" t="s">
        <v>492</v>
      </c>
      <c r="I260" s="0" t="s">
        <v>493</v>
      </c>
      <c r="J260" s="0" t="n">
        <v>-58</v>
      </c>
      <c r="K260" s="0" t="n">
        <v>-74</v>
      </c>
      <c r="L260" s="23"/>
      <c r="M260" s="30"/>
      <c r="N260" s="0"/>
      <c r="O260" s="0"/>
      <c r="P260" s="0"/>
      <c r="Q260" s="0"/>
      <c r="W260" s="33"/>
      <c r="X260" s="33"/>
      <c r="AB260" s="0"/>
      <c r="AC260" s="0"/>
    </row>
    <row r="261" customFormat="false" ht="12.75" hidden="false" customHeight="false" outlineLevel="0" collapsed="false">
      <c r="A261" s="0" t="n">
        <v>200110</v>
      </c>
      <c r="B261" s="0" t="s">
        <v>273</v>
      </c>
      <c r="C261" s="0" t="s">
        <v>258</v>
      </c>
      <c r="D261" s="0" t="n">
        <v>3585801</v>
      </c>
      <c r="E261" s="0" t="s">
        <v>459</v>
      </c>
      <c r="F261" s="21" t="n">
        <v>37165</v>
      </c>
      <c r="G261" s="21" t="n">
        <v>37195</v>
      </c>
      <c r="H261" s="0" t="s">
        <v>492</v>
      </c>
      <c r="I261" s="0" t="s">
        <v>493</v>
      </c>
      <c r="J261" s="0" t="n">
        <v>-46</v>
      </c>
      <c r="K261" s="0" t="n">
        <v>-59</v>
      </c>
      <c r="L261" s="23"/>
      <c r="M261" s="30"/>
      <c r="N261" s="0"/>
      <c r="O261" s="0"/>
      <c r="P261" s="0"/>
      <c r="Q261" s="0"/>
      <c r="W261" s="33"/>
      <c r="X261" s="33"/>
      <c r="AB261" s="0"/>
      <c r="AC261" s="0"/>
    </row>
    <row r="262" customFormat="false" ht="12.75" hidden="false" customHeight="false" outlineLevel="0" collapsed="false">
      <c r="A262" s="0" t="n">
        <v>200110</v>
      </c>
      <c r="B262" s="0" t="s">
        <v>273</v>
      </c>
      <c r="C262" s="0" t="s">
        <v>258</v>
      </c>
      <c r="D262" s="0" t="n">
        <v>3585801</v>
      </c>
      <c r="E262" s="0" t="s">
        <v>459</v>
      </c>
      <c r="F262" s="21" t="n">
        <v>37196</v>
      </c>
      <c r="G262" s="21" t="n">
        <v>37202</v>
      </c>
      <c r="H262" s="0" t="s">
        <v>492</v>
      </c>
      <c r="I262" s="0" t="s">
        <v>493</v>
      </c>
      <c r="J262" s="0" t="n">
        <v>-10</v>
      </c>
      <c r="K262" s="0" t="n">
        <v>-14</v>
      </c>
      <c r="L262" s="23"/>
      <c r="M262" s="30"/>
      <c r="N262" s="0"/>
      <c r="O262" s="0"/>
      <c r="P262" s="0"/>
      <c r="Q262" s="0"/>
      <c r="W262" s="33"/>
      <c r="X262" s="33"/>
      <c r="AB262" s="0"/>
      <c r="AC262" s="0"/>
    </row>
    <row r="263" customFormat="false" ht="12.75" hidden="false" customHeight="false" outlineLevel="0" collapsed="false">
      <c r="A263" s="0" t="n">
        <v>200110</v>
      </c>
      <c r="B263" s="0" t="s">
        <v>273</v>
      </c>
      <c r="C263" s="0" t="s">
        <v>146</v>
      </c>
      <c r="D263" s="0" t="s">
        <v>147</v>
      </c>
      <c r="E263" s="0" t="s">
        <v>452</v>
      </c>
      <c r="F263" s="21" t="n">
        <v>37196</v>
      </c>
      <c r="G263" s="21" t="n">
        <v>37225</v>
      </c>
      <c r="H263" s="0" t="s">
        <v>494</v>
      </c>
      <c r="I263" s="0" t="s">
        <v>495</v>
      </c>
      <c r="J263" s="0" t="n">
        <v>-49</v>
      </c>
      <c r="K263" s="0" t="n">
        <v>-52</v>
      </c>
      <c r="L263" s="23"/>
      <c r="M263" s="30"/>
      <c r="N263" s="0"/>
      <c r="O263" s="0"/>
      <c r="P263" s="0"/>
      <c r="Q263" s="0"/>
      <c r="W263" s="33"/>
      <c r="X263" s="33"/>
      <c r="AB263" s="0"/>
      <c r="AC263" s="0"/>
    </row>
    <row r="264" customFormat="false" ht="12.75" hidden="false" customHeight="false" outlineLevel="0" collapsed="false">
      <c r="A264" s="0" t="n">
        <v>200110</v>
      </c>
      <c r="B264" s="0" t="s">
        <v>273</v>
      </c>
      <c r="C264" s="0" t="s">
        <v>123</v>
      </c>
      <c r="D264" s="0" t="n">
        <v>4085901</v>
      </c>
      <c r="E264" s="0" t="s">
        <v>120</v>
      </c>
      <c r="F264" s="21" t="n">
        <v>37224</v>
      </c>
      <c r="G264" s="21" t="n">
        <v>37225</v>
      </c>
      <c r="H264" s="0" t="s">
        <v>490</v>
      </c>
      <c r="I264" s="0" t="s">
        <v>491</v>
      </c>
      <c r="J264" s="0" t="n">
        <v>8</v>
      </c>
      <c r="K264" s="0" t="n">
        <v>8</v>
      </c>
      <c r="L264" s="23"/>
      <c r="M264" s="30"/>
      <c r="N264" s="0"/>
      <c r="O264" s="0"/>
      <c r="P264" s="0"/>
      <c r="Q264" s="0"/>
      <c r="W264" s="33"/>
      <c r="X264" s="33"/>
      <c r="AB264" s="0"/>
      <c r="AC264" s="0"/>
    </row>
    <row r="265" customFormat="false" ht="12.75" hidden="false" customHeight="false" outlineLevel="0" collapsed="false">
      <c r="A265" s="0" t="n">
        <v>200110</v>
      </c>
      <c r="B265" s="0" t="s">
        <v>273</v>
      </c>
      <c r="C265" s="0" t="s">
        <v>168</v>
      </c>
      <c r="D265" s="0" t="n">
        <v>3294701</v>
      </c>
      <c r="E265" s="0" t="s">
        <v>167</v>
      </c>
      <c r="F265" s="21" t="n">
        <v>37225</v>
      </c>
      <c r="G265" s="21" t="n">
        <v>37225</v>
      </c>
      <c r="H265" s="0" t="s">
        <v>490</v>
      </c>
      <c r="I265" s="0" t="s">
        <v>491</v>
      </c>
      <c r="J265" s="0" t="n">
        <v>4</v>
      </c>
      <c r="K265" s="0" t="n">
        <v>5</v>
      </c>
      <c r="L265" s="23"/>
      <c r="M265" s="30"/>
      <c r="N265" s="0"/>
      <c r="O265" s="0"/>
      <c r="P265" s="0"/>
      <c r="Q265" s="0"/>
      <c r="W265" s="33"/>
      <c r="X265" s="33"/>
      <c r="AB265" s="0"/>
      <c r="AC265" s="0"/>
    </row>
    <row r="266" customFormat="false" ht="12.75" hidden="false" customHeight="false" outlineLevel="0" collapsed="false">
      <c r="A266" s="0" t="n">
        <v>200110</v>
      </c>
      <c r="B266" s="0" t="s">
        <v>273</v>
      </c>
      <c r="C266" s="0" t="s">
        <v>244</v>
      </c>
      <c r="D266" s="0" t="n">
        <v>4058801</v>
      </c>
      <c r="E266" s="0" t="s">
        <v>467</v>
      </c>
      <c r="F266" s="21" t="n">
        <v>37225</v>
      </c>
      <c r="G266" s="21" t="n">
        <v>37225</v>
      </c>
      <c r="H266" s="0" t="s">
        <v>490</v>
      </c>
      <c r="I266" s="0" t="s">
        <v>491</v>
      </c>
      <c r="J266" s="0" t="n">
        <v>9</v>
      </c>
      <c r="K266" s="0" t="n">
        <v>10</v>
      </c>
      <c r="L266" s="23"/>
      <c r="M266" s="30"/>
      <c r="N266" s="0"/>
      <c r="O266" s="0"/>
      <c r="P266" s="0"/>
      <c r="Q266" s="0"/>
      <c r="W266" s="33"/>
      <c r="X266" s="33"/>
      <c r="AB266" s="0"/>
      <c r="AC266" s="0"/>
    </row>
    <row r="267" customFormat="false" ht="12.75" hidden="false" customHeight="false" outlineLevel="0" collapsed="false">
      <c r="A267" s="0" t="n">
        <v>200110</v>
      </c>
      <c r="B267" s="0" t="s">
        <v>273</v>
      </c>
      <c r="C267" s="0" t="s">
        <v>407</v>
      </c>
      <c r="D267" s="0" t="n">
        <v>3234701</v>
      </c>
      <c r="E267" s="0" t="s">
        <v>406</v>
      </c>
      <c r="F267" s="21" t="n">
        <v>37186</v>
      </c>
      <c r="G267" s="21" t="n">
        <v>37195</v>
      </c>
      <c r="H267" s="0" t="s">
        <v>490</v>
      </c>
      <c r="I267" s="0" t="s">
        <v>491</v>
      </c>
      <c r="J267" s="0" t="n">
        <v>39</v>
      </c>
      <c r="K267" s="0" t="n">
        <v>50</v>
      </c>
      <c r="L267" s="23"/>
      <c r="M267" s="30"/>
      <c r="N267" s="0"/>
      <c r="O267" s="0"/>
      <c r="P267" s="0"/>
      <c r="Q267" s="0"/>
      <c r="W267" s="33"/>
      <c r="X267" s="33"/>
      <c r="AB267" s="0"/>
      <c r="AC267" s="0"/>
    </row>
    <row r="268" customFormat="false" ht="12.75" hidden="false" customHeight="false" outlineLevel="0" collapsed="false">
      <c r="A268" s="0" t="n">
        <v>200110</v>
      </c>
      <c r="B268" s="0" t="s">
        <v>273</v>
      </c>
      <c r="C268" s="0" t="s">
        <v>407</v>
      </c>
      <c r="D268" s="0" t="n">
        <v>3234701</v>
      </c>
      <c r="E268" s="0" t="s">
        <v>406</v>
      </c>
      <c r="F268" s="21" t="n">
        <v>37196</v>
      </c>
      <c r="G268" s="21" t="n">
        <v>37219</v>
      </c>
      <c r="H268" s="0" t="s">
        <v>490</v>
      </c>
      <c r="I268" s="0" t="s">
        <v>491</v>
      </c>
      <c r="J268" s="0" t="n">
        <v>66</v>
      </c>
      <c r="K268" s="0" t="n">
        <v>88</v>
      </c>
      <c r="L268" s="23"/>
      <c r="M268" s="30"/>
      <c r="N268" s="0"/>
      <c r="O268" s="0"/>
      <c r="P268" s="0"/>
      <c r="Q268" s="0"/>
      <c r="W268" s="33"/>
      <c r="X268" s="33"/>
      <c r="AB268" s="0"/>
      <c r="AC268" s="0"/>
    </row>
    <row r="269" customFormat="false" ht="12.75" hidden="false" customHeight="false" outlineLevel="0" collapsed="false">
      <c r="A269" s="0" t="n">
        <v>200110</v>
      </c>
      <c r="B269" s="0" t="s">
        <v>273</v>
      </c>
      <c r="C269" s="0" t="s">
        <v>242</v>
      </c>
      <c r="D269" s="0" t="n">
        <v>4043501</v>
      </c>
      <c r="E269" s="0" t="s">
        <v>467</v>
      </c>
      <c r="F269" s="21" t="n">
        <v>37225</v>
      </c>
      <c r="G269" s="21" t="n">
        <v>37225</v>
      </c>
      <c r="H269" s="0" t="s">
        <v>490</v>
      </c>
      <c r="I269" s="0" t="s">
        <v>491</v>
      </c>
      <c r="J269" s="0" t="n">
        <v>5</v>
      </c>
      <c r="K269" s="0" t="n">
        <v>6</v>
      </c>
      <c r="L269" s="23"/>
      <c r="M269" s="30"/>
      <c r="N269" s="0"/>
      <c r="O269" s="0"/>
      <c r="P269" s="0"/>
      <c r="Q269" s="0"/>
      <c r="W269" s="33"/>
      <c r="X269" s="33"/>
      <c r="AB269" s="0"/>
      <c r="AC269" s="0"/>
    </row>
    <row r="270" customFormat="false" ht="12.75" hidden="false" customHeight="false" outlineLevel="0" collapsed="false">
      <c r="A270" s="0" t="n">
        <v>200110</v>
      </c>
      <c r="B270" s="0" t="s">
        <v>273</v>
      </c>
      <c r="C270" s="0" t="s">
        <v>55</v>
      </c>
      <c r="D270" s="0" t="n">
        <v>3024701</v>
      </c>
      <c r="E270" s="0" t="s">
        <v>46</v>
      </c>
      <c r="F270" s="21" t="n">
        <v>37224</v>
      </c>
      <c r="G270" s="21" t="n">
        <v>37225</v>
      </c>
      <c r="H270" s="0" t="s">
        <v>490</v>
      </c>
      <c r="I270" s="0" t="s">
        <v>491</v>
      </c>
      <c r="J270" s="0" t="n">
        <v>2</v>
      </c>
      <c r="K270" s="0" t="n">
        <v>3</v>
      </c>
      <c r="L270" s="23"/>
      <c r="M270" s="30"/>
      <c r="N270" s="0"/>
      <c r="O270" s="0"/>
      <c r="P270" s="0"/>
      <c r="Q270" s="0"/>
      <c r="W270" s="33"/>
      <c r="X270" s="33"/>
      <c r="AB270" s="0"/>
      <c r="AC270" s="0"/>
    </row>
    <row r="271" customFormat="false" ht="12.75" hidden="false" customHeight="false" outlineLevel="0" collapsed="false">
      <c r="A271" s="0" t="n">
        <v>200110</v>
      </c>
      <c r="B271" s="0" t="s">
        <v>273</v>
      </c>
      <c r="C271" s="0" t="s">
        <v>57</v>
      </c>
      <c r="D271" s="0" t="n">
        <v>3025701</v>
      </c>
      <c r="E271" s="0" t="s">
        <v>46</v>
      </c>
      <c r="F271" s="21" t="n">
        <v>37225</v>
      </c>
      <c r="G271" s="21" t="n">
        <v>37225</v>
      </c>
      <c r="H271" s="0" t="s">
        <v>490</v>
      </c>
      <c r="I271" s="0" t="s">
        <v>491</v>
      </c>
      <c r="J271" s="0" t="n">
        <v>4</v>
      </c>
      <c r="K271" s="0" t="n">
        <v>5</v>
      </c>
      <c r="L271" s="23"/>
      <c r="M271" s="30"/>
      <c r="N271" s="0"/>
      <c r="O271" s="0"/>
      <c r="P271" s="0"/>
      <c r="Q271" s="0"/>
      <c r="W271" s="33"/>
      <c r="X271" s="33"/>
      <c r="AB271" s="0"/>
      <c r="AC271" s="0"/>
    </row>
    <row r="272" customFormat="false" ht="12.75" hidden="false" customHeight="false" outlineLevel="0" collapsed="false">
      <c r="A272" s="0" t="n">
        <v>200110</v>
      </c>
      <c r="B272" s="0" t="s">
        <v>273</v>
      </c>
      <c r="C272" s="0" t="s">
        <v>317</v>
      </c>
      <c r="D272" s="0" t="n">
        <v>4017601</v>
      </c>
      <c r="E272" s="0" t="s">
        <v>315</v>
      </c>
      <c r="F272" s="21" t="n">
        <v>37225</v>
      </c>
      <c r="G272" s="21" t="n">
        <v>37225</v>
      </c>
      <c r="H272" s="0" t="s">
        <v>490</v>
      </c>
      <c r="I272" s="0" t="s">
        <v>491</v>
      </c>
      <c r="J272" s="0" t="n">
        <v>12</v>
      </c>
      <c r="K272" s="0" t="n">
        <v>15</v>
      </c>
      <c r="L272" s="23"/>
      <c r="M272" s="30"/>
      <c r="N272" s="0"/>
      <c r="O272" s="0"/>
      <c r="P272" s="0"/>
      <c r="Q272" s="0"/>
      <c r="W272" s="33"/>
      <c r="X272" s="33"/>
      <c r="AB272" s="0"/>
      <c r="AC272" s="0"/>
    </row>
    <row r="273" customFormat="false" ht="12.75" hidden="false" customHeight="false" outlineLevel="0" collapsed="false">
      <c r="A273" s="0" t="n">
        <v>200110</v>
      </c>
      <c r="B273" s="0" t="s">
        <v>273</v>
      </c>
      <c r="C273" s="0" t="s">
        <v>314</v>
      </c>
      <c r="D273" s="0" t="n">
        <v>4004301</v>
      </c>
      <c r="E273" s="0" t="s">
        <v>315</v>
      </c>
      <c r="F273" s="21" t="n">
        <v>37225</v>
      </c>
      <c r="G273" s="21" t="n">
        <v>37225</v>
      </c>
      <c r="H273" s="0" t="s">
        <v>490</v>
      </c>
      <c r="I273" s="0" t="s">
        <v>491</v>
      </c>
      <c r="J273" s="0" t="n">
        <v>9</v>
      </c>
      <c r="K273" s="0" t="n">
        <v>11</v>
      </c>
      <c r="L273" s="23"/>
      <c r="M273" s="30"/>
      <c r="N273" s="0"/>
      <c r="O273" s="0"/>
      <c r="P273" s="0"/>
      <c r="Q273" s="0"/>
      <c r="W273" s="33"/>
      <c r="X273" s="33"/>
      <c r="AB273" s="0"/>
      <c r="AC273" s="0"/>
    </row>
    <row r="274" customFormat="false" ht="12.75" hidden="false" customHeight="false" outlineLevel="0" collapsed="false">
      <c r="A274" s="0" t="n">
        <v>200110</v>
      </c>
      <c r="B274" s="0" t="s">
        <v>273</v>
      </c>
      <c r="C274" s="0" t="s">
        <v>323</v>
      </c>
      <c r="D274" s="0" t="n">
        <v>4075401</v>
      </c>
      <c r="E274" s="0" t="s">
        <v>315</v>
      </c>
      <c r="F274" s="21" t="n">
        <v>37225</v>
      </c>
      <c r="G274" s="21" t="n">
        <v>37225</v>
      </c>
      <c r="H274" s="0" t="s">
        <v>490</v>
      </c>
      <c r="I274" s="0" t="s">
        <v>491</v>
      </c>
      <c r="J274" s="0" t="n">
        <v>13</v>
      </c>
      <c r="K274" s="0" t="n">
        <v>15</v>
      </c>
      <c r="L274" s="23"/>
      <c r="M274" s="30"/>
      <c r="N274" s="0"/>
      <c r="O274" s="0"/>
      <c r="P274" s="0"/>
      <c r="Q274" s="0"/>
      <c r="W274" s="33"/>
      <c r="X274" s="33"/>
      <c r="AB274" s="0"/>
      <c r="AC274" s="0"/>
    </row>
    <row r="275" customFormat="false" ht="12.75" hidden="false" customHeight="false" outlineLevel="0" collapsed="false">
      <c r="A275" s="0" t="n">
        <v>200110</v>
      </c>
      <c r="B275" s="0" t="s">
        <v>273</v>
      </c>
      <c r="C275" s="0" t="s">
        <v>322</v>
      </c>
      <c r="D275" s="0" t="n">
        <v>4065201</v>
      </c>
      <c r="E275" s="0" t="s">
        <v>315</v>
      </c>
      <c r="F275" s="21" t="n">
        <v>37225</v>
      </c>
      <c r="G275" s="21" t="n">
        <v>37225</v>
      </c>
      <c r="H275" s="0" t="s">
        <v>490</v>
      </c>
      <c r="I275" s="0" t="s">
        <v>491</v>
      </c>
      <c r="J275" s="0" t="n">
        <v>16</v>
      </c>
      <c r="K275" s="0" t="n">
        <v>19</v>
      </c>
      <c r="L275" s="23"/>
      <c r="M275" s="30"/>
      <c r="N275" s="0"/>
      <c r="O275" s="0"/>
      <c r="P275" s="0"/>
      <c r="Q275" s="0"/>
      <c r="W275" s="33"/>
      <c r="X275" s="33"/>
      <c r="AB275" s="0"/>
      <c r="AC275" s="0"/>
    </row>
    <row r="276" customFormat="false" ht="12.75" hidden="false" customHeight="false" outlineLevel="0" collapsed="false">
      <c r="A276" s="0" t="n">
        <v>200110</v>
      </c>
      <c r="B276" s="0" t="s">
        <v>273</v>
      </c>
      <c r="C276" s="0" t="s">
        <v>63</v>
      </c>
      <c r="D276" s="0" t="n">
        <v>3031301</v>
      </c>
      <c r="E276" s="0" t="s">
        <v>46</v>
      </c>
      <c r="F276" s="21" t="n">
        <v>37224</v>
      </c>
      <c r="G276" s="21" t="n">
        <v>37225</v>
      </c>
      <c r="H276" s="0" t="s">
        <v>490</v>
      </c>
      <c r="I276" s="0" t="s">
        <v>491</v>
      </c>
      <c r="J276" s="0" t="n">
        <v>20</v>
      </c>
      <c r="K276" s="0" t="n">
        <v>22</v>
      </c>
      <c r="L276" s="23"/>
      <c r="M276" s="30"/>
      <c r="N276" s="0"/>
      <c r="O276" s="0"/>
      <c r="P276" s="0"/>
      <c r="Q276" s="0"/>
      <c r="W276" s="33"/>
      <c r="X276" s="33"/>
      <c r="AB276" s="0"/>
      <c r="AC276" s="0"/>
    </row>
    <row r="277" customFormat="false" ht="12.75" hidden="false" customHeight="false" outlineLevel="0" collapsed="false">
      <c r="A277" s="0" t="n">
        <v>200110</v>
      </c>
      <c r="B277" s="0" t="s">
        <v>273</v>
      </c>
      <c r="C277" s="0" t="s">
        <v>271</v>
      </c>
      <c r="D277" s="0" t="n">
        <v>3223401</v>
      </c>
      <c r="E277" s="0" t="s">
        <v>453</v>
      </c>
      <c r="F277" s="21" t="n">
        <v>37225</v>
      </c>
      <c r="G277" s="21" t="n">
        <v>37225</v>
      </c>
      <c r="H277" s="0" t="s">
        <v>490</v>
      </c>
      <c r="I277" s="0" t="s">
        <v>491</v>
      </c>
      <c r="J277" s="0" t="n">
        <v>1</v>
      </c>
      <c r="K277" s="0" t="n">
        <v>2</v>
      </c>
      <c r="L277" s="23"/>
      <c r="M277" s="30"/>
      <c r="N277" s="0"/>
      <c r="O277" s="0"/>
      <c r="P277" s="0"/>
      <c r="Q277" s="0"/>
      <c r="W277" s="33"/>
      <c r="X277" s="33"/>
      <c r="AB277" s="0"/>
      <c r="AC277" s="0"/>
    </row>
    <row r="278" customFormat="false" ht="12.75" hidden="false" customHeight="false" outlineLevel="0" collapsed="false">
      <c r="A278" s="0" t="n">
        <v>200110</v>
      </c>
      <c r="B278" s="0" t="s">
        <v>273</v>
      </c>
      <c r="C278" s="0" t="s">
        <v>198</v>
      </c>
      <c r="D278" s="0" t="n">
        <v>4023601</v>
      </c>
      <c r="E278" s="0" t="s">
        <v>36</v>
      </c>
      <c r="F278" s="21" t="n">
        <v>37200</v>
      </c>
      <c r="G278" s="21" t="n">
        <v>37225</v>
      </c>
      <c r="H278" s="0" t="s">
        <v>490</v>
      </c>
      <c r="I278" s="0" t="s">
        <v>491</v>
      </c>
      <c r="J278" s="0" t="n">
        <v>185</v>
      </c>
      <c r="K278" s="0" t="n">
        <v>210</v>
      </c>
      <c r="L278" s="23"/>
      <c r="M278" s="30"/>
      <c r="N278" s="0"/>
      <c r="O278" s="0"/>
      <c r="P278" s="0"/>
      <c r="Q278" s="0"/>
      <c r="W278" s="33"/>
      <c r="X278" s="33"/>
      <c r="AB278" s="0"/>
      <c r="AC278" s="0"/>
    </row>
    <row r="279" customFormat="false" ht="12.75" hidden="false" customHeight="false" outlineLevel="0" collapsed="false">
      <c r="A279" s="0" t="n">
        <v>200110</v>
      </c>
      <c r="B279" s="0" t="s">
        <v>273</v>
      </c>
      <c r="C279" s="0" t="s">
        <v>76</v>
      </c>
      <c r="D279" s="0" t="n">
        <v>3013701</v>
      </c>
      <c r="E279" s="0" t="s">
        <v>454</v>
      </c>
      <c r="F279" s="21" t="n">
        <v>37196</v>
      </c>
      <c r="G279" s="21" t="n">
        <v>37225</v>
      </c>
      <c r="H279" s="0" t="s">
        <v>490</v>
      </c>
      <c r="I279" s="0" t="s">
        <v>491</v>
      </c>
      <c r="J279" s="0" t="n">
        <v>34</v>
      </c>
      <c r="K279" s="0" t="n">
        <v>60</v>
      </c>
      <c r="L279" s="23"/>
      <c r="M279" s="30"/>
      <c r="N279" s="0"/>
      <c r="O279" s="0"/>
      <c r="P279" s="0"/>
      <c r="Q279" s="0"/>
      <c r="W279" s="33"/>
      <c r="X279" s="33"/>
      <c r="AB279" s="0"/>
      <c r="AC279" s="0"/>
    </row>
    <row r="280" customFormat="false" ht="12.75" hidden="false" customHeight="false" outlineLevel="0" collapsed="false">
      <c r="A280" s="0" t="n">
        <v>200110</v>
      </c>
      <c r="B280" s="0" t="s">
        <v>273</v>
      </c>
      <c r="C280" s="0" t="s">
        <v>441</v>
      </c>
      <c r="D280" s="0" t="n">
        <v>4244501</v>
      </c>
      <c r="E280" s="0" t="s">
        <v>440</v>
      </c>
      <c r="F280" s="21" t="n">
        <v>37225</v>
      </c>
      <c r="G280" s="21" t="n">
        <v>37225</v>
      </c>
      <c r="H280" s="0" t="s">
        <v>490</v>
      </c>
      <c r="I280" s="0" t="s">
        <v>491</v>
      </c>
      <c r="J280" s="0" t="n">
        <v>6</v>
      </c>
      <c r="K280" s="0" t="n">
        <v>7</v>
      </c>
      <c r="L280" s="23"/>
      <c r="M280" s="30"/>
      <c r="N280" s="0"/>
      <c r="O280" s="0"/>
      <c r="P280" s="0"/>
      <c r="Q280" s="0"/>
      <c r="W280" s="33"/>
      <c r="X280" s="33"/>
      <c r="AB280" s="0"/>
      <c r="AC280" s="0"/>
    </row>
    <row r="281" customFormat="false" ht="12.75" hidden="false" customHeight="false" outlineLevel="0" collapsed="false">
      <c r="A281" s="0" t="n">
        <v>200110</v>
      </c>
      <c r="B281" s="0" t="s">
        <v>273</v>
      </c>
      <c r="C281" s="0" t="s">
        <v>232</v>
      </c>
      <c r="D281" s="0" t="n">
        <v>3427001</v>
      </c>
      <c r="E281" s="0" t="s">
        <v>233</v>
      </c>
      <c r="F281" s="21" t="n">
        <v>37225</v>
      </c>
      <c r="G281" s="21" t="n">
        <v>37225</v>
      </c>
      <c r="H281" s="0" t="s">
        <v>490</v>
      </c>
      <c r="I281" s="0" t="s">
        <v>491</v>
      </c>
      <c r="J281" s="0" t="n">
        <v>9</v>
      </c>
      <c r="K281" s="0" t="n">
        <v>11</v>
      </c>
      <c r="L281" s="23"/>
      <c r="M281" s="30"/>
      <c r="N281" s="0"/>
      <c r="O281" s="0"/>
      <c r="P281" s="0"/>
      <c r="Q281" s="0"/>
      <c r="W281" s="33"/>
      <c r="X281" s="33"/>
      <c r="AB281" s="0"/>
      <c r="AC281" s="0"/>
    </row>
    <row r="282" customFormat="false" ht="12.75" hidden="false" customHeight="false" outlineLevel="0" collapsed="false">
      <c r="A282" s="0" t="n">
        <v>200110</v>
      </c>
      <c r="B282" s="0" t="s">
        <v>273</v>
      </c>
      <c r="C282" s="0" t="s">
        <v>412</v>
      </c>
      <c r="D282" s="0" t="n">
        <v>4324601</v>
      </c>
      <c r="E282" s="0" t="s">
        <v>413</v>
      </c>
      <c r="F282" s="21" t="n">
        <v>37225</v>
      </c>
      <c r="G282" s="21" t="n">
        <v>37225</v>
      </c>
      <c r="H282" s="0" t="s">
        <v>490</v>
      </c>
      <c r="I282" s="0" t="s">
        <v>491</v>
      </c>
      <c r="J282" s="0" t="n">
        <v>4</v>
      </c>
      <c r="K282" s="0" t="n">
        <v>5</v>
      </c>
      <c r="L282" s="23"/>
      <c r="M282" s="30"/>
      <c r="N282" s="0"/>
      <c r="O282" s="0"/>
      <c r="P282" s="0"/>
      <c r="Q282" s="0"/>
      <c r="W282" s="33"/>
      <c r="X282" s="33"/>
      <c r="AB282" s="0"/>
      <c r="AC282" s="0"/>
    </row>
    <row r="283" customFormat="false" ht="12.75" hidden="false" customHeight="false" outlineLevel="0" collapsed="false">
      <c r="A283" s="0" t="n">
        <v>200110</v>
      </c>
      <c r="B283" s="0" t="s">
        <v>273</v>
      </c>
      <c r="C283" s="0" t="s">
        <v>375</v>
      </c>
      <c r="D283" s="0" t="n">
        <v>3410301</v>
      </c>
      <c r="E283" s="0" t="s">
        <v>456</v>
      </c>
      <c r="F283" s="21" t="n">
        <v>37137</v>
      </c>
      <c r="G283" s="21" t="n">
        <v>37164</v>
      </c>
      <c r="H283" s="0" t="s">
        <v>490</v>
      </c>
      <c r="I283" s="0" t="s">
        <v>491</v>
      </c>
      <c r="J283" s="0" t="n">
        <v>84</v>
      </c>
      <c r="K283" s="0" t="n">
        <v>125</v>
      </c>
      <c r="L283" s="23"/>
      <c r="M283" s="30"/>
      <c r="N283" s="0"/>
      <c r="O283" s="0"/>
      <c r="P283" s="0"/>
      <c r="Q283" s="0"/>
      <c r="W283" s="33"/>
      <c r="X283" s="33"/>
      <c r="AB283" s="0"/>
      <c r="AC283" s="0"/>
    </row>
    <row r="284" customFormat="false" ht="12.75" hidden="false" customHeight="false" outlineLevel="0" collapsed="false">
      <c r="A284" s="0" t="n">
        <v>200110</v>
      </c>
      <c r="B284" s="0" t="s">
        <v>273</v>
      </c>
      <c r="C284" s="0" t="s">
        <v>375</v>
      </c>
      <c r="D284" s="0" t="n">
        <v>3410301</v>
      </c>
      <c r="E284" s="0" t="s">
        <v>456</v>
      </c>
      <c r="F284" s="21" t="n">
        <v>37165</v>
      </c>
      <c r="G284" s="21" t="n">
        <v>37195</v>
      </c>
      <c r="H284" s="0" t="s">
        <v>490</v>
      </c>
      <c r="I284" s="0" t="s">
        <v>491</v>
      </c>
      <c r="J284" s="0" t="n">
        <v>93</v>
      </c>
      <c r="K284" s="0" t="n">
        <v>124</v>
      </c>
      <c r="L284" s="24"/>
      <c r="M284" s="30"/>
      <c r="N284" s="23"/>
      <c r="O284" s="0"/>
      <c r="P284" s="0"/>
      <c r="Q284" s="0"/>
      <c r="AB284" s="0"/>
      <c r="AC284" s="0"/>
    </row>
    <row r="285" customFormat="false" ht="12.75" hidden="false" customHeight="false" outlineLevel="0" collapsed="false">
      <c r="A285" s="0" t="n">
        <v>200110</v>
      </c>
      <c r="B285" s="0" t="s">
        <v>273</v>
      </c>
      <c r="C285" s="0" t="s">
        <v>375</v>
      </c>
      <c r="D285" s="0" t="n">
        <v>3410301</v>
      </c>
      <c r="E285" s="0" t="s">
        <v>456</v>
      </c>
      <c r="F285" s="21" t="n">
        <v>37196</v>
      </c>
      <c r="G285" s="21" t="n">
        <v>37225</v>
      </c>
      <c r="H285" s="0" t="s">
        <v>490</v>
      </c>
      <c r="I285" s="0" t="s">
        <v>491</v>
      </c>
      <c r="J285" s="0" t="n">
        <v>90</v>
      </c>
      <c r="K285" s="0" t="n">
        <v>120</v>
      </c>
      <c r="L285" s="24"/>
      <c r="M285" s="30"/>
      <c r="N285" s="23"/>
      <c r="O285" s="0"/>
      <c r="P285" s="0"/>
      <c r="Q285" s="0"/>
      <c r="AB285" s="0"/>
      <c r="AC285" s="0"/>
    </row>
    <row r="286" customFormat="false" ht="12.75" hidden="false" customHeight="false" outlineLevel="0" collapsed="false">
      <c r="A286" s="0" t="n">
        <v>200110</v>
      </c>
      <c r="B286" s="0" t="s">
        <v>487</v>
      </c>
      <c r="C286" s="0" t="s">
        <v>269</v>
      </c>
      <c r="D286" s="0" t="n">
        <v>3124201</v>
      </c>
      <c r="E286" s="0" t="s">
        <v>453</v>
      </c>
      <c r="F286" s="21" t="n">
        <v>37225</v>
      </c>
      <c r="G286" s="21" t="n">
        <v>37225</v>
      </c>
      <c r="H286" s="0" t="s">
        <v>490</v>
      </c>
      <c r="I286" s="0" t="s">
        <v>491</v>
      </c>
      <c r="J286" s="0" t="n">
        <v>41</v>
      </c>
      <c r="K286" s="0" t="n">
        <v>49</v>
      </c>
      <c r="L286" s="24"/>
      <c r="M286" s="30"/>
      <c r="N286" s="23"/>
      <c r="O286" s="0"/>
      <c r="P286" s="0"/>
      <c r="Q286" s="0"/>
      <c r="AB286" s="0"/>
      <c r="AC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1"/>
      <c r="G287" s="1"/>
      <c r="H287" s="0"/>
      <c r="AB287" s="0"/>
      <c r="AC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1"/>
      <c r="G288" s="1"/>
      <c r="H288" s="0"/>
      <c r="AB288" s="0"/>
      <c r="AC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1"/>
      <c r="G289" s="1"/>
      <c r="H289" s="0"/>
      <c r="AB289" s="0"/>
      <c r="AC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1"/>
      <c r="G290" s="1"/>
      <c r="H290" s="0"/>
      <c r="AB290" s="0"/>
      <c r="AC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1"/>
      <c r="G291" s="1"/>
      <c r="H291" s="0"/>
      <c r="AB291" s="0"/>
      <c r="AC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1"/>
      <c r="G292" s="1"/>
      <c r="H292" s="0"/>
      <c r="AB292" s="0"/>
      <c r="AC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1"/>
      <c r="G293" s="1"/>
      <c r="H293" s="0"/>
      <c r="AB293" s="0"/>
      <c r="AC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1"/>
      <c r="G294" s="1"/>
      <c r="H294" s="0"/>
      <c r="AB294" s="0"/>
      <c r="AC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1"/>
      <c r="G295" s="1"/>
      <c r="H295" s="0"/>
      <c r="AB295" s="0"/>
      <c r="AC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1"/>
      <c r="G296" s="1"/>
      <c r="H296" s="0"/>
      <c r="AB296" s="0"/>
      <c r="AC296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8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3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4" topLeftCell="BM8" activePane="bottomLeft" state="frozen"/>
      <selection pane="topLeft" activeCell="A1" activeCellId="0" sqref="A1"/>
      <selection pane="bottomLeft" activeCell="R4" activeCellId="0" sqref="R4:R33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42" width="16.84"/>
    <col collapsed="false" customWidth="true" hidden="false" outlineLevel="0" max="3" min="3" style="0" width="9.56"/>
    <col collapsed="false" customWidth="true" hidden="false" outlineLevel="0" max="4" min="4" style="14" width="16.28"/>
    <col collapsed="false" customWidth="true" hidden="false" outlineLevel="0" max="5" min="5" style="43" width="8.7"/>
    <col collapsed="false" customWidth="true" hidden="true" outlineLevel="0" max="6" min="6" style="14" width="7.28"/>
    <col collapsed="false" customWidth="true" hidden="true" outlineLevel="0" max="7" min="7" style="44" width="7.42"/>
    <col collapsed="false" customWidth="true" hidden="true" outlineLevel="0" max="8" min="8" style="23" width="3.28"/>
    <col collapsed="false" customWidth="true" hidden="false" outlineLevel="0" max="9" min="9" style="23" width="12.56"/>
    <col collapsed="false" customWidth="true" hidden="false" outlineLevel="0" max="10" min="10" style="23" width="4.41"/>
    <col collapsed="false" customWidth="true" hidden="true" outlineLevel="0" max="11" min="11" style="14" width="8.56"/>
    <col collapsed="false" customWidth="true" hidden="false" outlineLevel="0" max="12" min="12" style="45" width="9.56"/>
    <col collapsed="false" customWidth="true" hidden="false" outlineLevel="0" max="13" min="13" style="0" width="8.99"/>
    <col collapsed="false" customWidth="true" hidden="true" outlineLevel="0" max="14" min="14" style="0" width="9.14"/>
    <col collapsed="false" customWidth="true" hidden="true" outlineLevel="0" max="15" min="15" style="14" width="6.7"/>
    <col collapsed="false" customWidth="true" hidden="true" outlineLevel="0" max="16" min="16" style="46" width="8.28"/>
    <col collapsed="false" customWidth="true" hidden="false" outlineLevel="0" max="17" min="17" style="47" width="11.28"/>
    <col collapsed="false" customWidth="true" hidden="false" outlineLevel="0" max="18" min="18" style="47" width="1.56"/>
    <col collapsed="false" customWidth="true" hidden="false" outlineLevel="0" max="19" min="19" style="47" width="11.28"/>
    <col collapsed="false" customWidth="true" hidden="false" outlineLevel="0" max="20" min="20" style="48" width="11.28"/>
    <col collapsed="false" customWidth="true" hidden="false" outlineLevel="0" max="21" min="21" style="47" width="11.28"/>
    <col collapsed="false" customWidth="true" hidden="false" outlineLevel="0" max="22" min="22" style="48" width="11.28"/>
    <col collapsed="false" customWidth="true" hidden="false" outlineLevel="0" max="23" min="23" style="49" width="11.28"/>
    <col collapsed="false" customWidth="true" hidden="false" outlineLevel="0" max="24" min="24" style="47" width="11.28"/>
    <col collapsed="false" customWidth="true" hidden="false" outlineLevel="0" max="25" min="25" style="50" width="8.85"/>
    <col collapsed="false" customWidth="true" hidden="false" outlineLevel="0" max="27" min="27" style="0" width="4.28"/>
    <col collapsed="false" customWidth="true" hidden="false" outlineLevel="0" max="28" min="28" style="0" width="8.28"/>
  </cols>
  <sheetData>
    <row r="1" customFormat="false" ht="15" hidden="false" customHeight="true" outlineLevel="0" collapsed="false">
      <c r="A1" s="51" t="s">
        <v>496</v>
      </c>
      <c r="B1" s="52"/>
      <c r="C1" s="53"/>
      <c r="D1" s="53"/>
      <c r="E1" s="54"/>
      <c r="F1" s="53"/>
      <c r="G1" s="55"/>
      <c r="H1" s="56"/>
      <c r="I1" s="56"/>
      <c r="J1" s="56"/>
      <c r="K1" s="57"/>
      <c r="L1" s="58"/>
      <c r="M1" s="59" t="n">
        <v>37226</v>
      </c>
      <c r="N1" s="53"/>
      <c r="O1" s="57"/>
      <c r="P1" s="58"/>
      <c r="Q1" s="60"/>
      <c r="R1" s="61"/>
      <c r="S1" s="61"/>
      <c r="T1" s="62"/>
      <c r="U1" s="61"/>
      <c r="V1" s="62"/>
      <c r="W1" s="63"/>
      <c r="X1" s="61"/>
      <c r="AA1" s="34" t="s">
        <v>450</v>
      </c>
      <c r="AB1" s="34" t="n">
        <v>0.0228</v>
      </c>
      <c r="AC1" s="34" t="n">
        <v>0.0706</v>
      </c>
      <c r="AD1" s="34" t="n">
        <v>0.03</v>
      </c>
      <c r="AE1" s="34" t="n">
        <v>0.0091</v>
      </c>
      <c r="AF1" s="64" t="n">
        <v>0.1325</v>
      </c>
    </row>
    <row r="2" customFormat="false" ht="15" hidden="false" customHeight="true" outlineLevel="0" collapsed="false">
      <c r="A2" s="65" t="s">
        <v>497</v>
      </c>
      <c r="B2" s="66"/>
      <c r="C2" s="66"/>
      <c r="D2" s="66"/>
      <c r="E2" s="67"/>
      <c r="F2" s="68"/>
      <c r="G2" s="55"/>
      <c r="H2" s="56"/>
      <c r="I2" s="56"/>
      <c r="J2" s="56"/>
      <c r="K2" s="57"/>
      <c r="L2" s="69" t="n">
        <v>2.42</v>
      </c>
      <c r="M2" s="57" t="s">
        <v>498</v>
      </c>
      <c r="N2" s="53"/>
      <c r="O2" s="57"/>
      <c r="P2" s="69" t="n">
        <v>2.42</v>
      </c>
      <c r="Q2" s="60"/>
      <c r="R2" s="61"/>
      <c r="S2" s="61"/>
      <c r="T2" s="62"/>
      <c r="U2" s="61"/>
      <c r="V2" s="62"/>
      <c r="W2" s="63"/>
      <c r="X2" s="61"/>
      <c r="AA2" s="34" t="s">
        <v>451</v>
      </c>
      <c r="AB2" s="34" t="n">
        <v>0.0228</v>
      </c>
      <c r="AC2" s="34" t="n">
        <v>0.0706</v>
      </c>
      <c r="AD2" s="34" t="n">
        <v>0</v>
      </c>
      <c r="AE2" s="34" t="n">
        <v>0</v>
      </c>
      <c r="AF2" s="64" t="n">
        <v>0.0934</v>
      </c>
    </row>
    <row r="3" customFormat="false" ht="15" hidden="false" customHeight="true" outlineLevel="0" collapsed="false">
      <c r="A3" s="53"/>
      <c r="B3" s="52"/>
      <c r="C3" s="53"/>
      <c r="D3" s="53"/>
      <c r="E3" s="54"/>
      <c r="F3" s="53"/>
      <c r="G3" s="55"/>
      <c r="H3" s="56"/>
      <c r="I3" s="56"/>
      <c r="J3" s="56"/>
      <c r="K3" s="57"/>
      <c r="L3" s="69" t="n">
        <v>2.4</v>
      </c>
      <c r="M3" s="57" t="s">
        <v>499</v>
      </c>
      <c r="N3" s="53"/>
      <c r="O3" s="70" t="s">
        <v>500</v>
      </c>
      <c r="P3" s="69" t="n">
        <v>2.4</v>
      </c>
      <c r="Q3" s="60"/>
      <c r="R3" s="61"/>
      <c r="S3" s="61"/>
      <c r="T3" s="62"/>
      <c r="U3" s="61"/>
      <c r="V3" s="62"/>
      <c r="W3" s="63"/>
      <c r="X3" s="61"/>
      <c r="AA3" s="34" t="s">
        <v>446</v>
      </c>
      <c r="AB3" s="34" t="n">
        <v>0</v>
      </c>
      <c r="AC3" s="34" t="n">
        <v>0</v>
      </c>
      <c r="AD3" s="34" t="n">
        <v>0.03</v>
      </c>
      <c r="AE3" s="34" t="n">
        <v>0.0091</v>
      </c>
      <c r="AF3" s="64" t="n">
        <v>0.0391</v>
      </c>
    </row>
    <row r="4" customFormat="false" ht="15" hidden="false" customHeight="true" outlineLevel="0" collapsed="false">
      <c r="A4" s="71" t="s">
        <v>0</v>
      </c>
      <c r="B4" s="71" t="s">
        <v>1</v>
      </c>
      <c r="C4" s="71" t="s">
        <v>2</v>
      </c>
      <c r="D4" s="6" t="s">
        <v>3</v>
      </c>
      <c r="E4" s="72" t="s">
        <v>501</v>
      </c>
      <c r="F4" s="71" t="s">
        <v>502</v>
      </c>
      <c r="G4" s="71" t="s">
        <v>503</v>
      </c>
      <c r="H4" s="71" t="s">
        <v>504</v>
      </c>
      <c r="I4" s="71" t="s">
        <v>505</v>
      </c>
      <c r="J4" s="71"/>
      <c r="K4" s="57" t="s">
        <v>506</v>
      </c>
      <c r="L4" s="58" t="s">
        <v>507</v>
      </c>
      <c r="M4" s="57" t="s">
        <v>508</v>
      </c>
      <c r="N4" s="53"/>
      <c r="O4" s="70" t="s">
        <v>509</v>
      </c>
      <c r="P4" s="73" t="s">
        <v>510</v>
      </c>
      <c r="Q4" s="60" t="s">
        <v>511</v>
      </c>
      <c r="R4" s="74"/>
      <c r="S4" s="60" t="s">
        <v>512</v>
      </c>
      <c r="T4" s="75" t="s">
        <v>513</v>
      </c>
      <c r="U4" s="60" t="s">
        <v>514</v>
      </c>
      <c r="V4" s="75" t="s">
        <v>515</v>
      </c>
      <c r="W4" s="76" t="s">
        <v>516</v>
      </c>
      <c r="X4" s="61"/>
      <c r="AA4" s="34" t="s">
        <v>449</v>
      </c>
      <c r="AB4" s="34" t="n">
        <v>0</v>
      </c>
      <c r="AC4" s="34" t="n">
        <v>0</v>
      </c>
      <c r="AD4" s="34" t="n">
        <v>0</v>
      </c>
      <c r="AE4" s="34" t="n">
        <v>0</v>
      </c>
      <c r="AF4" s="64" t="n">
        <v>0</v>
      </c>
    </row>
    <row r="5" customFormat="false" ht="15" hidden="false" customHeight="true" outlineLevel="0" collapsed="false">
      <c r="A5" s="4" t="s">
        <v>5</v>
      </c>
      <c r="B5" s="77" t="s">
        <v>6</v>
      </c>
      <c r="C5" s="4" t="n">
        <v>3326301</v>
      </c>
      <c r="D5" s="4" t="s">
        <v>7</v>
      </c>
      <c r="E5" s="72" t="s">
        <v>517</v>
      </c>
      <c r="F5" s="4"/>
      <c r="G5" s="78" t="n">
        <v>129</v>
      </c>
      <c r="H5" s="78" t="s">
        <v>518</v>
      </c>
      <c r="I5" s="78" t="s">
        <v>519</v>
      </c>
      <c r="J5" s="79" t="str">
        <f aca="false">IF(ISNA(VLOOKUP(B5,cngdata,7,FALSE())),"na",VLOOKUP(B5,cngdata,7,FALSE()))</f>
        <v>GW</v>
      </c>
      <c r="K5" s="79" t="n">
        <f aca="false">IF(ISNA(VLOOKUP(B5,cngdata,13,FALSE())),"na",VLOOKUP(B5,cngdata,13,FALSE()))</f>
        <v>0</v>
      </c>
      <c r="L5" s="80" t="n">
        <f aca="false">$L$3*98%</f>
        <v>2.352</v>
      </c>
      <c r="M5" s="79" t="n">
        <f aca="false">IF(ISNA(VLOOKUP(B5,cngdata,14,FALSE())),0,VLOOKUP(B5,cngdata,14,FALSE()))</f>
        <v>0</v>
      </c>
      <c r="N5" s="78"/>
      <c r="O5" s="81" t="n">
        <v>0</v>
      </c>
      <c r="P5" s="82" t="n">
        <f aca="false">L5-O5</f>
        <v>2.352</v>
      </c>
      <c r="Q5" s="83" t="n">
        <f aca="false">M5*P5</f>
        <v>0</v>
      </c>
      <c r="R5" s="74"/>
      <c r="S5" s="79" t="n">
        <f aca="false">IF(ISNA(VLOOKUP(B5,SplitVol,5,FALSE())),0,VLOOKUP(B5,SplitVol,5,FALSE()))</f>
        <v>0</v>
      </c>
      <c r="T5" s="84" t="n">
        <f aca="false">+S5*L5</f>
        <v>0</v>
      </c>
      <c r="U5" s="79" t="n">
        <f aca="false">IF(ISNA(VLOOKUP(B5,SplitVol,6,FALSE())),0,VLOOKUP(B5,SplitVol,6,FALSE()))</f>
        <v>0</v>
      </c>
      <c r="V5" s="84" t="n">
        <f aca="false">+U5*L5</f>
        <v>0</v>
      </c>
      <c r="W5" s="85" t="str">
        <f aca="false">IF(ISBLANK(VLOOKUP(B5,EffDate,4,FALSE())),"na",VLOOKUP(B5,EffDate,4,FALSE()))</f>
        <v>na</v>
      </c>
      <c r="X5" s="86" t="n">
        <f aca="false">+M5-S5-U5</f>
        <v>0</v>
      </c>
      <c r="AA5" s="34" t="s">
        <v>520</v>
      </c>
      <c r="AB5" s="34" t="n">
        <v>0</v>
      </c>
      <c r="AC5" s="34" t="n">
        <v>0</v>
      </c>
      <c r="AD5" s="34" t="n">
        <v>0</v>
      </c>
      <c r="AE5" s="34" t="n">
        <v>0</v>
      </c>
      <c r="AF5" s="64" t="n">
        <v>0</v>
      </c>
    </row>
    <row r="6" customFormat="false" ht="15" hidden="false" customHeight="true" outlineLevel="0" collapsed="false">
      <c r="A6" s="78" t="s">
        <v>8</v>
      </c>
      <c r="B6" s="78" t="s">
        <v>421</v>
      </c>
      <c r="C6" s="78" t="n">
        <v>3564701</v>
      </c>
      <c r="D6" s="4" t="s">
        <v>419</v>
      </c>
      <c r="E6" s="72" t="s">
        <v>517</v>
      </c>
      <c r="F6" s="87" t="s">
        <v>521</v>
      </c>
      <c r="G6" s="88" t="n">
        <v>306954</v>
      </c>
      <c r="H6" s="88" t="n">
        <v>96029563</v>
      </c>
      <c r="I6" s="89" t="s">
        <v>522</v>
      </c>
      <c r="J6" s="79" t="str">
        <f aca="false">IF(ISNA(VLOOKUP(B6,cngdata,7,FALSE())),"na",VLOOKUP(B6,cngdata,7,FALSE()))</f>
        <v>GW</v>
      </c>
      <c r="K6" s="79" t="e">
        <f aca="false">IF(ISNA(VLOOKUP(B6,cngdata,13,FALSE())),"na",VLOOKUP(B6,cngdata,13,FALSE()))</f>
        <v>#VALUE!</v>
      </c>
      <c r="L6" s="80" t="n">
        <f aca="false">$L$2*0.98</f>
        <v>2.3716</v>
      </c>
      <c r="M6" s="79" t="n">
        <f aca="false">IF(ISNA(VLOOKUP(B6,cngdata,14,FALSE())),0,VLOOKUP(B6,cngdata,14,FALSE()))</f>
        <v>0</v>
      </c>
      <c r="O6" s="81" t="n">
        <v>0</v>
      </c>
      <c r="P6" s="82" t="n">
        <f aca="false">L6-O6</f>
        <v>2.3716</v>
      </c>
      <c r="Q6" s="83" t="n">
        <f aca="false">M6*P6</f>
        <v>0</v>
      </c>
      <c r="R6" s="74"/>
      <c r="S6" s="79" t="n">
        <f aca="false">IF(ISNA(VLOOKUP(B6,SplitVol,5,FALSE())),0,VLOOKUP(B6,SplitVol,5,FALSE()))</f>
        <v>0</v>
      </c>
      <c r="T6" s="84" t="n">
        <f aca="false">+S6*L6</f>
        <v>0</v>
      </c>
      <c r="U6" s="79" t="n">
        <f aca="false">IF(ISNA(VLOOKUP(B6,SplitVol,6,FALSE())),0,VLOOKUP(B6,SplitVol,6,FALSE()))</f>
        <v>0</v>
      </c>
      <c r="V6" s="84" t="n">
        <f aca="false">+U6*L6</f>
        <v>0</v>
      </c>
      <c r="W6" s="85" t="str">
        <f aca="false">IF(ISBLANK(VLOOKUP(B6,EffDate,4,FALSE())),"na",VLOOKUP(B6,EffDate,4,FALSE()))</f>
        <v>na</v>
      </c>
      <c r="X6" s="86" t="n">
        <f aca="false">+M6-S6-U6</f>
        <v>0</v>
      </c>
    </row>
    <row r="7" customFormat="false" ht="15" hidden="false" customHeight="true" outlineLevel="0" collapsed="false">
      <c r="A7" s="78" t="s">
        <v>8</v>
      </c>
      <c r="B7" s="78" t="s">
        <v>423</v>
      </c>
      <c r="C7" s="78" t="n">
        <v>3564801</v>
      </c>
      <c r="D7" s="4" t="s">
        <v>419</v>
      </c>
      <c r="E7" s="72" t="s">
        <v>517</v>
      </c>
      <c r="F7" s="87" t="s">
        <v>521</v>
      </c>
      <c r="G7" s="88" t="n">
        <v>306954</v>
      </c>
      <c r="H7" s="88" t="n">
        <v>96029563</v>
      </c>
      <c r="I7" s="89" t="s">
        <v>522</v>
      </c>
      <c r="J7" s="79" t="str">
        <f aca="false">IF(ISNA(VLOOKUP(B7,cngdata,7,FALSE())),"na",VLOOKUP(B7,cngdata,7,FALSE()))</f>
        <v>GW</v>
      </c>
      <c r="K7" s="79" t="e">
        <f aca="false">IF(ISNA(VLOOKUP(B7,cngdata,13,FALSE())),"na",VLOOKUP(B7,cngdata,13,FALSE()))</f>
        <v>#VALUE!</v>
      </c>
      <c r="L7" s="80" t="n">
        <f aca="false">$L$2*0.98</f>
        <v>2.3716</v>
      </c>
      <c r="M7" s="79" t="n">
        <f aca="false">IF(ISNA(VLOOKUP(B7,cngdata,14,FALSE())),0,VLOOKUP(B7,cngdata,14,FALSE()))</f>
        <v>0</v>
      </c>
      <c r="O7" s="81" t="n">
        <v>0</v>
      </c>
      <c r="P7" s="82" t="n">
        <f aca="false">L7-O7</f>
        <v>2.3716</v>
      </c>
      <c r="Q7" s="83" t="n">
        <f aca="false">M7*P7</f>
        <v>0</v>
      </c>
      <c r="R7" s="74"/>
      <c r="S7" s="79" t="n">
        <f aca="false">IF(ISNA(VLOOKUP(B7,SplitVol,5,FALSE())),0,VLOOKUP(B7,SplitVol,5,FALSE()))</f>
        <v>0</v>
      </c>
      <c r="T7" s="84" t="n">
        <f aca="false">+S7*L7</f>
        <v>0</v>
      </c>
      <c r="U7" s="79" t="n">
        <f aca="false">IF(ISNA(VLOOKUP(B7,SplitVol,6,FALSE())),0,VLOOKUP(B7,SplitVol,6,FALSE()))</f>
        <v>0</v>
      </c>
      <c r="V7" s="84" t="n">
        <f aca="false">+U7*L7</f>
        <v>0</v>
      </c>
      <c r="W7" s="85" t="str">
        <f aca="false">IF(ISBLANK(VLOOKUP(B7,EffDate,4,FALSE())),"na",VLOOKUP(B7,EffDate,4,FALSE()))</f>
        <v>na</v>
      </c>
      <c r="X7" s="86" t="n">
        <f aca="false">+M7-S7-U7</f>
        <v>0</v>
      </c>
    </row>
    <row r="8" customFormat="false" ht="15" hidden="false" customHeight="true" outlineLevel="0" collapsed="false">
      <c r="A8" s="78" t="s">
        <v>8</v>
      </c>
      <c r="B8" s="78" t="s">
        <v>9</v>
      </c>
      <c r="C8" s="88" t="n">
        <v>3505301</v>
      </c>
      <c r="D8" s="90" t="s">
        <v>10</v>
      </c>
      <c r="E8" s="91" t="n">
        <v>37257</v>
      </c>
      <c r="F8" s="78" t="s">
        <v>10</v>
      </c>
      <c r="G8" s="88" t="n">
        <v>243624</v>
      </c>
      <c r="H8" s="88"/>
      <c r="I8" s="89" t="s">
        <v>523</v>
      </c>
      <c r="J8" s="79" t="str">
        <f aca="false">IF(ISNA(VLOOKUP(B8,cngdata,7,FALSE())),"na",VLOOKUP(B8,cngdata,7,FALSE()))</f>
        <v>GW</v>
      </c>
      <c r="K8" s="79" t="n">
        <f aca="false">IF(ISNA(VLOOKUP(B8,cngdata,13,FALSE())),"na",VLOOKUP(B8,cngdata,13,FALSE()))</f>
        <v>852</v>
      </c>
      <c r="L8" s="80" t="n">
        <f aca="false">$L$2</f>
        <v>2.42</v>
      </c>
      <c r="M8" s="79" t="n">
        <f aca="false">IF(ISNA(VLOOKUP(B8,cngdata,14,FALSE())),0,VLOOKUP(B8,cngdata,14,FALSE()))</f>
        <v>1019</v>
      </c>
      <c r="O8" s="81" t="n">
        <v>0</v>
      </c>
      <c r="P8" s="82" t="n">
        <f aca="false">L8-O8</f>
        <v>2.42</v>
      </c>
      <c r="Q8" s="83" t="n">
        <f aca="false">M8*P8</f>
        <v>2465.98</v>
      </c>
      <c r="R8" s="74"/>
      <c r="S8" s="79" t="n">
        <f aca="false">IF(ISNA(VLOOKUP(B8,SplitVol,5,FALSE())),0,VLOOKUP(B8,SplitVol,5,FALSE()))</f>
        <v>64</v>
      </c>
      <c r="T8" s="84" t="n">
        <f aca="false">+S8*L8</f>
        <v>154.88</v>
      </c>
      <c r="U8" s="79" t="n">
        <f aca="false">IF(ISNA(VLOOKUP(B8,SplitVol,6,FALSE())),0,VLOOKUP(B8,SplitVol,6,FALSE()))</f>
        <v>955</v>
      </c>
      <c r="V8" s="84" t="n">
        <f aca="false">+U8*L8</f>
        <v>2311.1</v>
      </c>
      <c r="W8" s="85" t="n">
        <f aca="false">IF(ISBLANK(VLOOKUP(B8,EffDate,4,FALSE())),"na",VLOOKUP(B8,EffDate,4,FALSE()))</f>
        <v>37257</v>
      </c>
      <c r="X8" s="86" t="n">
        <f aca="false">+M8-S8-U8</f>
        <v>0</v>
      </c>
    </row>
    <row r="9" customFormat="false" ht="15" hidden="false" customHeight="true" outlineLevel="0" collapsed="false">
      <c r="A9" s="78" t="s">
        <v>8</v>
      </c>
      <c r="B9" s="78" t="s">
        <v>20</v>
      </c>
      <c r="C9" s="88" t="n">
        <v>3540501</v>
      </c>
      <c r="D9" s="90" t="s">
        <v>10</v>
      </c>
      <c r="E9" s="91" t="n">
        <v>37257</v>
      </c>
      <c r="F9" s="78" t="s">
        <v>10</v>
      </c>
      <c r="G9" s="88" t="n">
        <v>243624</v>
      </c>
      <c r="H9" s="88"/>
      <c r="I9" s="89" t="s">
        <v>523</v>
      </c>
      <c r="J9" s="79" t="str">
        <f aca="false">IF(ISNA(VLOOKUP(B9,cngdata,7,FALSE())),"na",VLOOKUP(B9,cngdata,7,FALSE()))</f>
        <v>GW</v>
      </c>
      <c r="K9" s="79" t="n">
        <f aca="false">IF(ISNA(VLOOKUP(B9,cngdata,13,FALSE())),"na",VLOOKUP(B9,cngdata,13,FALSE()))</f>
        <v>1818</v>
      </c>
      <c r="L9" s="80" t="n">
        <f aca="false">$L$2</f>
        <v>2.42</v>
      </c>
      <c r="M9" s="79" t="n">
        <f aca="false">IF(ISNA(VLOOKUP(B9,cngdata,14,FALSE())),0,VLOOKUP(B9,cngdata,14,FALSE()))</f>
        <v>2233</v>
      </c>
      <c r="O9" s="81" t="n">
        <v>0</v>
      </c>
      <c r="P9" s="82" t="n">
        <f aca="false">L9-O9</f>
        <v>2.42</v>
      </c>
      <c r="Q9" s="83" t="n">
        <f aca="false">M9*P9</f>
        <v>5403.86</v>
      </c>
      <c r="R9" s="74"/>
      <c r="S9" s="79" t="n">
        <f aca="false">IF(ISNA(VLOOKUP(B9,SplitVol,5,FALSE())),0,VLOOKUP(B9,SplitVol,5,FALSE()))</f>
        <v>170</v>
      </c>
      <c r="T9" s="84" t="n">
        <f aca="false">+S9*L9</f>
        <v>411.4</v>
      </c>
      <c r="U9" s="79" t="n">
        <f aca="false">IF(ISNA(VLOOKUP(B9,SplitVol,6,FALSE())),0,VLOOKUP(B9,SplitVol,6,FALSE()))</f>
        <v>2063</v>
      </c>
      <c r="V9" s="84" t="n">
        <f aca="false">+U9*L9</f>
        <v>4992.46</v>
      </c>
      <c r="W9" s="85" t="n">
        <f aca="false">IF(ISBLANK(VLOOKUP(B9,EffDate,4,FALSE())),"na",VLOOKUP(B9,EffDate,4,FALSE()))</f>
        <v>37257</v>
      </c>
      <c r="X9" s="86" t="n">
        <f aca="false">+M9-S9-U9</f>
        <v>0</v>
      </c>
    </row>
    <row r="10" customFormat="false" ht="15" hidden="false" customHeight="true" outlineLevel="0" collapsed="false">
      <c r="A10" s="78" t="s">
        <v>8</v>
      </c>
      <c r="B10" s="78" t="s">
        <v>18</v>
      </c>
      <c r="C10" s="88" t="n">
        <v>3529101</v>
      </c>
      <c r="D10" s="90" t="s">
        <v>10</v>
      </c>
      <c r="E10" s="91" t="n">
        <v>37257</v>
      </c>
      <c r="F10" s="78" t="s">
        <v>10</v>
      </c>
      <c r="G10" s="88" t="n">
        <v>243624</v>
      </c>
      <c r="H10" s="88"/>
      <c r="I10" s="89" t="s">
        <v>523</v>
      </c>
      <c r="J10" s="79" t="str">
        <f aca="false">IF(ISNA(VLOOKUP(B10,cngdata,7,FALSE())),"na",VLOOKUP(B10,cngdata,7,FALSE()))</f>
        <v>GW</v>
      </c>
      <c r="K10" s="79" t="n">
        <f aca="false">IF(ISNA(VLOOKUP(B10,cngdata,13,FALSE())),"na",VLOOKUP(B10,cngdata,13,FALSE()))</f>
        <v>309</v>
      </c>
      <c r="L10" s="80" t="n">
        <f aca="false">$L$2</f>
        <v>2.42</v>
      </c>
      <c r="M10" s="79" t="n">
        <f aca="false">IF(ISNA(VLOOKUP(B10,cngdata,14,FALSE())),0,VLOOKUP(B10,cngdata,14,FALSE()))</f>
        <v>383</v>
      </c>
      <c r="O10" s="81" t="n">
        <v>0</v>
      </c>
      <c r="P10" s="82" t="n">
        <f aca="false">L10-O10</f>
        <v>2.42</v>
      </c>
      <c r="Q10" s="83" t="n">
        <f aca="false">M10*P10</f>
        <v>926.86</v>
      </c>
      <c r="R10" s="74"/>
      <c r="S10" s="79" t="n">
        <f aca="false">IF(ISNA(VLOOKUP(B10,SplitVol,5,FALSE())),0,VLOOKUP(B10,SplitVol,5,FALSE()))</f>
        <v>29</v>
      </c>
      <c r="T10" s="84" t="n">
        <f aca="false">+S10*L10</f>
        <v>70.18</v>
      </c>
      <c r="U10" s="79" t="n">
        <f aca="false">IF(ISNA(VLOOKUP(B10,SplitVol,6,FALSE())),0,VLOOKUP(B10,SplitVol,6,FALSE()))+1</f>
        <v>354</v>
      </c>
      <c r="V10" s="84" t="n">
        <f aca="false">+U10*L10</f>
        <v>856.68</v>
      </c>
      <c r="W10" s="85" t="n">
        <f aca="false">IF(ISBLANK(VLOOKUP(B10,EffDate,4,FALSE())),"na",VLOOKUP(B10,EffDate,4,FALSE()))</f>
        <v>37257</v>
      </c>
      <c r="X10" s="86" t="n">
        <f aca="false">+M10-S10-U10</f>
        <v>0</v>
      </c>
    </row>
    <row r="11" customFormat="false" ht="15" hidden="false" customHeight="true" outlineLevel="0" collapsed="false">
      <c r="A11" s="78" t="s">
        <v>8</v>
      </c>
      <c r="B11" s="78" t="s">
        <v>11</v>
      </c>
      <c r="C11" s="88" t="n">
        <v>3511801</v>
      </c>
      <c r="D11" s="90" t="s">
        <v>10</v>
      </c>
      <c r="E11" s="91" t="n">
        <v>37257</v>
      </c>
      <c r="F11" s="78" t="s">
        <v>10</v>
      </c>
      <c r="G11" s="88" t="n">
        <v>243624</v>
      </c>
      <c r="H11" s="88"/>
      <c r="I11" s="89" t="s">
        <v>523</v>
      </c>
      <c r="J11" s="79" t="str">
        <f aca="false">IF(ISNA(VLOOKUP(B11,cngdata,7,FALSE())),"na",VLOOKUP(B11,cngdata,7,FALSE()))</f>
        <v>GW</v>
      </c>
      <c r="K11" s="79" t="n">
        <f aca="false">IF(ISNA(VLOOKUP(B11,cngdata,13,FALSE())),"na",VLOOKUP(B11,cngdata,13,FALSE()))</f>
        <v>896</v>
      </c>
      <c r="L11" s="80" t="n">
        <f aca="false">$L$2</f>
        <v>2.42</v>
      </c>
      <c r="M11" s="79" t="n">
        <f aca="false">IF(ISNA(VLOOKUP(B11,cngdata,14,FALSE())),0,VLOOKUP(B11,cngdata,14,FALSE()))</f>
        <v>1188</v>
      </c>
      <c r="O11" s="81" t="n">
        <v>0</v>
      </c>
      <c r="P11" s="82" t="n">
        <f aca="false">L11-O11</f>
        <v>2.42</v>
      </c>
      <c r="Q11" s="83" t="n">
        <f aca="false">M11*P11</f>
        <v>2874.96</v>
      </c>
      <c r="R11" s="74"/>
      <c r="S11" s="79" t="n">
        <f aca="false">IF(ISNA(VLOOKUP(B11,SplitVol,5,FALSE())),0,VLOOKUP(B11,SplitVol,5,FALSE()))</f>
        <v>71</v>
      </c>
      <c r="T11" s="84" t="n">
        <f aca="false">+S11*L11</f>
        <v>171.82</v>
      </c>
      <c r="U11" s="79" t="n">
        <f aca="false">IF(ISNA(VLOOKUP(B11,SplitVol,6,FALSE())),0,VLOOKUP(B11,SplitVol,6,FALSE()))</f>
        <v>1117</v>
      </c>
      <c r="V11" s="84" t="n">
        <f aca="false">+U11*L11</f>
        <v>2703.14</v>
      </c>
      <c r="W11" s="85" t="n">
        <f aca="false">IF(ISBLANK(VLOOKUP(B11,EffDate,4,FALSE())),"na",VLOOKUP(B11,EffDate,4,FALSE()))</f>
        <v>37257</v>
      </c>
      <c r="X11" s="86" t="n">
        <f aca="false">+M11-S11-U11</f>
        <v>0</v>
      </c>
    </row>
    <row r="12" customFormat="false" ht="15" hidden="false" customHeight="true" outlineLevel="0" collapsed="false">
      <c r="A12" s="78" t="s">
        <v>8</v>
      </c>
      <c r="B12" s="78" t="s">
        <v>16</v>
      </c>
      <c r="C12" s="88" t="n">
        <v>3528901</v>
      </c>
      <c r="D12" s="90" t="s">
        <v>10</v>
      </c>
      <c r="E12" s="91" t="n">
        <v>37257</v>
      </c>
      <c r="F12" s="78" t="s">
        <v>10</v>
      </c>
      <c r="G12" s="88" t="n">
        <v>243624</v>
      </c>
      <c r="H12" s="88"/>
      <c r="I12" s="89" t="s">
        <v>523</v>
      </c>
      <c r="J12" s="79" t="str">
        <f aca="false">IF(ISNA(VLOOKUP(B12,cngdata,7,FALSE())),"na",VLOOKUP(B12,cngdata,7,FALSE()))</f>
        <v>GW</v>
      </c>
      <c r="K12" s="79" t="n">
        <f aca="false">IF(ISNA(VLOOKUP(B12,cngdata,13,FALSE())),"na",VLOOKUP(B12,cngdata,13,FALSE()))</f>
        <v>1354</v>
      </c>
      <c r="L12" s="80" t="n">
        <f aca="false">$L$2</f>
        <v>2.42</v>
      </c>
      <c r="M12" s="79" t="n">
        <f aca="false">IF(ISNA(VLOOKUP(B12,cngdata,14,FALSE())),0,VLOOKUP(B12,cngdata,14,FALSE()))</f>
        <v>1731</v>
      </c>
      <c r="O12" s="81" t="n">
        <v>0</v>
      </c>
      <c r="P12" s="82" t="n">
        <f aca="false">L12-O12</f>
        <v>2.42</v>
      </c>
      <c r="Q12" s="83" t="n">
        <f aca="false">M12*P12</f>
        <v>4189.02</v>
      </c>
      <c r="R12" s="74"/>
      <c r="S12" s="79" t="n">
        <f aca="false">IF(ISNA(VLOOKUP(B12,SplitVol,5,FALSE())),0,VLOOKUP(B12,SplitVol,5,FALSE()))</f>
        <v>113</v>
      </c>
      <c r="T12" s="84" t="n">
        <f aca="false">+S12*L12</f>
        <v>273.46</v>
      </c>
      <c r="U12" s="79" t="n">
        <f aca="false">IF(ISNA(VLOOKUP(B12,SplitVol,6,FALSE())),0,VLOOKUP(B12,SplitVol,6,FALSE()))</f>
        <v>1618</v>
      </c>
      <c r="V12" s="84" t="n">
        <f aca="false">+U12*L12</f>
        <v>3915.56</v>
      </c>
      <c r="W12" s="85" t="n">
        <f aca="false">IF(ISBLANK(VLOOKUP(B12,EffDate,4,FALSE())),"na",VLOOKUP(B12,EffDate,4,FALSE()))</f>
        <v>37257</v>
      </c>
      <c r="X12" s="86" t="n">
        <f aca="false">+M12-S12-U12</f>
        <v>0</v>
      </c>
    </row>
    <row r="13" customFormat="false" ht="15" hidden="false" customHeight="true" outlineLevel="0" collapsed="false">
      <c r="A13" s="78" t="s">
        <v>8</v>
      </c>
      <c r="B13" s="78" t="s">
        <v>13</v>
      </c>
      <c r="C13" s="88" t="n">
        <v>3517001</v>
      </c>
      <c r="D13" s="90" t="s">
        <v>10</v>
      </c>
      <c r="E13" s="91" t="n">
        <v>37257</v>
      </c>
      <c r="F13" s="78" t="s">
        <v>10</v>
      </c>
      <c r="G13" s="88" t="n">
        <v>243624</v>
      </c>
      <c r="H13" s="88"/>
      <c r="I13" s="89" t="s">
        <v>523</v>
      </c>
      <c r="J13" s="79" t="str">
        <f aca="false">IF(ISNA(VLOOKUP(B13,cngdata,7,FALSE())),"na",VLOOKUP(B13,cngdata,7,FALSE()))</f>
        <v>GW</v>
      </c>
      <c r="K13" s="79" t="n">
        <f aca="false">IF(ISNA(VLOOKUP(B13,cngdata,13,FALSE())),"na",VLOOKUP(B13,cngdata,13,FALSE()))</f>
        <v>736</v>
      </c>
      <c r="L13" s="80" t="n">
        <f aca="false">$L$2</f>
        <v>2.42</v>
      </c>
      <c r="M13" s="79" t="n">
        <f aca="false">IF(ISNA(VLOOKUP(B13,cngdata,14,FALSE())),0,VLOOKUP(B13,cngdata,14,FALSE()))</f>
        <v>917</v>
      </c>
      <c r="O13" s="81" t="n">
        <v>0</v>
      </c>
      <c r="P13" s="82" t="n">
        <f aca="false">L13-O13</f>
        <v>2.42</v>
      </c>
      <c r="Q13" s="83" t="n">
        <f aca="false">M13*P13</f>
        <v>2219.14</v>
      </c>
      <c r="R13" s="74"/>
      <c r="S13" s="79" t="n">
        <f aca="false">IF(ISNA(VLOOKUP(B13,SplitVol,5,FALSE())),0,VLOOKUP(B13,SplitVol,5,FALSE()))</f>
        <v>64</v>
      </c>
      <c r="T13" s="84" t="n">
        <f aca="false">+S13*L13</f>
        <v>154.88</v>
      </c>
      <c r="U13" s="79" t="n">
        <f aca="false">IF(ISNA(VLOOKUP(B13,SplitVol,6,FALSE())),0,VLOOKUP(B13,SplitVol,6,FALSE()))</f>
        <v>853</v>
      </c>
      <c r="V13" s="84" t="n">
        <f aca="false">+U13*L13</f>
        <v>2064.26</v>
      </c>
      <c r="W13" s="85" t="n">
        <f aca="false">IF(ISBLANK(VLOOKUP(B13,EffDate,4,FALSE())),"na",VLOOKUP(B13,EffDate,4,FALSE()))</f>
        <v>37257</v>
      </c>
      <c r="X13" s="86" t="n">
        <f aca="false">+M13-S13-U13</f>
        <v>0</v>
      </c>
    </row>
    <row r="14" customFormat="false" ht="15" hidden="false" customHeight="true" outlineLevel="0" collapsed="false">
      <c r="A14" s="78" t="s">
        <v>8</v>
      </c>
      <c r="B14" s="78" t="s">
        <v>14</v>
      </c>
      <c r="C14" s="88" t="n">
        <v>3522201</v>
      </c>
      <c r="D14" s="90" t="s">
        <v>10</v>
      </c>
      <c r="E14" s="91" t="n">
        <v>37257</v>
      </c>
      <c r="F14" s="78" t="s">
        <v>10</v>
      </c>
      <c r="G14" s="88" t="n">
        <v>243624</v>
      </c>
      <c r="H14" s="88"/>
      <c r="I14" s="89" t="s">
        <v>523</v>
      </c>
      <c r="J14" s="79" t="str">
        <f aca="false">IF(ISNA(VLOOKUP(B14,cngdata,7,FALSE())),"na",VLOOKUP(B14,cngdata,7,FALSE()))</f>
        <v>GW</v>
      </c>
      <c r="K14" s="79" t="n">
        <f aca="false">IF(ISNA(VLOOKUP(B14,cngdata,13,FALSE())),"na",VLOOKUP(B14,cngdata,13,FALSE()))</f>
        <v>247</v>
      </c>
      <c r="L14" s="80" t="n">
        <f aca="false">$L$2</f>
        <v>2.42</v>
      </c>
      <c r="M14" s="79" t="n">
        <f aca="false">IF(ISNA(VLOOKUP(B14,cngdata,14,FALSE())),0,VLOOKUP(B14,cngdata,14,FALSE()))</f>
        <v>303</v>
      </c>
      <c r="O14" s="81" t="n">
        <v>0</v>
      </c>
      <c r="P14" s="82" t="n">
        <f aca="false">L14-O14</f>
        <v>2.42</v>
      </c>
      <c r="Q14" s="83" t="n">
        <f aca="false">M14*P14</f>
        <v>733.26</v>
      </c>
      <c r="R14" s="74"/>
      <c r="S14" s="79" t="n">
        <f aca="false">IF(ISNA(VLOOKUP(B14,SplitVol,5,FALSE())),0,VLOOKUP(B14,SplitVol,5,FALSE()))</f>
        <v>28</v>
      </c>
      <c r="T14" s="84" t="n">
        <f aca="false">+S14*L14</f>
        <v>67.76</v>
      </c>
      <c r="U14" s="79" t="n">
        <f aca="false">IF(ISNA(VLOOKUP(B14,SplitVol,6,FALSE())),0,VLOOKUP(B14,SplitVol,6,FALSE()))</f>
        <v>275</v>
      </c>
      <c r="V14" s="84" t="n">
        <f aca="false">+U14*L14</f>
        <v>665.5</v>
      </c>
      <c r="W14" s="85" t="n">
        <f aca="false">IF(ISBLANK(VLOOKUP(B14,EffDate,4,FALSE())),"na",VLOOKUP(B14,EffDate,4,FALSE()))</f>
        <v>37257</v>
      </c>
      <c r="X14" s="86" t="n">
        <f aca="false">+M14-S14-U14</f>
        <v>0</v>
      </c>
    </row>
    <row r="15" customFormat="false" ht="15" hidden="false" customHeight="true" outlineLevel="0" collapsed="false">
      <c r="A15" s="78" t="s">
        <v>8</v>
      </c>
      <c r="B15" s="78" t="s">
        <v>15</v>
      </c>
      <c r="C15" s="88" t="n">
        <v>3522901</v>
      </c>
      <c r="D15" s="90" t="s">
        <v>10</v>
      </c>
      <c r="E15" s="91" t="n">
        <v>37257</v>
      </c>
      <c r="F15" s="78" t="s">
        <v>10</v>
      </c>
      <c r="G15" s="88" t="n">
        <v>243624</v>
      </c>
      <c r="H15" s="88"/>
      <c r="I15" s="89" t="s">
        <v>523</v>
      </c>
      <c r="J15" s="79" t="str">
        <f aca="false">IF(ISNA(VLOOKUP(B15,cngdata,7,FALSE())),"na",VLOOKUP(B15,cngdata,7,FALSE()))</f>
        <v>GW</v>
      </c>
      <c r="K15" s="79" t="n">
        <f aca="false">IF(ISNA(VLOOKUP(B15,cngdata,13,FALSE())),"na",VLOOKUP(B15,cngdata,13,FALSE()))</f>
        <v>394</v>
      </c>
      <c r="L15" s="80" t="n">
        <f aca="false">$L$2</f>
        <v>2.42</v>
      </c>
      <c r="M15" s="79" t="n">
        <f aca="false">IF(ISNA(VLOOKUP(B15,cngdata,14,FALSE())),0,VLOOKUP(B15,cngdata,14,FALSE()))</f>
        <v>498</v>
      </c>
      <c r="O15" s="81" t="n">
        <v>0</v>
      </c>
      <c r="P15" s="82" t="n">
        <f aca="false">L15-O15</f>
        <v>2.42</v>
      </c>
      <c r="Q15" s="83" t="n">
        <f aca="false">M15*P15</f>
        <v>1205.16</v>
      </c>
      <c r="R15" s="74"/>
      <c r="S15" s="79" t="n">
        <f aca="false">IF(ISNA(VLOOKUP(B15,SplitVol,5,FALSE())),0,VLOOKUP(B15,SplitVol,5,FALSE()))</f>
        <v>53</v>
      </c>
      <c r="T15" s="84" t="n">
        <f aca="false">+S15*L15</f>
        <v>128.26</v>
      </c>
      <c r="U15" s="79" t="n">
        <f aca="false">IF(ISNA(VLOOKUP(B15,SplitVol,6,FALSE())),0,VLOOKUP(B15,SplitVol,6,FALSE()))</f>
        <v>445</v>
      </c>
      <c r="V15" s="84" t="n">
        <f aca="false">+U15*L15</f>
        <v>1076.9</v>
      </c>
      <c r="W15" s="85" t="n">
        <f aca="false">IF(ISBLANK(VLOOKUP(B15,EffDate,4,FALSE())),"na",VLOOKUP(B15,EffDate,4,FALSE()))</f>
        <v>37257</v>
      </c>
      <c r="X15" s="86" t="n">
        <f aca="false">+M15-S15-U15</f>
        <v>0</v>
      </c>
    </row>
    <row r="16" customFormat="false" ht="15" hidden="false" customHeight="true" outlineLevel="0" collapsed="false">
      <c r="A16" s="78" t="s">
        <v>8</v>
      </c>
      <c r="B16" s="78" t="s">
        <v>17</v>
      </c>
      <c r="C16" s="88" t="n">
        <v>3529001</v>
      </c>
      <c r="D16" s="90" t="s">
        <v>10</v>
      </c>
      <c r="E16" s="91" t="n">
        <v>37257</v>
      </c>
      <c r="F16" s="92" t="s">
        <v>10</v>
      </c>
      <c r="G16" s="88" t="n">
        <v>243624</v>
      </c>
      <c r="H16" s="88"/>
      <c r="I16" s="89" t="s">
        <v>523</v>
      </c>
      <c r="J16" s="79" t="str">
        <f aca="false">IF(ISNA(VLOOKUP(B16,cngdata,7,FALSE())),"na",VLOOKUP(B16,cngdata,7,FALSE()))</f>
        <v>GW</v>
      </c>
      <c r="K16" s="79" t="n">
        <f aca="false">IF(ISNA(VLOOKUP(B16,cngdata,13,FALSE())),"na",VLOOKUP(B16,cngdata,13,FALSE()))</f>
        <v>252</v>
      </c>
      <c r="L16" s="80" t="n">
        <f aca="false">$L$2</f>
        <v>2.42</v>
      </c>
      <c r="M16" s="79" t="n">
        <f aca="false">IF(ISNA(VLOOKUP(B16,cngdata,14,FALSE())),0,VLOOKUP(B16,cngdata,14,FALSE()))</f>
        <v>311</v>
      </c>
      <c r="O16" s="81" t="n">
        <v>0</v>
      </c>
      <c r="P16" s="82" t="n">
        <f aca="false">L16-O16</f>
        <v>2.42</v>
      </c>
      <c r="Q16" s="83" t="n">
        <f aca="false">M16*P16</f>
        <v>752.62</v>
      </c>
      <c r="R16" s="74"/>
      <c r="S16" s="79" t="n">
        <f aca="false">IF(ISNA(VLOOKUP(B16,SplitVol,5,FALSE())),0,VLOOKUP(B16,SplitVol,5,FALSE()))</f>
        <v>23</v>
      </c>
      <c r="T16" s="84" t="n">
        <f aca="false">+S16*L16</f>
        <v>55.66</v>
      </c>
      <c r="U16" s="79" t="n">
        <f aca="false">IF(ISNA(VLOOKUP(B16,SplitVol,6,FALSE())),0,VLOOKUP(B16,SplitVol,6,FALSE()))</f>
        <v>288</v>
      </c>
      <c r="V16" s="84" t="n">
        <f aca="false">+U16*L16</f>
        <v>696.96</v>
      </c>
      <c r="W16" s="85" t="n">
        <f aca="false">IF(ISBLANK(VLOOKUP(B16,EffDate,4,FALSE())),"na",VLOOKUP(B16,EffDate,4,FALSE()))</f>
        <v>37257</v>
      </c>
      <c r="X16" s="86" t="n">
        <f aca="false">+M16-S16-U16</f>
        <v>0</v>
      </c>
    </row>
    <row r="17" customFormat="false" ht="15" hidden="false" customHeight="true" outlineLevel="0" collapsed="false">
      <c r="A17" s="78" t="s">
        <v>8</v>
      </c>
      <c r="B17" s="78" t="s">
        <v>21</v>
      </c>
      <c r="C17" s="88" t="n">
        <v>3542401</v>
      </c>
      <c r="D17" s="90" t="s">
        <v>10</v>
      </c>
      <c r="E17" s="91" t="n">
        <v>37257</v>
      </c>
      <c r="F17" s="78" t="s">
        <v>10</v>
      </c>
      <c r="G17" s="88" t="n">
        <v>243624</v>
      </c>
      <c r="H17" s="88"/>
      <c r="I17" s="89" t="s">
        <v>523</v>
      </c>
      <c r="J17" s="79" t="str">
        <f aca="false">IF(ISNA(VLOOKUP(B17,cngdata,7,FALSE())),"na",VLOOKUP(B17,cngdata,7,FALSE()))</f>
        <v>GW</v>
      </c>
      <c r="K17" s="79" t="n">
        <f aca="false">IF(ISNA(VLOOKUP(B17,cngdata,13,FALSE())),"na",VLOOKUP(B17,cngdata,13,FALSE()))</f>
        <v>285</v>
      </c>
      <c r="L17" s="80" t="n">
        <f aca="false">$L$2</f>
        <v>2.42</v>
      </c>
      <c r="M17" s="79" t="n">
        <f aca="false">IF(ISNA(VLOOKUP(B17,cngdata,14,FALSE())),0,VLOOKUP(B17,cngdata,14,FALSE()))</f>
        <v>343</v>
      </c>
      <c r="O17" s="81" t="n">
        <v>0</v>
      </c>
      <c r="P17" s="82" t="n">
        <f aca="false">L17-O17</f>
        <v>2.42</v>
      </c>
      <c r="Q17" s="83" t="n">
        <f aca="false">M17*P17</f>
        <v>830.06</v>
      </c>
      <c r="R17" s="74"/>
      <c r="S17" s="79" t="n">
        <f aca="false">IF(ISNA(VLOOKUP(B17,SplitVol,5,FALSE())),0,VLOOKUP(B17,SplitVol,5,FALSE()))</f>
        <v>24</v>
      </c>
      <c r="T17" s="84" t="n">
        <f aca="false">+S17*L17</f>
        <v>58.08</v>
      </c>
      <c r="U17" s="79" t="n">
        <f aca="false">IF(ISNA(VLOOKUP(B17,SplitVol,6,FALSE())),0,VLOOKUP(B17,SplitVol,6,FALSE()))+1</f>
        <v>319</v>
      </c>
      <c r="V17" s="84" t="n">
        <f aca="false">+U17*L17</f>
        <v>771.98</v>
      </c>
      <c r="W17" s="85" t="n">
        <f aca="false">IF(ISBLANK(VLOOKUP(B17,EffDate,4,FALSE())),"na",VLOOKUP(B17,EffDate,4,FALSE()))</f>
        <v>37257</v>
      </c>
      <c r="X17" s="86" t="n">
        <f aca="false">+M17-S17-U17</f>
        <v>0</v>
      </c>
    </row>
    <row r="18" customFormat="false" ht="15" hidden="false" customHeight="true" outlineLevel="0" collapsed="false">
      <c r="A18" s="78" t="s">
        <v>8</v>
      </c>
      <c r="B18" s="78" t="s">
        <v>19</v>
      </c>
      <c r="C18" s="88" t="n">
        <v>3532301</v>
      </c>
      <c r="D18" s="90" t="s">
        <v>10</v>
      </c>
      <c r="E18" s="91" t="n">
        <v>37257</v>
      </c>
      <c r="F18" s="78" t="s">
        <v>10</v>
      </c>
      <c r="G18" s="88" t="n">
        <v>243624</v>
      </c>
      <c r="H18" s="88"/>
      <c r="I18" s="89" t="s">
        <v>523</v>
      </c>
      <c r="J18" s="79" t="str">
        <f aca="false">IF(ISNA(VLOOKUP(B18,cngdata,7,FALSE())),"na",VLOOKUP(B18,cngdata,7,FALSE()))</f>
        <v>GW</v>
      </c>
      <c r="K18" s="79" t="n">
        <f aca="false">IF(ISNA(VLOOKUP(B18,cngdata,13,FALSE())),"na",VLOOKUP(B18,cngdata,13,FALSE()))</f>
        <v>786</v>
      </c>
      <c r="L18" s="80" t="n">
        <f aca="false">$L$2</f>
        <v>2.42</v>
      </c>
      <c r="M18" s="79" t="n">
        <f aca="false">IF(ISNA(VLOOKUP(B18,cngdata,14,FALSE())),0,VLOOKUP(B18,cngdata,14,FALSE()))</f>
        <v>974</v>
      </c>
      <c r="O18" s="81" t="n">
        <v>0</v>
      </c>
      <c r="P18" s="82" t="n">
        <f aca="false">L18-O18</f>
        <v>2.42</v>
      </c>
      <c r="Q18" s="83" t="n">
        <f aca="false">M18*P18</f>
        <v>2357.08</v>
      </c>
      <c r="R18" s="74"/>
      <c r="S18" s="79" t="n">
        <f aca="false">IF(ISNA(VLOOKUP(B18,SplitVol,5,FALSE())),0,VLOOKUP(B18,SplitVol,5,FALSE()))</f>
        <v>62</v>
      </c>
      <c r="T18" s="84" t="n">
        <f aca="false">+S18*L18</f>
        <v>150.04</v>
      </c>
      <c r="U18" s="79" t="n">
        <f aca="false">IF(ISNA(VLOOKUP(B18,SplitVol,6,FALSE())),0,VLOOKUP(B18,SplitVol,6,FALSE()))</f>
        <v>912</v>
      </c>
      <c r="V18" s="84" t="n">
        <f aca="false">+U18*L18</f>
        <v>2207.04</v>
      </c>
      <c r="W18" s="85" t="n">
        <f aca="false">IF(ISBLANK(VLOOKUP(B18,EffDate,4,FALSE())),"na",VLOOKUP(B18,EffDate,4,FALSE()))</f>
        <v>37257</v>
      </c>
      <c r="X18" s="86" t="n">
        <f aca="false">+M18-S18-U18</f>
        <v>0</v>
      </c>
    </row>
    <row r="19" customFormat="false" ht="15" hidden="false" customHeight="true" outlineLevel="0" collapsed="false">
      <c r="A19" s="78" t="s">
        <v>8</v>
      </c>
      <c r="B19" s="78" t="s">
        <v>12</v>
      </c>
      <c r="C19" s="88" t="n">
        <v>3516301</v>
      </c>
      <c r="D19" s="90" t="s">
        <v>10</v>
      </c>
      <c r="E19" s="91" t="n">
        <v>37257</v>
      </c>
      <c r="F19" s="78" t="s">
        <v>10</v>
      </c>
      <c r="G19" s="88" t="n">
        <v>243624</v>
      </c>
      <c r="H19" s="88"/>
      <c r="I19" s="89" t="s">
        <v>523</v>
      </c>
      <c r="J19" s="79" t="str">
        <f aca="false">IF(ISNA(VLOOKUP(B19,cngdata,7,FALSE())),"na",VLOOKUP(B19,cngdata,7,FALSE()))</f>
        <v>GW</v>
      </c>
      <c r="K19" s="79" t="n">
        <f aca="false">IF(ISNA(VLOOKUP(B19,cngdata,13,FALSE())),"na",VLOOKUP(B19,cngdata,13,FALSE()))</f>
        <v>197</v>
      </c>
      <c r="L19" s="80" t="n">
        <f aca="false">$L$2</f>
        <v>2.42</v>
      </c>
      <c r="M19" s="79" t="n">
        <f aca="false">IF(ISNA(VLOOKUP(B19,cngdata,14,FALSE())),0,VLOOKUP(B19,cngdata,14,FALSE()))</f>
        <v>228</v>
      </c>
      <c r="O19" s="81" t="n">
        <v>0</v>
      </c>
      <c r="P19" s="82" t="n">
        <f aca="false">L19-O19</f>
        <v>2.42</v>
      </c>
      <c r="Q19" s="83" t="n">
        <f aca="false">M19*P19</f>
        <v>551.76</v>
      </c>
      <c r="R19" s="74"/>
      <c r="S19" s="79" t="n">
        <f aca="false">IF(ISNA(VLOOKUP(B19,SplitVol,5,FALSE())),0,VLOOKUP(B19,SplitVol,5,FALSE()))</f>
        <v>17</v>
      </c>
      <c r="T19" s="84" t="n">
        <f aca="false">+S19*L19</f>
        <v>41.14</v>
      </c>
      <c r="U19" s="79" t="n">
        <f aca="false">IF(ISNA(VLOOKUP(B19,SplitVol,6,FALSE())),0,VLOOKUP(B19,SplitVol,6,FALSE()))</f>
        <v>211</v>
      </c>
      <c r="V19" s="84" t="n">
        <f aca="false">+U19*L19</f>
        <v>510.62</v>
      </c>
      <c r="W19" s="85" t="n">
        <f aca="false">IF(ISBLANK(VLOOKUP(B19,EffDate,4,FALSE())),"na",VLOOKUP(B19,EffDate,4,FALSE()))</f>
        <v>37257</v>
      </c>
      <c r="X19" s="86" t="n">
        <f aca="false">+M19-S19-U19</f>
        <v>0</v>
      </c>
    </row>
    <row r="20" customFormat="false" ht="15" hidden="false" customHeight="true" outlineLevel="0" collapsed="false">
      <c r="A20" s="4" t="s">
        <v>5</v>
      </c>
      <c r="B20" s="77" t="s">
        <v>22</v>
      </c>
      <c r="C20" s="4" t="n">
        <v>4044401</v>
      </c>
      <c r="D20" s="8" t="s">
        <v>23</v>
      </c>
      <c r="E20" s="72" t="s">
        <v>517</v>
      </c>
      <c r="F20" s="93" t="s">
        <v>524</v>
      </c>
      <c r="G20" s="77" t="n">
        <v>744</v>
      </c>
      <c r="H20" s="77" t="s">
        <v>525</v>
      </c>
      <c r="I20" s="94" t="s">
        <v>526</v>
      </c>
      <c r="J20" s="79" t="str">
        <f aca="false">IF(ISNA(VLOOKUP(B20,cngdata,7,FALSE())),"na",VLOOKUP(B20,cngdata,7,FALSE()))</f>
        <v>GW</v>
      </c>
      <c r="K20" s="79" t="n">
        <f aca="false">IF(ISNA(VLOOKUP(B20,cngdata,13,FALSE())),"na",VLOOKUP(B20,cngdata,13,FALSE()))</f>
        <v>116</v>
      </c>
      <c r="L20" s="95" t="n">
        <f aca="false">L$2-0.01</f>
        <v>2.41</v>
      </c>
      <c r="M20" s="79" t="n">
        <f aca="false">IF(ISNA(VLOOKUP(B20,cngdata,14,FALSE())),0,VLOOKUP(B20,cngdata,14,FALSE()))</f>
        <v>135</v>
      </c>
      <c r="O20" s="81" t="n">
        <v>0</v>
      </c>
      <c r="P20" s="96" t="n">
        <f aca="false">L20-O20</f>
        <v>2.41</v>
      </c>
      <c r="Q20" s="97" t="n">
        <f aca="false">M20*P20</f>
        <v>325.35</v>
      </c>
      <c r="R20" s="98"/>
      <c r="S20" s="79" t="n">
        <f aca="false">IF(ISNA(VLOOKUP(B20,SplitVol,5,FALSE())),0,VLOOKUP(B20,SplitVol,5,FALSE()))</f>
        <v>135</v>
      </c>
      <c r="T20" s="84" t="n">
        <f aca="false">+S20*L20</f>
        <v>325.35</v>
      </c>
      <c r="U20" s="79" t="n">
        <f aca="false">IF(ISNA(VLOOKUP(B20,SplitVol,6,FALSE())),0,VLOOKUP(B20,SplitVol,6,FALSE()))</f>
        <v>0</v>
      </c>
      <c r="V20" s="84" t="n">
        <f aca="false">+U20*L20</f>
        <v>0</v>
      </c>
      <c r="W20" s="85" t="str">
        <f aca="false">IF(ISBLANK(VLOOKUP(B20,EffDate,4,FALSE())),"na",VLOOKUP(B20,EffDate,4,FALSE()))</f>
        <v>na</v>
      </c>
      <c r="X20" s="86" t="n">
        <f aca="false">+M20-S20-U20</f>
        <v>0</v>
      </c>
    </row>
    <row r="21" customFormat="false" ht="15" hidden="false" customHeight="true" outlineLevel="0" collapsed="false">
      <c r="A21" s="78" t="s">
        <v>8</v>
      </c>
      <c r="B21" s="78" t="s">
        <v>24</v>
      </c>
      <c r="C21" s="88" t="n">
        <v>3559801</v>
      </c>
      <c r="D21" s="4" t="s">
        <v>25</v>
      </c>
      <c r="E21" s="72" t="s">
        <v>517</v>
      </c>
      <c r="F21" s="87" t="s">
        <v>527</v>
      </c>
      <c r="G21" s="88" t="n">
        <v>266852</v>
      </c>
      <c r="H21" s="88"/>
      <c r="I21" s="88" t="s">
        <v>522</v>
      </c>
      <c r="J21" s="79" t="str">
        <f aca="false">IF(ISNA(VLOOKUP(B21,cngdata,7,FALSE())),"na",VLOOKUP(B21,cngdata,7,FALSE()))</f>
        <v>na</v>
      </c>
      <c r="K21" s="79" t="str">
        <f aca="false">IF(ISNA(VLOOKUP(B21,cngdata,13,FALSE())),"na",VLOOKUP(B21,cngdata,13,FALSE()))</f>
        <v>na</v>
      </c>
      <c r="L21" s="80" t="n">
        <f aca="false">$L$2*0.98</f>
        <v>2.3716</v>
      </c>
      <c r="M21" s="79" t="n">
        <f aca="false">IF(ISNA(VLOOKUP(B21,cngdata,14,FALSE())),0,VLOOKUP(B21,cngdata,14,FALSE()))</f>
        <v>0</v>
      </c>
      <c r="O21" s="81" t="n">
        <v>0</v>
      </c>
      <c r="P21" s="82" t="n">
        <f aca="false">L21-O21</f>
        <v>2.3716</v>
      </c>
      <c r="Q21" s="83" t="n">
        <f aca="false">M21*P21</f>
        <v>0</v>
      </c>
      <c r="R21" s="74"/>
      <c r="S21" s="79" t="n">
        <f aca="false">IF(ISNA(VLOOKUP(B21,SplitVol,5,FALSE())),0,VLOOKUP(B21,SplitVol,5,FALSE()))</f>
        <v>0</v>
      </c>
      <c r="T21" s="84" t="n">
        <f aca="false">+S21*L21</f>
        <v>0</v>
      </c>
      <c r="U21" s="79" t="n">
        <f aca="false">IF(ISNA(VLOOKUP(B21,SplitVol,6,FALSE())),0,VLOOKUP(B21,SplitVol,6,FALSE()))</f>
        <v>0</v>
      </c>
      <c r="V21" s="84" t="n">
        <f aca="false">+U21*L21</f>
        <v>0</v>
      </c>
      <c r="W21" s="85" t="str">
        <f aca="false">IF(ISBLANK(VLOOKUP(B21,EffDate,4,FALSE())),"na",VLOOKUP(B21,EffDate,4,FALSE()))</f>
        <v>na</v>
      </c>
      <c r="X21" s="86" t="n">
        <f aca="false">+M21-S21-U21</f>
        <v>0</v>
      </c>
    </row>
    <row r="22" customFormat="false" ht="15" hidden="false" customHeight="true" outlineLevel="0" collapsed="false">
      <c r="A22" s="4" t="s">
        <v>26</v>
      </c>
      <c r="B22" s="77" t="s">
        <v>27</v>
      </c>
      <c r="C22" s="4" t="s">
        <v>26</v>
      </c>
      <c r="D22" s="4" t="s">
        <v>28</v>
      </c>
      <c r="E22" s="72" t="s">
        <v>517</v>
      </c>
      <c r="F22" s="4"/>
      <c r="G22" s="78" t="n">
        <v>8249</v>
      </c>
      <c r="H22" s="78" t="s">
        <v>528</v>
      </c>
      <c r="I22" s="78" t="s">
        <v>529</v>
      </c>
      <c r="J22" s="79" t="str">
        <f aca="false">IF(ISNA(VLOOKUP(B22,cngdata,7,FALSE())),"na",VLOOKUP(B22,cngdata,7,FALSE()))</f>
        <v>na</v>
      </c>
      <c r="K22" s="79" t="str">
        <f aca="false">IF(ISNA(VLOOKUP(B22,cngdata,13,FALSE())),"na",VLOOKUP(B22,cngdata,13,FALSE()))</f>
        <v>na</v>
      </c>
      <c r="L22" s="80" t="n">
        <f aca="false">L$2-0.08</f>
        <v>2.34</v>
      </c>
      <c r="M22" s="79" t="n">
        <f aca="false">IF(ISNA(VLOOKUP(B22,cngdata,14,FALSE())),0,VLOOKUP(B22,cngdata,14,FALSE()))</f>
        <v>0</v>
      </c>
      <c r="O22" s="81" t="n">
        <v>0</v>
      </c>
      <c r="P22" s="82" t="n">
        <f aca="false">L22-O22</f>
        <v>2.34</v>
      </c>
      <c r="Q22" s="83" t="n">
        <f aca="false">M22*P22</f>
        <v>0</v>
      </c>
      <c r="R22" s="74"/>
      <c r="S22" s="79" t="n">
        <f aca="false">IF(ISNA(VLOOKUP(B22,SplitVol,5,FALSE())),0,VLOOKUP(B22,SplitVol,5,FALSE()))</f>
        <v>0</v>
      </c>
      <c r="T22" s="84" t="n">
        <f aca="false">+S22*L22</f>
        <v>0</v>
      </c>
      <c r="U22" s="79" t="n">
        <f aca="false">IF(ISNA(VLOOKUP(B22,SplitVol,6,FALSE())),0,VLOOKUP(B22,SplitVol,6,FALSE()))</f>
        <v>0</v>
      </c>
      <c r="V22" s="84" t="n">
        <f aca="false">+U22*L22</f>
        <v>0</v>
      </c>
      <c r="W22" s="85" t="str">
        <f aca="false">IF(ISBLANK(VLOOKUP(B22,EffDate,4,FALSE())),"na",VLOOKUP(B22,EffDate,4,FALSE()))</f>
        <v>na</v>
      </c>
      <c r="X22" s="86" t="n">
        <f aca="false">+M22-S22-U22</f>
        <v>0</v>
      </c>
    </row>
    <row r="23" customFormat="false" ht="15" hidden="false" customHeight="true" outlineLevel="0" collapsed="false">
      <c r="A23" s="78" t="s">
        <v>8</v>
      </c>
      <c r="B23" s="78" t="s">
        <v>29</v>
      </c>
      <c r="C23" s="88" t="n">
        <v>3008001</v>
      </c>
      <c r="D23" s="90" t="s">
        <v>30</v>
      </c>
      <c r="E23" s="91" t="n">
        <v>37257</v>
      </c>
      <c r="F23" s="87" t="s">
        <v>472</v>
      </c>
      <c r="G23" s="88" t="n">
        <v>212169</v>
      </c>
      <c r="H23" s="88"/>
      <c r="I23" s="89" t="s">
        <v>530</v>
      </c>
      <c r="J23" s="79" t="str">
        <f aca="false">IF(ISNA(VLOOKUP(B23,cngdata,7,FALSE())),"na",VLOOKUP(B23,cngdata,7,FALSE()))</f>
        <v>GW</v>
      </c>
      <c r="K23" s="79" t="n">
        <f aca="false">IF(ISNA(VLOOKUP(B23,cngdata,13,FALSE())),"na",VLOOKUP(B23,cngdata,13,FALSE()))</f>
        <v>0</v>
      </c>
      <c r="L23" s="80" t="n">
        <f aca="false">$L$2*0.98</f>
        <v>2.3716</v>
      </c>
      <c r="M23" s="79" t="n">
        <f aca="false">IF(ISNA(VLOOKUP(B23,cngdata,14,FALSE())),0,VLOOKUP(B23,cngdata,14,FALSE()))</f>
        <v>515</v>
      </c>
      <c r="O23" s="81" t="n">
        <v>0</v>
      </c>
      <c r="P23" s="82" t="n">
        <f aca="false">L23-O23</f>
        <v>2.3716</v>
      </c>
      <c r="Q23" s="83" t="n">
        <f aca="false">M23*P23</f>
        <v>1221.374</v>
      </c>
      <c r="R23" s="74"/>
      <c r="S23" s="79" t="n">
        <f aca="false">IF(ISNA(VLOOKUP(B23,SplitVol,5,FALSE())),0,VLOOKUP(B23,SplitVol,5,FALSE()))</f>
        <v>35</v>
      </c>
      <c r="T23" s="84" t="n">
        <f aca="false">+S23*L23</f>
        <v>83.006</v>
      </c>
      <c r="U23" s="79" t="n">
        <f aca="false">IF(ISNA(VLOOKUP(B23,SplitVol,6,FALSE())),0,VLOOKUP(B23,SplitVol,6,FALSE()))-1</f>
        <v>480</v>
      </c>
      <c r="V23" s="84" t="n">
        <f aca="false">+U23*L23</f>
        <v>1138.368</v>
      </c>
      <c r="W23" s="85" t="n">
        <f aca="false">IF(ISBLANK(VLOOKUP(B23,EffDate,4,FALSE())),"na",VLOOKUP(B23,EffDate,4,FALSE()))</f>
        <v>37257</v>
      </c>
      <c r="X23" s="86" t="n">
        <f aca="false">+M23-S23-U23</f>
        <v>0</v>
      </c>
    </row>
    <row r="24" customFormat="false" ht="15" hidden="false" customHeight="true" outlineLevel="0" collapsed="false">
      <c r="A24" s="78" t="s">
        <v>8</v>
      </c>
      <c r="B24" s="78" t="s">
        <v>31</v>
      </c>
      <c r="C24" s="88" t="n">
        <v>3015901</v>
      </c>
      <c r="D24" s="90" t="s">
        <v>30</v>
      </c>
      <c r="E24" s="91" t="n">
        <v>37257</v>
      </c>
      <c r="F24" s="87" t="s">
        <v>472</v>
      </c>
      <c r="G24" s="88" t="n">
        <v>212169</v>
      </c>
      <c r="H24" s="88"/>
      <c r="I24" s="89" t="s">
        <v>530</v>
      </c>
      <c r="J24" s="79" t="str">
        <f aca="false">IF(ISNA(VLOOKUP(B24,cngdata,7,FALSE())),"na",VLOOKUP(B24,cngdata,7,FALSE()))</f>
        <v>GW</v>
      </c>
      <c r="K24" s="79" t="n">
        <f aca="false">IF(ISNA(VLOOKUP(B24,cngdata,13,FALSE())),"na",VLOOKUP(B24,cngdata,13,FALSE()))</f>
        <v>0</v>
      </c>
      <c r="L24" s="80" t="n">
        <f aca="false">$L$2*0.98</f>
        <v>2.3716</v>
      </c>
      <c r="M24" s="79" t="n">
        <f aca="false">IF(ISNA(VLOOKUP(B24,cngdata,14,FALSE())),0,VLOOKUP(B24,cngdata,14,FALSE()))</f>
        <v>832</v>
      </c>
      <c r="O24" s="81" t="n">
        <v>0</v>
      </c>
      <c r="P24" s="82" t="n">
        <f aca="false">L24-O24</f>
        <v>2.3716</v>
      </c>
      <c r="Q24" s="83" t="n">
        <f aca="false">M24*P24</f>
        <v>1973.1712</v>
      </c>
      <c r="R24" s="74"/>
      <c r="S24" s="79" t="n">
        <f aca="false">IF(ISNA(VLOOKUP(B24,SplitVol,5,FALSE())),0,VLOOKUP(B24,SplitVol,5,FALSE()))</f>
        <v>56</v>
      </c>
      <c r="T24" s="84" t="n">
        <f aca="false">+S24*L24</f>
        <v>132.8096</v>
      </c>
      <c r="U24" s="79" t="n">
        <f aca="false">IF(ISNA(VLOOKUP(B24,SplitVol,6,FALSE())),0,VLOOKUP(B24,SplitVol,6,FALSE()))</f>
        <v>776</v>
      </c>
      <c r="V24" s="84" t="n">
        <f aca="false">+U24*L24</f>
        <v>1840.3616</v>
      </c>
      <c r="W24" s="85" t="n">
        <f aca="false">IF(ISBLANK(VLOOKUP(B24,EffDate,4,FALSE())),"na",VLOOKUP(B24,EffDate,4,FALSE()))</f>
        <v>37257</v>
      </c>
      <c r="X24" s="86" t="n">
        <f aca="false">+M24-S24-U24</f>
        <v>0</v>
      </c>
    </row>
    <row r="25" customFormat="false" ht="15" hidden="false" customHeight="true" outlineLevel="0" collapsed="false">
      <c r="A25" s="78" t="s">
        <v>8</v>
      </c>
      <c r="B25" s="78" t="s">
        <v>32</v>
      </c>
      <c r="C25" s="88" t="n">
        <v>3543801</v>
      </c>
      <c r="D25" s="90" t="s">
        <v>30</v>
      </c>
      <c r="E25" s="91" t="n">
        <v>37257</v>
      </c>
      <c r="F25" s="78" t="s">
        <v>474</v>
      </c>
      <c r="G25" s="88" t="n">
        <v>212169</v>
      </c>
      <c r="H25" s="88"/>
      <c r="I25" s="89" t="s">
        <v>530</v>
      </c>
      <c r="J25" s="79" t="str">
        <f aca="false">IF(ISNA(VLOOKUP(B25,cngdata,7,FALSE())),"na",VLOOKUP(B25,cngdata,7,FALSE()))</f>
        <v>GW</v>
      </c>
      <c r="K25" s="79" t="n">
        <f aca="false">IF(ISNA(VLOOKUP(B25,cngdata,13,FALSE())),"na",VLOOKUP(B25,cngdata,13,FALSE()))</f>
        <v>113</v>
      </c>
      <c r="L25" s="80" t="n">
        <f aca="false">$L$2*0.98</f>
        <v>2.3716</v>
      </c>
      <c r="M25" s="79" t="n">
        <f aca="false">IF(ISNA(VLOOKUP(B25,cngdata,14,FALSE())),0,VLOOKUP(B25,cngdata,14,FALSE()))</f>
        <v>138</v>
      </c>
      <c r="O25" s="81" t="n">
        <v>0</v>
      </c>
      <c r="P25" s="82" t="n">
        <f aca="false">L25-O25</f>
        <v>2.3716</v>
      </c>
      <c r="Q25" s="83" t="n">
        <f aca="false">M25*P25</f>
        <v>327.2808</v>
      </c>
      <c r="R25" s="74"/>
      <c r="S25" s="79" t="n">
        <f aca="false">IF(ISNA(VLOOKUP(B25,SplitVol,5,FALSE())),0,VLOOKUP(B25,SplitVol,5,FALSE()))</f>
        <v>10</v>
      </c>
      <c r="T25" s="84" t="n">
        <f aca="false">+S25*L25</f>
        <v>23.716</v>
      </c>
      <c r="U25" s="79" t="n">
        <f aca="false">IF(ISNA(VLOOKUP(B25,SplitVol,6,FALSE())),0,VLOOKUP(B25,SplitVol,6,FALSE()))</f>
        <v>128</v>
      </c>
      <c r="V25" s="84" t="n">
        <f aca="false">+U25*L25</f>
        <v>303.5648</v>
      </c>
      <c r="W25" s="85" t="n">
        <f aca="false">IF(ISBLANK(VLOOKUP(B25,EffDate,4,FALSE())),"na",VLOOKUP(B25,EffDate,4,FALSE()))</f>
        <v>37257</v>
      </c>
      <c r="X25" s="86" t="n">
        <f aca="false">+M25-S25-U25</f>
        <v>0</v>
      </c>
    </row>
    <row r="26" customFormat="false" ht="15" hidden="false" customHeight="true" outlineLevel="0" collapsed="false">
      <c r="A26" s="99" t="s">
        <v>8</v>
      </c>
      <c r="B26" s="99" t="s">
        <v>33</v>
      </c>
      <c r="C26" s="100" t="n">
        <v>3562701</v>
      </c>
      <c r="D26" s="4" t="s">
        <v>34</v>
      </c>
      <c r="E26" s="72" t="s">
        <v>517</v>
      </c>
      <c r="F26" s="99" t="s">
        <v>531</v>
      </c>
      <c r="G26" s="100" t="n">
        <v>168966</v>
      </c>
      <c r="H26" s="100"/>
      <c r="I26" s="100" t="s">
        <v>523</v>
      </c>
      <c r="J26" s="101" t="str">
        <f aca="false">IF(ISNA(VLOOKUP(B26,cngdata,7,FALSE())),"na",VLOOKUP(B26,cngdata,7,FALSE()))</f>
        <v>na</v>
      </c>
      <c r="K26" s="101" t="str">
        <f aca="false">IF(ISNA(VLOOKUP(B26,cngdata,13,FALSE())),"na",VLOOKUP(B26,cngdata,13,FALSE()))</f>
        <v>na</v>
      </c>
      <c r="L26" s="80" t="n">
        <f aca="false">$L$2</f>
        <v>2.42</v>
      </c>
      <c r="M26" s="101" t="n">
        <f aca="false">IF(ISNA(VLOOKUP(B26,cngdata,14,FALSE())),0,VLOOKUP(B26,cngdata,14,FALSE()))</f>
        <v>0</v>
      </c>
      <c r="O26" s="81" t="n">
        <v>0</v>
      </c>
      <c r="P26" s="82" t="n">
        <f aca="false">L26-O26</f>
        <v>2.42</v>
      </c>
      <c r="Q26" s="83" t="n">
        <f aca="false">M26*P26</f>
        <v>0</v>
      </c>
      <c r="R26" s="74"/>
      <c r="S26" s="79" t="n">
        <f aca="false">IF(ISNA(VLOOKUP(B26,SplitVol,5,FALSE())),0,VLOOKUP(B26,SplitVol,5,FALSE()))</f>
        <v>0</v>
      </c>
      <c r="T26" s="84" t="n">
        <f aca="false">+S26*L26</f>
        <v>0</v>
      </c>
      <c r="U26" s="79" t="n">
        <f aca="false">IF(ISNA(VLOOKUP(B26,SplitVol,6,FALSE())),0,VLOOKUP(B26,SplitVol,6,FALSE()))</f>
        <v>0</v>
      </c>
      <c r="V26" s="84" t="n">
        <f aca="false">+U26*L26</f>
        <v>0</v>
      </c>
      <c r="W26" s="85" t="str">
        <f aca="false">IF(ISBLANK(VLOOKUP(B26,EffDate,4,FALSE())),"na",VLOOKUP(B26,EffDate,4,FALSE()))</f>
        <v>na</v>
      </c>
      <c r="X26" s="86" t="n">
        <f aca="false">+M26-S26-U26</f>
        <v>0</v>
      </c>
    </row>
    <row r="27" customFormat="false" ht="15" hidden="false" customHeight="true" outlineLevel="0" collapsed="false">
      <c r="A27" s="4" t="s">
        <v>5</v>
      </c>
      <c r="B27" s="77" t="s">
        <v>35</v>
      </c>
      <c r="C27" s="4" t="n">
        <v>3545501</v>
      </c>
      <c r="D27" s="90" t="s">
        <v>36</v>
      </c>
      <c r="E27" s="91" t="n">
        <v>37254</v>
      </c>
      <c r="F27" s="102"/>
      <c r="G27" s="102" t="n">
        <v>10486</v>
      </c>
      <c r="H27" s="102" t="s">
        <v>525</v>
      </c>
      <c r="I27" s="102" t="s">
        <v>532</v>
      </c>
      <c r="J27" s="103" t="str">
        <f aca="false">IF(ISNA(VLOOKUP(B27,cngdata,7,FALSE())),"na",VLOOKUP(B27,cngdata,7,FALSE()))</f>
        <v>na</v>
      </c>
      <c r="K27" s="79" t="str">
        <f aca="false">IF(ISNA(VLOOKUP(B27,cngdata,13,FALSE())),"na",VLOOKUP(B27,cngdata,13,FALSE()))</f>
        <v>na</v>
      </c>
      <c r="L27" s="104" t="n">
        <f aca="false">+CNGPricing!$H$21</f>
        <v>3.2</v>
      </c>
      <c r="M27" s="79" t="n">
        <f aca="false">IF(ISNA(VLOOKUP(B27,cngdata,14,FALSE())),0,VLOOKUP(B27,cngdata,14,FALSE()))</f>
        <v>0</v>
      </c>
      <c r="O27" s="81" t="n">
        <v>0</v>
      </c>
      <c r="P27" s="82" t="n">
        <f aca="false">L27-O27</f>
        <v>3.2</v>
      </c>
      <c r="Q27" s="83" t="n">
        <f aca="false">M27*P27</f>
        <v>0</v>
      </c>
      <c r="R27" s="74"/>
      <c r="S27" s="79" t="n">
        <f aca="false">IF(ISNA(VLOOKUP(B27,SplitVol,5,FALSE())),0,VLOOKUP(B27,SplitVol,5,FALSE()))</f>
        <v>0</v>
      </c>
      <c r="T27" s="84" t="n">
        <f aca="false">+S27*L27</f>
        <v>0</v>
      </c>
      <c r="U27" s="79" t="n">
        <f aca="false">IF(ISNA(VLOOKUP(B27,SplitVol,6,FALSE())),0,VLOOKUP(B27,SplitVol,6,FALSE()))</f>
        <v>0</v>
      </c>
      <c r="V27" s="84" t="n">
        <f aca="false">+U27*L27</f>
        <v>0</v>
      </c>
      <c r="W27" s="85" t="str">
        <f aca="false">IF(ISBLANK(VLOOKUP(B27,EffDate,4,FALSE())),"na",VLOOKUP(B27,EffDate,4,FALSE()))</f>
        <v>na</v>
      </c>
      <c r="X27" s="86" t="n">
        <f aca="false">+M27-S27-U27</f>
        <v>0</v>
      </c>
    </row>
    <row r="28" customFormat="false" ht="15" hidden="false" customHeight="true" outlineLevel="0" collapsed="false">
      <c r="A28" s="4" t="s">
        <v>26</v>
      </c>
      <c r="B28" s="77" t="s">
        <v>42</v>
      </c>
      <c r="C28" s="4" t="s">
        <v>26</v>
      </c>
      <c r="D28" s="90" t="s">
        <v>36</v>
      </c>
      <c r="E28" s="91" t="n">
        <v>37254</v>
      </c>
      <c r="F28" s="102"/>
      <c r="G28" s="102" t="n">
        <v>10486</v>
      </c>
      <c r="H28" s="102" t="s">
        <v>525</v>
      </c>
      <c r="I28" s="102" t="s">
        <v>532</v>
      </c>
      <c r="J28" s="103" t="str">
        <f aca="false">IF(ISNA(VLOOKUP(B28,cngdata,7,FALSE())),"na",VLOOKUP(B28,cngdata,7,FALSE()))</f>
        <v>na</v>
      </c>
      <c r="K28" s="79" t="str">
        <f aca="false">IF(ISNA(VLOOKUP(B28,cngdata,13,FALSE())),"na",VLOOKUP(B28,cngdata,13,FALSE()))</f>
        <v>na</v>
      </c>
      <c r="L28" s="104" t="n">
        <f aca="false">+CNGPricing!$H$21</f>
        <v>3.2</v>
      </c>
      <c r="M28" s="79" t="n">
        <f aca="false">IF(ISNA(VLOOKUP(B28,cngdata,14,FALSE())),0,VLOOKUP(B28,cngdata,14,FALSE()))</f>
        <v>0</v>
      </c>
      <c r="O28" s="81" t="n">
        <v>0</v>
      </c>
      <c r="P28" s="82" t="n">
        <f aca="false">L28-O28</f>
        <v>3.2</v>
      </c>
      <c r="Q28" s="83" t="n">
        <f aca="false">M28*P28</f>
        <v>0</v>
      </c>
      <c r="R28" s="74"/>
      <c r="S28" s="79" t="n">
        <f aca="false">IF(ISNA(VLOOKUP(B28,SplitVol,5,FALSE())),0,VLOOKUP(B28,SplitVol,5,FALSE()))</f>
        <v>0</v>
      </c>
      <c r="T28" s="84" t="n">
        <f aca="false">+S28*L28</f>
        <v>0</v>
      </c>
      <c r="U28" s="79" t="n">
        <f aca="false">IF(ISNA(VLOOKUP(B28,SplitVol,6,FALSE())),0,VLOOKUP(B28,SplitVol,6,FALSE()))</f>
        <v>0</v>
      </c>
      <c r="V28" s="84" t="n">
        <f aca="false">+U28*L28</f>
        <v>0</v>
      </c>
      <c r="W28" s="85" t="str">
        <f aca="false">IF(ISBLANK(VLOOKUP(B28,EffDate,4,FALSE())),"na",VLOOKUP(B28,EffDate,4,FALSE()))</f>
        <v>na</v>
      </c>
      <c r="X28" s="86" t="n">
        <f aca="false">+M28-S28-U28</f>
        <v>0</v>
      </c>
    </row>
    <row r="29" customFormat="false" ht="15" hidden="false" customHeight="true" outlineLevel="0" collapsed="false">
      <c r="A29" s="4" t="s">
        <v>5</v>
      </c>
      <c r="B29" s="77" t="s">
        <v>39</v>
      </c>
      <c r="C29" s="4" t="n">
        <v>4357101</v>
      </c>
      <c r="D29" s="90" t="s">
        <v>36</v>
      </c>
      <c r="E29" s="91" t="n">
        <v>37254</v>
      </c>
      <c r="F29" s="102"/>
      <c r="G29" s="102" t="n">
        <v>10486</v>
      </c>
      <c r="H29" s="102" t="s">
        <v>525</v>
      </c>
      <c r="I29" s="102" t="s">
        <v>532</v>
      </c>
      <c r="J29" s="103" t="str">
        <f aca="false">IF(ISNA(VLOOKUP(B29,cngdata,7,FALSE())),"na",VLOOKUP(B29,cngdata,7,FALSE()))</f>
        <v>na</v>
      </c>
      <c r="K29" s="79" t="str">
        <f aca="false">IF(ISNA(VLOOKUP(B29,cngdata,13,FALSE())),"na",VLOOKUP(B29,cngdata,13,FALSE()))</f>
        <v>na</v>
      </c>
      <c r="L29" s="104" t="n">
        <f aca="false">+CNGPricing!$H$21</f>
        <v>3.2</v>
      </c>
      <c r="M29" s="79" t="n">
        <f aca="false">IF(ISNA(VLOOKUP(B29,cngdata,14,FALSE())),0,VLOOKUP(B29,cngdata,14,FALSE()))</f>
        <v>0</v>
      </c>
      <c r="O29" s="81" t="n">
        <v>0</v>
      </c>
      <c r="P29" s="82" t="n">
        <f aca="false">L29-O29</f>
        <v>3.2</v>
      </c>
      <c r="Q29" s="83" t="n">
        <f aca="false">M29*P29</f>
        <v>0</v>
      </c>
      <c r="R29" s="74"/>
      <c r="S29" s="79" t="n">
        <f aca="false">IF(ISNA(VLOOKUP(B29,SplitVol,5,FALSE())),0,VLOOKUP(B29,SplitVol,5,FALSE()))</f>
        <v>0</v>
      </c>
      <c r="T29" s="84" t="n">
        <f aca="false">+S29*L29</f>
        <v>0</v>
      </c>
      <c r="U29" s="79" t="n">
        <f aca="false">IF(ISNA(VLOOKUP(B29,SplitVol,6,FALSE())),0,VLOOKUP(B29,SplitVol,6,FALSE()))</f>
        <v>0</v>
      </c>
      <c r="V29" s="84" t="n">
        <f aca="false">+U29*L29</f>
        <v>0</v>
      </c>
      <c r="W29" s="85" t="str">
        <f aca="false">IF(ISBLANK(VLOOKUP(B29,EffDate,4,FALSE())),"na",VLOOKUP(B29,EffDate,4,FALSE()))</f>
        <v>na</v>
      </c>
      <c r="X29" s="86" t="n">
        <f aca="false">+M29-S29-U29</f>
        <v>0</v>
      </c>
    </row>
    <row r="30" customFormat="false" ht="15" hidden="false" customHeight="true" outlineLevel="0" collapsed="false">
      <c r="A30" s="4" t="s">
        <v>5</v>
      </c>
      <c r="B30" s="77" t="s">
        <v>40</v>
      </c>
      <c r="C30" s="4" t="n">
        <v>4362701</v>
      </c>
      <c r="D30" s="90" t="s">
        <v>36</v>
      </c>
      <c r="E30" s="91" t="n">
        <v>37254</v>
      </c>
      <c r="F30" s="102"/>
      <c r="G30" s="102" t="n">
        <v>10486</v>
      </c>
      <c r="H30" s="102" t="s">
        <v>525</v>
      </c>
      <c r="I30" s="102" t="s">
        <v>532</v>
      </c>
      <c r="J30" s="103" t="str">
        <f aca="false">IF(ISNA(VLOOKUP(B30,cngdata,7,FALSE())),"na",VLOOKUP(B30,cngdata,7,FALSE()))</f>
        <v>na</v>
      </c>
      <c r="K30" s="79" t="str">
        <f aca="false">IF(ISNA(VLOOKUP(B30,cngdata,13,FALSE())),"na",VLOOKUP(B30,cngdata,13,FALSE()))</f>
        <v>na</v>
      </c>
      <c r="L30" s="104" t="n">
        <f aca="false">+CNGPricing!$H$21</f>
        <v>3.2</v>
      </c>
      <c r="M30" s="79" t="n">
        <f aca="false">IF(ISNA(VLOOKUP(B30,cngdata,14,FALSE())),0,VLOOKUP(B30,cngdata,14,FALSE()))</f>
        <v>0</v>
      </c>
      <c r="O30" s="81" t="n">
        <v>0</v>
      </c>
      <c r="P30" s="82" t="n">
        <f aca="false">L30-O30</f>
        <v>3.2</v>
      </c>
      <c r="Q30" s="83" t="n">
        <f aca="false">M30*P30</f>
        <v>0</v>
      </c>
      <c r="R30" s="74"/>
      <c r="S30" s="79" t="n">
        <f aca="false">IF(ISNA(VLOOKUP(B30,SplitVol,5,FALSE())),0,VLOOKUP(B30,SplitVol,5,FALSE()))</f>
        <v>0</v>
      </c>
      <c r="T30" s="84" t="n">
        <f aca="false">+S30*L30</f>
        <v>0</v>
      </c>
      <c r="U30" s="79" t="n">
        <f aca="false">IF(ISNA(VLOOKUP(B30,SplitVol,6,FALSE())),0,VLOOKUP(B30,SplitVol,6,FALSE()))</f>
        <v>0</v>
      </c>
      <c r="V30" s="84" t="n">
        <f aca="false">+U30*L30</f>
        <v>0</v>
      </c>
      <c r="W30" s="85" t="str">
        <f aca="false">IF(ISBLANK(VLOOKUP(B30,EffDate,4,FALSE())),"na",VLOOKUP(B30,EffDate,4,FALSE()))</f>
        <v>na</v>
      </c>
      <c r="X30" s="86" t="n">
        <f aca="false">+M30-S30-U30</f>
        <v>0</v>
      </c>
    </row>
    <row r="31" customFormat="false" ht="15" hidden="false" customHeight="true" outlineLevel="0" collapsed="false">
      <c r="A31" s="4" t="s">
        <v>5</v>
      </c>
      <c r="B31" s="77" t="s">
        <v>41</v>
      </c>
      <c r="C31" s="4" t="n">
        <v>4366601</v>
      </c>
      <c r="D31" s="90" t="s">
        <v>36</v>
      </c>
      <c r="E31" s="91" t="n">
        <v>37254</v>
      </c>
      <c r="F31" s="102"/>
      <c r="G31" s="102" t="n">
        <v>10486</v>
      </c>
      <c r="H31" s="102" t="s">
        <v>525</v>
      </c>
      <c r="I31" s="102" t="s">
        <v>532</v>
      </c>
      <c r="J31" s="103" t="str">
        <f aca="false">IF(ISNA(VLOOKUP(B31,cngdata,7,FALSE())),"na",VLOOKUP(B31,cngdata,7,FALSE()))</f>
        <v>na</v>
      </c>
      <c r="K31" s="79" t="str">
        <f aca="false">IF(ISNA(VLOOKUP(B31,cngdata,13,FALSE())),"na",VLOOKUP(B31,cngdata,13,FALSE()))</f>
        <v>na</v>
      </c>
      <c r="L31" s="104" t="n">
        <f aca="false">+CNGPricing!$H$21</f>
        <v>3.2</v>
      </c>
      <c r="M31" s="79" t="n">
        <f aca="false">IF(ISNA(VLOOKUP(B31,cngdata,14,FALSE())),0,VLOOKUP(B31,cngdata,14,FALSE()))</f>
        <v>0</v>
      </c>
      <c r="O31" s="81" t="n">
        <v>0</v>
      </c>
      <c r="P31" s="82" t="n">
        <f aca="false">L31-O31</f>
        <v>3.2</v>
      </c>
      <c r="Q31" s="83" t="n">
        <f aca="false">M31*P31</f>
        <v>0</v>
      </c>
      <c r="R31" s="74"/>
      <c r="S31" s="79" t="n">
        <f aca="false">IF(ISNA(VLOOKUP(B31,SplitVol,5,FALSE())),0,VLOOKUP(B31,SplitVol,5,FALSE()))</f>
        <v>0</v>
      </c>
      <c r="T31" s="84" t="n">
        <f aca="false">+S31*L31</f>
        <v>0</v>
      </c>
      <c r="U31" s="79" t="n">
        <f aca="false">IF(ISNA(VLOOKUP(B31,SplitVol,6,FALSE())),0,VLOOKUP(B31,SplitVol,6,FALSE()))</f>
        <v>0</v>
      </c>
      <c r="V31" s="84" t="n">
        <f aca="false">+U31*L31</f>
        <v>0</v>
      </c>
      <c r="W31" s="85" t="str">
        <f aca="false">IF(ISBLANK(VLOOKUP(B31,EffDate,4,FALSE())),"na",VLOOKUP(B31,EffDate,4,FALSE()))</f>
        <v>na</v>
      </c>
      <c r="X31" s="86" t="n">
        <f aca="false">+M31-S31-U31</f>
        <v>0</v>
      </c>
    </row>
    <row r="32" customFormat="false" ht="15" hidden="false" customHeight="true" outlineLevel="0" collapsed="false">
      <c r="A32" s="4" t="s">
        <v>5</v>
      </c>
      <c r="B32" s="77" t="s">
        <v>37</v>
      </c>
      <c r="C32" s="4" t="n">
        <v>4006101</v>
      </c>
      <c r="D32" s="90" t="s">
        <v>36</v>
      </c>
      <c r="E32" s="91" t="n">
        <v>37254</v>
      </c>
      <c r="F32" s="102"/>
      <c r="G32" s="102" t="n">
        <v>10486</v>
      </c>
      <c r="H32" s="102" t="s">
        <v>525</v>
      </c>
      <c r="I32" s="102" t="s">
        <v>532</v>
      </c>
      <c r="J32" s="103" t="str">
        <f aca="false">IF(ISNA(VLOOKUP(B32,cngdata,7,FALSE())),"na",VLOOKUP(B32,cngdata,7,FALSE()))</f>
        <v>na</v>
      </c>
      <c r="K32" s="79" t="str">
        <f aca="false">IF(ISNA(VLOOKUP(B32,cngdata,13,FALSE())),"na",VLOOKUP(B32,cngdata,13,FALSE()))</f>
        <v>na</v>
      </c>
      <c r="L32" s="104" t="n">
        <f aca="false">+CNGPricing!$H$21</f>
        <v>3.2</v>
      </c>
      <c r="M32" s="79" t="n">
        <f aca="false">IF(ISNA(VLOOKUP(B32,cngdata,14,FALSE())),0,VLOOKUP(B32,cngdata,14,FALSE()))</f>
        <v>0</v>
      </c>
      <c r="O32" s="81" t="n">
        <v>0</v>
      </c>
      <c r="P32" s="82" t="n">
        <f aca="false">L32-O32</f>
        <v>3.2</v>
      </c>
      <c r="Q32" s="83" t="n">
        <f aca="false">M32*P32</f>
        <v>0</v>
      </c>
      <c r="R32" s="74"/>
      <c r="S32" s="79" t="n">
        <f aca="false">IF(ISNA(VLOOKUP(B32,SplitVol,5,FALSE())),0,VLOOKUP(B32,SplitVol,5,FALSE()))</f>
        <v>0</v>
      </c>
      <c r="T32" s="84" t="n">
        <f aca="false">+S32*L32</f>
        <v>0</v>
      </c>
      <c r="U32" s="79" t="n">
        <f aca="false">IF(ISNA(VLOOKUP(B32,SplitVol,6,FALSE())),0,VLOOKUP(B32,SplitVol,6,FALSE()))</f>
        <v>0</v>
      </c>
      <c r="V32" s="84" t="n">
        <f aca="false">+U32*L32</f>
        <v>0</v>
      </c>
      <c r="W32" s="85" t="str">
        <f aca="false">IF(ISBLANK(VLOOKUP(B32,EffDate,4,FALSE())),"na",VLOOKUP(B32,EffDate,4,FALSE()))</f>
        <v>na</v>
      </c>
      <c r="X32" s="86" t="n">
        <f aca="false">+M32-S32-U32</f>
        <v>0</v>
      </c>
    </row>
    <row r="33" customFormat="false" ht="15" hidden="false" customHeight="true" outlineLevel="0" collapsed="false">
      <c r="A33" s="4" t="s">
        <v>5</v>
      </c>
      <c r="B33" s="77" t="s">
        <v>38</v>
      </c>
      <c r="C33" s="4" t="n">
        <v>4354601</v>
      </c>
      <c r="D33" s="90" t="s">
        <v>36</v>
      </c>
      <c r="E33" s="91" t="n">
        <v>37254</v>
      </c>
      <c r="F33" s="102"/>
      <c r="G33" s="102" t="n">
        <v>10486</v>
      </c>
      <c r="H33" s="102" t="s">
        <v>525</v>
      </c>
      <c r="I33" s="102" t="s">
        <v>532</v>
      </c>
      <c r="J33" s="103" t="str">
        <f aca="false">IF(ISNA(VLOOKUP(B33,cngdata,7,FALSE())),"na",VLOOKUP(B33,cngdata,7,FALSE()))</f>
        <v>na</v>
      </c>
      <c r="K33" s="79" t="str">
        <f aca="false">IF(ISNA(VLOOKUP(B33,cngdata,13,FALSE())),"na",VLOOKUP(B33,cngdata,13,FALSE()))</f>
        <v>na</v>
      </c>
      <c r="L33" s="104" t="n">
        <f aca="false">+CNGPricing!$H$21</f>
        <v>3.2</v>
      </c>
      <c r="M33" s="79" t="n">
        <f aca="false">IF(ISNA(VLOOKUP(B33,cngdata,14,FALSE())),0,VLOOKUP(B33,cngdata,14,FALSE()))</f>
        <v>0</v>
      </c>
      <c r="O33" s="81" t="n">
        <v>0</v>
      </c>
      <c r="P33" s="82" t="n">
        <f aca="false">L33-O33</f>
        <v>3.2</v>
      </c>
      <c r="Q33" s="83" t="n">
        <f aca="false">M33*P33</f>
        <v>0</v>
      </c>
      <c r="R33" s="74"/>
      <c r="S33" s="79" t="n">
        <f aca="false">IF(ISNA(VLOOKUP(B33,SplitVol,5,FALSE())),0,VLOOKUP(B33,SplitVol,5,FALSE()))</f>
        <v>0</v>
      </c>
      <c r="T33" s="84" t="n">
        <f aca="false">+S33*L33</f>
        <v>0</v>
      </c>
      <c r="U33" s="79" t="n">
        <f aca="false">IF(ISNA(VLOOKUP(B33,SplitVol,6,FALSE())),0,VLOOKUP(B33,SplitVol,6,FALSE()))</f>
        <v>0</v>
      </c>
      <c r="V33" s="84" t="n">
        <f aca="false">+U33*L33</f>
        <v>0</v>
      </c>
      <c r="W33" s="85" t="str">
        <f aca="false">IF(ISBLANK(VLOOKUP(B33,EffDate,4,FALSE())),"na",VLOOKUP(B33,EffDate,4,FALSE()))</f>
        <v>na</v>
      </c>
      <c r="X33" s="86" t="n">
        <f aca="false">+M33-S33-U33</f>
        <v>0</v>
      </c>
    </row>
    <row r="34" customFormat="false" ht="15" hidden="false" customHeight="true" outlineLevel="0" collapsed="false">
      <c r="A34" s="4" t="s">
        <v>5</v>
      </c>
      <c r="B34" s="77" t="s">
        <v>43</v>
      </c>
      <c r="C34" s="4" t="n">
        <v>3565301</v>
      </c>
      <c r="D34" s="90" t="s">
        <v>44</v>
      </c>
      <c r="E34" s="91" t="n">
        <v>37254</v>
      </c>
      <c r="F34" s="102"/>
      <c r="G34" s="102" t="n">
        <v>10486</v>
      </c>
      <c r="H34" s="102" t="s">
        <v>525</v>
      </c>
      <c r="I34" s="102" t="s">
        <v>532</v>
      </c>
      <c r="J34" s="103" t="str">
        <f aca="false">IF(ISNA(VLOOKUP(B34,cngdata,7,FALSE())),"na",VLOOKUP(B34,cngdata,7,FALSE()))</f>
        <v>na</v>
      </c>
      <c r="K34" s="79" t="str">
        <f aca="false">IF(ISNA(VLOOKUP(B34,cngdata,13,FALSE())),"na",VLOOKUP(B34,cngdata,13,FALSE()))</f>
        <v>na</v>
      </c>
      <c r="L34" s="104" t="n">
        <f aca="false">+CNGPricing!$H$21</f>
        <v>3.2</v>
      </c>
      <c r="M34" s="79" t="n">
        <f aca="false">IF(ISNA(VLOOKUP(B34,cngdata,14,FALSE())),0,VLOOKUP(B34,cngdata,14,FALSE()))</f>
        <v>0</v>
      </c>
      <c r="O34" s="81" t="n">
        <v>0</v>
      </c>
      <c r="P34" s="82" t="n">
        <f aca="false">L34-O34</f>
        <v>3.2</v>
      </c>
      <c r="Q34" s="83" t="n">
        <f aca="false">M34*P34</f>
        <v>0</v>
      </c>
      <c r="R34" s="74"/>
      <c r="S34" s="79" t="n">
        <f aca="false">IF(ISNA(VLOOKUP(B34,SplitVol,5,FALSE())),0,VLOOKUP(B34,SplitVol,5,FALSE()))</f>
        <v>0</v>
      </c>
      <c r="T34" s="84" t="n">
        <f aca="false">+S34*L34</f>
        <v>0</v>
      </c>
      <c r="U34" s="79" t="n">
        <f aca="false">IF(ISNA(VLOOKUP(B34,SplitVol,6,FALSE())),0,VLOOKUP(B34,SplitVol,6,FALSE()))</f>
        <v>0</v>
      </c>
      <c r="V34" s="84" t="n">
        <f aca="false">+U34*L34</f>
        <v>0</v>
      </c>
      <c r="W34" s="85" t="str">
        <f aca="false">IF(ISBLANK(VLOOKUP(B34,EffDate,4,FALSE())),"na",VLOOKUP(B34,EffDate,4,FALSE()))</f>
        <v>na</v>
      </c>
      <c r="X34" s="86" t="n">
        <f aca="false">+M34-S34-U34</f>
        <v>0</v>
      </c>
    </row>
    <row r="35" customFormat="false" ht="15" hidden="false" customHeight="true" outlineLevel="0" collapsed="false">
      <c r="A35" s="78" t="s">
        <v>8</v>
      </c>
      <c r="B35" s="78" t="s">
        <v>45</v>
      </c>
      <c r="C35" s="88" t="n">
        <v>1055201</v>
      </c>
      <c r="D35" s="105" t="s">
        <v>46</v>
      </c>
      <c r="E35" s="106" t="n">
        <v>37228</v>
      </c>
      <c r="F35" s="4" t="s">
        <v>46</v>
      </c>
      <c r="G35" s="6" t="n">
        <v>141089</v>
      </c>
      <c r="H35" s="6"/>
      <c r="I35" s="6" t="s">
        <v>533</v>
      </c>
      <c r="J35" s="79" t="str">
        <f aca="false">IF(ISNA(VLOOKUP(B35,cngdata,7,FALSE())),"na",VLOOKUP(B35,cngdata,7,FALSE()))</f>
        <v>GW</v>
      </c>
      <c r="K35" s="79" t="n">
        <f aca="false">IF(ISNA(VLOOKUP(B35,cngdata,13,FALSE())),"na",VLOOKUP(B35,cngdata,13,FALSE()))</f>
        <v>0</v>
      </c>
      <c r="L35" s="80" t="n">
        <f aca="false">+CNGPricing!$H$32</f>
        <v>2.42</v>
      </c>
      <c r="M35" s="79" t="n">
        <f aca="false">IF(ISNA(VLOOKUP(B35,cngdata,14,FALSE())),0,VLOOKUP(B35,cngdata,14,FALSE()))</f>
        <v>0</v>
      </c>
      <c r="O35" s="81" t="n">
        <v>0</v>
      </c>
      <c r="P35" s="82" t="n">
        <f aca="false">L35-O35</f>
        <v>2.42</v>
      </c>
      <c r="Q35" s="83" t="n">
        <f aca="false">M35*P35</f>
        <v>0</v>
      </c>
      <c r="R35" s="74"/>
      <c r="S35" s="79" t="n">
        <f aca="false">IF(ISNA(VLOOKUP(B35,SplitVol,5,FALSE())),0,VLOOKUP(B35,SplitVol,5,FALSE()))</f>
        <v>0</v>
      </c>
      <c r="T35" s="84" t="n">
        <f aca="false">+S35*L35</f>
        <v>0</v>
      </c>
      <c r="U35" s="79" t="n">
        <f aca="false">IF(ISNA(VLOOKUP(B35,SplitVol,6,FALSE())),0,VLOOKUP(B35,SplitVol,6,FALSE()))</f>
        <v>0</v>
      </c>
      <c r="V35" s="84" t="n">
        <f aca="false">+U35*L35</f>
        <v>0</v>
      </c>
      <c r="W35" s="85" t="n">
        <f aca="false">IF(ISBLANK(VLOOKUP(B35,EffDate,4,FALSE())),"na",VLOOKUP(B35,EffDate,4,FALSE()))</f>
        <v>37228</v>
      </c>
      <c r="X35" s="86" t="n">
        <f aca="false">+M35-S35-U35</f>
        <v>0</v>
      </c>
    </row>
    <row r="36" customFormat="false" ht="15" hidden="false" customHeight="true" outlineLevel="0" collapsed="false">
      <c r="A36" s="78" t="s">
        <v>8</v>
      </c>
      <c r="B36" s="78" t="s">
        <v>47</v>
      </c>
      <c r="C36" s="88" t="n">
        <v>1058501</v>
      </c>
      <c r="D36" s="105" t="s">
        <v>46</v>
      </c>
      <c r="E36" s="106" t="n">
        <v>37228</v>
      </c>
      <c r="F36" s="4" t="s">
        <v>46</v>
      </c>
      <c r="G36" s="6" t="n">
        <v>141089</v>
      </c>
      <c r="H36" s="6"/>
      <c r="I36" s="6" t="s">
        <v>533</v>
      </c>
      <c r="J36" s="79" t="str">
        <f aca="false">IF(ISNA(VLOOKUP(B36,cngdata,7,FALSE())),"na",VLOOKUP(B36,cngdata,7,FALSE()))</f>
        <v>GW</v>
      </c>
      <c r="K36" s="79" t="n">
        <f aca="false">IF(ISNA(VLOOKUP(B36,cngdata,13,FALSE())),"na",VLOOKUP(B36,cngdata,13,FALSE()))</f>
        <v>0</v>
      </c>
      <c r="L36" s="80" t="n">
        <f aca="false">+CNGPricing!$H$32</f>
        <v>2.42</v>
      </c>
      <c r="M36" s="79" t="n">
        <f aca="false">IF(ISNA(VLOOKUP(B36,cngdata,14,FALSE())),0,VLOOKUP(B36,cngdata,14,FALSE()))</f>
        <v>0</v>
      </c>
      <c r="O36" s="81" t="n">
        <v>0</v>
      </c>
      <c r="P36" s="82" t="n">
        <f aca="false">L36-O36</f>
        <v>2.42</v>
      </c>
      <c r="Q36" s="83" t="n">
        <f aca="false">M36*P36</f>
        <v>0</v>
      </c>
      <c r="R36" s="74"/>
      <c r="S36" s="79" t="n">
        <f aca="false">IF(ISNA(VLOOKUP(B36,SplitVol,5,FALSE())),0,VLOOKUP(B36,SplitVol,5,FALSE()))</f>
        <v>0</v>
      </c>
      <c r="T36" s="84" t="n">
        <f aca="false">+S36*L36</f>
        <v>0</v>
      </c>
      <c r="U36" s="79" t="n">
        <f aca="false">IF(ISNA(VLOOKUP(B36,SplitVol,6,FALSE())),0,VLOOKUP(B36,SplitVol,6,FALSE()))</f>
        <v>0</v>
      </c>
      <c r="V36" s="84" t="n">
        <f aca="false">+U36*L36</f>
        <v>0</v>
      </c>
      <c r="W36" s="85" t="n">
        <f aca="false">IF(ISBLANK(VLOOKUP(B36,EffDate,4,FALSE())),"na",VLOOKUP(B36,EffDate,4,FALSE()))</f>
        <v>37228</v>
      </c>
      <c r="X36" s="86" t="n">
        <f aca="false">+M36-S36-U36</f>
        <v>0</v>
      </c>
    </row>
    <row r="37" customFormat="false" ht="15" hidden="false" customHeight="true" outlineLevel="0" collapsed="false">
      <c r="A37" s="78" t="s">
        <v>8</v>
      </c>
      <c r="B37" s="78" t="s">
        <v>48</v>
      </c>
      <c r="C37" s="88" t="n">
        <v>1059901</v>
      </c>
      <c r="D37" s="105" t="s">
        <v>46</v>
      </c>
      <c r="E37" s="106" t="n">
        <v>37228</v>
      </c>
      <c r="F37" s="4" t="s">
        <v>46</v>
      </c>
      <c r="G37" s="6" t="n">
        <v>141089</v>
      </c>
      <c r="H37" s="6"/>
      <c r="I37" s="6" t="s">
        <v>533</v>
      </c>
      <c r="J37" s="79" t="str">
        <f aca="false">IF(ISNA(VLOOKUP(B37,cngdata,7,FALSE())),"na",VLOOKUP(B37,cngdata,7,FALSE()))</f>
        <v>GW</v>
      </c>
      <c r="K37" s="79" t="n">
        <f aca="false">IF(ISNA(VLOOKUP(B37,cngdata,13,FALSE())),"na",VLOOKUP(B37,cngdata,13,FALSE()))</f>
        <v>324</v>
      </c>
      <c r="L37" s="80" t="n">
        <f aca="false">+CNGPricing!$H$32</f>
        <v>2.42</v>
      </c>
      <c r="M37" s="79" t="n">
        <f aca="false">IF(ISNA(VLOOKUP(B37,cngdata,14,FALSE())),0,VLOOKUP(B37,cngdata,14,FALSE()))</f>
        <v>361</v>
      </c>
      <c r="O37" s="81" t="n">
        <v>0</v>
      </c>
      <c r="P37" s="82" t="n">
        <f aca="false">L37-O37</f>
        <v>2.42</v>
      </c>
      <c r="Q37" s="83" t="n">
        <f aca="false">M37*P37</f>
        <v>873.62</v>
      </c>
      <c r="R37" s="74"/>
      <c r="S37" s="79" t="n">
        <f aca="false">IF(ISNA(VLOOKUP(B37,SplitVol,5,FALSE())),0,VLOOKUP(B37,SplitVol,5,FALSE()))</f>
        <v>24</v>
      </c>
      <c r="T37" s="84" t="n">
        <f aca="false">+S37*L37</f>
        <v>58.08</v>
      </c>
      <c r="U37" s="79" t="n">
        <f aca="false">IF(ISNA(VLOOKUP(B37,SplitVol,6,FALSE())),0,VLOOKUP(B37,SplitVol,6,FALSE()))</f>
        <v>337</v>
      </c>
      <c r="V37" s="84" t="n">
        <f aca="false">+U37*L37</f>
        <v>815.54</v>
      </c>
      <c r="W37" s="85" t="n">
        <f aca="false">IF(ISBLANK(VLOOKUP(B37,EffDate,4,FALSE())),"na",VLOOKUP(B37,EffDate,4,FALSE()))</f>
        <v>37228</v>
      </c>
      <c r="X37" s="86" t="n">
        <f aca="false">+M37-S37-U37</f>
        <v>0</v>
      </c>
    </row>
    <row r="38" customFormat="false" ht="15" hidden="false" customHeight="true" outlineLevel="0" collapsed="false">
      <c r="A38" s="78" t="s">
        <v>8</v>
      </c>
      <c r="B38" s="78" t="s">
        <v>49</v>
      </c>
      <c r="C38" s="88" t="n">
        <v>1063501</v>
      </c>
      <c r="D38" s="105" t="s">
        <v>46</v>
      </c>
      <c r="E38" s="106" t="n">
        <v>37228</v>
      </c>
      <c r="F38" s="4" t="s">
        <v>46</v>
      </c>
      <c r="G38" s="6" t="n">
        <v>141089</v>
      </c>
      <c r="H38" s="6"/>
      <c r="I38" s="6" t="s">
        <v>533</v>
      </c>
      <c r="J38" s="79" t="str">
        <f aca="false">IF(ISNA(VLOOKUP(B38,cngdata,7,FALSE())),"na",VLOOKUP(B38,cngdata,7,FALSE()))</f>
        <v>GW</v>
      </c>
      <c r="K38" s="79" t="n">
        <f aca="false">IF(ISNA(VLOOKUP(B38,cngdata,13,FALSE())),"na",VLOOKUP(B38,cngdata,13,FALSE()))</f>
        <v>0</v>
      </c>
      <c r="L38" s="80" t="n">
        <f aca="false">+CNGPricing!$H$32</f>
        <v>2.42</v>
      </c>
      <c r="M38" s="79" t="n">
        <f aca="false">IF(ISNA(VLOOKUP(B38,cngdata,14,FALSE())),0,VLOOKUP(B38,cngdata,14,FALSE()))</f>
        <v>0</v>
      </c>
      <c r="O38" s="81" t="n">
        <v>0</v>
      </c>
      <c r="P38" s="82" t="n">
        <f aca="false">L38-O38</f>
        <v>2.42</v>
      </c>
      <c r="Q38" s="83" t="n">
        <f aca="false">M38*P38</f>
        <v>0</v>
      </c>
      <c r="R38" s="74"/>
      <c r="S38" s="79" t="n">
        <f aca="false">IF(ISNA(VLOOKUP(B38,SplitVol,5,FALSE())),0,VLOOKUP(B38,SplitVol,5,FALSE()))</f>
        <v>0</v>
      </c>
      <c r="T38" s="84" t="n">
        <f aca="false">+S38*L38</f>
        <v>0</v>
      </c>
      <c r="U38" s="79" t="n">
        <f aca="false">IF(ISNA(VLOOKUP(B38,SplitVol,6,FALSE())),0,VLOOKUP(B38,SplitVol,6,FALSE()))</f>
        <v>0</v>
      </c>
      <c r="V38" s="84" t="n">
        <f aca="false">+U38*L38</f>
        <v>0</v>
      </c>
      <c r="W38" s="85" t="n">
        <f aca="false">IF(ISBLANK(VLOOKUP(B38,EffDate,4,FALSE())),"na",VLOOKUP(B38,EffDate,4,FALSE()))</f>
        <v>37228</v>
      </c>
      <c r="X38" s="86" t="n">
        <f aca="false">+M38-S38-U38</f>
        <v>0</v>
      </c>
    </row>
    <row r="39" customFormat="false" ht="15" hidden="false" customHeight="true" outlineLevel="0" collapsed="false">
      <c r="A39" s="78" t="s">
        <v>8</v>
      </c>
      <c r="B39" s="78" t="s">
        <v>73</v>
      </c>
      <c r="C39" s="88" t="n">
        <v>3549701</v>
      </c>
      <c r="D39" s="105" t="s">
        <v>46</v>
      </c>
      <c r="E39" s="106" t="n">
        <v>37228</v>
      </c>
      <c r="F39" s="4" t="s">
        <v>46</v>
      </c>
      <c r="G39" s="6" t="n">
        <v>141089</v>
      </c>
      <c r="H39" s="6"/>
      <c r="I39" s="6" t="s">
        <v>533</v>
      </c>
      <c r="J39" s="79" t="str">
        <f aca="false">IF(ISNA(VLOOKUP(B39,cngdata,7,FALSE())),"na",VLOOKUP(B39,cngdata,7,FALSE()))</f>
        <v>GW</v>
      </c>
      <c r="K39" s="79" t="n">
        <f aca="false">IF(ISNA(VLOOKUP(B39,cngdata,13,FALSE())),"na",VLOOKUP(B39,cngdata,13,FALSE()))</f>
        <v>173</v>
      </c>
      <c r="L39" s="80" t="n">
        <f aca="false">+CNGPricing!$H$32</f>
        <v>2.42</v>
      </c>
      <c r="M39" s="79" t="n">
        <f aca="false">IF(ISNA(VLOOKUP(B39,cngdata,14,FALSE())),0,VLOOKUP(B39,cngdata,14,FALSE()))</f>
        <v>188</v>
      </c>
      <c r="O39" s="81" t="n">
        <v>0</v>
      </c>
      <c r="P39" s="82" t="n">
        <f aca="false">L39-O39</f>
        <v>2.42</v>
      </c>
      <c r="Q39" s="83" t="n">
        <f aca="false">M39*P39</f>
        <v>454.96</v>
      </c>
      <c r="R39" s="74"/>
      <c r="S39" s="79" t="n">
        <f aca="false">IF(ISNA(VLOOKUP(B39,SplitVol,5,FALSE())),0,VLOOKUP(B39,SplitVol,5,FALSE()))</f>
        <v>12</v>
      </c>
      <c r="T39" s="84" t="n">
        <f aca="false">+S39*L39</f>
        <v>29.04</v>
      </c>
      <c r="U39" s="79" t="n">
        <f aca="false">IF(ISNA(VLOOKUP(B39,SplitVol,6,FALSE())),0,VLOOKUP(B39,SplitVol,6,FALSE()))</f>
        <v>176</v>
      </c>
      <c r="V39" s="84" t="n">
        <f aca="false">+U39*L39</f>
        <v>425.92</v>
      </c>
      <c r="W39" s="85" t="n">
        <f aca="false">IF(ISBLANK(VLOOKUP(B39,EffDate,4,FALSE())),"na",VLOOKUP(B39,EffDate,4,FALSE()))</f>
        <v>37228</v>
      </c>
      <c r="X39" s="86" t="n">
        <f aca="false">+M39-S39-U39</f>
        <v>0</v>
      </c>
    </row>
    <row r="40" customFormat="false" ht="15" hidden="false" customHeight="true" outlineLevel="0" collapsed="false">
      <c r="A40" s="78" t="s">
        <v>8</v>
      </c>
      <c r="B40" s="78" t="s">
        <v>74</v>
      </c>
      <c r="C40" s="88" t="n">
        <v>3552201</v>
      </c>
      <c r="D40" s="105" t="s">
        <v>46</v>
      </c>
      <c r="E40" s="106" t="n">
        <v>37228</v>
      </c>
      <c r="F40" s="4" t="s">
        <v>46</v>
      </c>
      <c r="G40" s="6" t="n">
        <v>141089</v>
      </c>
      <c r="H40" s="6"/>
      <c r="I40" s="6" t="s">
        <v>533</v>
      </c>
      <c r="J40" s="79" t="str">
        <f aca="false">IF(ISNA(VLOOKUP(B40,cngdata,7,FALSE())),"na",VLOOKUP(B40,cngdata,7,FALSE()))</f>
        <v>GW</v>
      </c>
      <c r="K40" s="79" t="n">
        <f aca="false">IF(ISNA(VLOOKUP(B40,cngdata,13,FALSE())),"na",VLOOKUP(B40,cngdata,13,FALSE()))</f>
        <v>3</v>
      </c>
      <c r="L40" s="80" t="n">
        <f aca="false">+CNGPricing!$H$32</f>
        <v>2.42</v>
      </c>
      <c r="M40" s="79" t="n">
        <f aca="false">IF(ISNA(VLOOKUP(B40,cngdata,14,FALSE())),0,VLOOKUP(B40,cngdata,14,FALSE()))</f>
        <v>3</v>
      </c>
      <c r="O40" s="81" t="n">
        <v>0</v>
      </c>
      <c r="P40" s="82" t="n">
        <f aca="false">L40-O40</f>
        <v>2.42</v>
      </c>
      <c r="Q40" s="83" t="n">
        <f aca="false">M40*P40</f>
        <v>7.26</v>
      </c>
      <c r="R40" s="74"/>
      <c r="S40" s="79" t="n">
        <f aca="false">IF(ISNA(VLOOKUP(B40,SplitVol,5,FALSE())),0,VLOOKUP(B40,SplitVol,5,FALSE()))</f>
        <v>2</v>
      </c>
      <c r="T40" s="84" t="n">
        <f aca="false">+S40*L40</f>
        <v>4.84</v>
      </c>
      <c r="U40" s="79" t="n">
        <f aca="false">IF(ISNA(VLOOKUP(B40,SplitVol,6,FALSE())),0,VLOOKUP(B40,SplitVol,6,FALSE()))-1</f>
        <v>1</v>
      </c>
      <c r="V40" s="84" t="n">
        <f aca="false">+U40*L40</f>
        <v>2.42</v>
      </c>
      <c r="W40" s="85" t="n">
        <f aca="false">IF(ISBLANK(VLOOKUP(B40,EffDate,4,FALSE())),"na",VLOOKUP(B40,EffDate,4,FALSE()))</f>
        <v>37228</v>
      </c>
      <c r="X40" s="86" t="n">
        <f aca="false">+M40-S40-U40</f>
        <v>0</v>
      </c>
    </row>
    <row r="41" customFormat="false" ht="15" hidden="false" customHeight="true" outlineLevel="0" collapsed="false">
      <c r="A41" s="78" t="s">
        <v>8</v>
      </c>
      <c r="B41" s="78" t="s">
        <v>75</v>
      </c>
      <c r="C41" s="88" t="n">
        <v>3557101</v>
      </c>
      <c r="D41" s="105" t="s">
        <v>46</v>
      </c>
      <c r="E41" s="106" t="n">
        <v>37228</v>
      </c>
      <c r="F41" s="4" t="s">
        <v>46</v>
      </c>
      <c r="G41" s="6" t="n">
        <v>141089</v>
      </c>
      <c r="H41" s="6"/>
      <c r="I41" s="6" t="s">
        <v>533</v>
      </c>
      <c r="J41" s="79" t="str">
        <f aca="false">IF(ISNA(VLOOKUP(B41,cngdata,7,FALSE())),"na",VLOOKUP(B41,cngdata,7,FALSE()))</f>
        <v>GW</v>
      </c>
      <c r="K41" s="79" t="n">
        <f aca="false">IF(ISNA(VLOOKUP(B41,cngdata,13,FALSE())),"na",VLOOKUP(B41,cngdata,13,FALSE()))</f>
        <v>0</v>
      </c>
      <c r="L41" s="80" t="n">
        <f aca="false">+CNGPricing!$H$32</f>
        <v>2.42</v>
      </c>
      <c r="M41" s="79" t="n">
        <f aca="false">IF(ISNA(VLOOKUP(B41,cngdata,14,FALSE())),0,VLOOKUP(B41,cngdata,14,FALSE()))</f>
        <v>0</v>
      </c>
      <c r="O41" s="81" t="n">
        <v>0</v>
      </c>
      <c r="P41" s="82" t="n">
        <f aca="false">L41-O41</f>
        <v>2.42</v>
      </c>
      <c r="Q41" s="83" t="n">
        <f aca="false">M41*P41</f>
        <v>0</v>
      </c>
      <c r="R41" s="74"/>
      <c r="S41" s="79" t="n">
        <f aca="false">IF(ISNA(VLOOKUP(B41,SplitVol,5,FALSE())),0,VLOOKUP(B41,SplitVol,5,FALSE()))</f>
        <v>0</v>
      </c>
      <c r="T41" s="84" t="n">
        <f aca="false">+S41*L41</f>
        <v>0</v>
      </c>
      <c r="U41" s="79" t="n">
        <f aca="false">IF(ISNA(VLOOKUP(B41,SplitVol,6,FALSE())),0,VLOOKUP(B41,SplitVol,6,FALSE()))</f>
        <v>0</v>
      </c>
      <c r="V41" s="84" t="n">
        <f aca="false">+U41*L41</f>
        <v>0</v>
      </c>
      <c r="W41" s="85" t="n">
        <f aca="false">IF(ISBLANK(VLOOKUP(B41,EffDate,4,FALSE())),"na",VLOOKUP(B41,EffDate,4,FALSE()))</f>
        <v>37228</v>
      </c>
      <c r="X41" s="86" t="n">
        <f aca="false">+M41-S41-U41</f>
        <v>0</v>
      </c>
    </row>
    <row r="42" customFormat="false" ht="15" hidden="false" customHeight="true" outlineLevel="0" collapsed="false">
      <c r="A42" s="78" t="s">
        <v>8</v>
      </c>
      <c r="B42" s="78" t="s">
        <v>55</v>
      </c>
      <c r="C42" s="88" t="n">
        <v>3024701</v>
      </c>
      <c r="D42" s="105" t="s">
        <v>46</v>
      </c>
      <c r="E42" s="106" t="n">
        <v>37228</v>
      </c>
      <c r="F42" s="4" t="s">
        <v>46</v>
      </c>
      <c r="G42" s="6" t="n">
        <v>141089</v>
      </c>
      <c r="H42" s="6"/>
      <c r="I42" s="6" t="s">
        <v>533</v>
      </c>
      <c r="J42" s="79" t="str">
        <f aca="false">IF(ISNA(VLOOKUP(B42,cngdata,7,FALSE())),"na",VLOOKUP(B42,cngdata,7,FALSE()))</f>
        <v>GW</v>
      </c>
      <c r="K42" s="79" t="n">
        <f aca="false">IF(ISNA(VLOOKUP(B42,cngdata,13,FALSE())),"na",VLOOKUP(B42,cngdata,13,FALSE()))</f>
        <v>0</v>
      </c>
      <c r="L42" s="80" t="n">
        <f aca="false">+CNGPricing!$H$32</f>
        <v>2.42</v>
      </c>
      <c r="M42" s="79" t="n">
        <f aca="false">IF(ISNA(VLOOKUP(B42,cngdata,14,FALSE())),0,VLOOKUP(B42,cngdata,14,FALSE()))</f>
        <v>9</v>
      </c>
      <c r="O42" s="81" t="n">
        <v>0</v>
      </c>
      <c r="P42" s="82" t="n">
        <f aca="false">L42-O42</f>
        <v>2.42</v>
      </c>
      <c r="Q42" s="83" t="n">
        <f aca="false">M42*P42</f>
        <v>21.78</v>
      </c>
      <c r="R42" s="74"/>
      <c r="S42" s="79" t="n">
        <f aca="false">IF(ISNA(VLOOKUP(B42,SplitVol,5,FALSE())),0,VLOOKUP(B42,SplitVol,5,FALSE()))</f>
        <v>2</v>
      </c>
      <c r="T42" s="84" t="n">
        <f aca="false">+S42*L42</f>
        <v>4.84</v>
      </c>
      <c r="U42" s="79" t="n">
        <f aca="false">IF(ISNA(VLOOKUP(B42,SplitVol,6,FALSE())),0,VLOOKUP(B42,SplitVol,6,FALSE()))</f>
        <v>7</v>
      </c>
      <c r="V42" s="84" t="n">
        <f aca="false">+U42*L42</f>
        <v>16.94</v>
      </c>
      <c r="W42" s="85" t="n">
        <f aca="false">IF(ISBLANK(VLOOKUP(B42,EffDate,4,FALSE())),"na",VLOOKUP(B42,EffDate,4,FALSE()))</f>
        <v>37228</v>
      </c>
      <c r="X42" s="86" t="n">
        <f aca="false">+M42-S42-U42</f>
        <v>0</v>
      </c>
    </row>
    <row r="43" customFormat="false" ht="15" hidden="false" customHeight="true" outlineLevel="0" collapsed="false">
      <c r="A43" s="78" t="s">
        <v>8</v>
      </c>
      <c r="B43" s="78" t="s">
        <v>56</v>
      </c>
      <c r="C43" s="88" t="n">
        <v>3024901</v>
      </c>
      <c r="D43" s="105" t="s">
        <v>46</v>
      </c>
      <c r="E43" s="106" t="n">
        <v>37228</v>
      </c>
      <c r="F43" s="4" t="s">
        <v>46</v>
      </c>
      <c r="G43" s="6" t="n">
        <v>141089</v>
      </c>
      <c r="H43" s="6"/>
      <c r="I43" s="6" t="s">
        <v>533</v>
      </c>
      <c r="J43" s="79" t="str">
        <f aca="false">IF(ISNA(VLOOKUP(B43,cngdata,7,FALSE())),"na",VLOOKUP(B43,cngdata,7,FALSE()))</f>
        <v>GW</v>
      </c>
      <c r="K43" s="79" t="n">
        <f aca="false">IF(ISNA(VLOOKUP(B43,cngdata,13,FALSE())),"na",VLOOKUP(B43,cngdata,13,FALSE()))</f>
        <v>0</v>
      </c>
      <c r="L43" s="80" t="n">
        <f aca="false">+CNGPricing!$H$32</f>
        <v>2.42</v>
      </c>
      <c r="M43" s="79" t="n">
        <f aca="false">IF(ISNA(VLOOKUP(B43,cngdata,14,FALSE())),0,VLOOKUP(B43,cngdata,14,FALSE()))</f>
        <v>0</v>
      </c>
      <c r="O43" s="81" t="n">
        <v>0</v>
      </c>
      <c r="P43" s="82" t="n">
        <f aca="false">L43-O43</f>
        <v>2.42</v>
      </c>
      <c r="Q43" s="83" t="n">
        <f aca="false">M43*P43</f>
        <v>0</v>
      </c>
      <c r="R43" s="74"/>
      <c r="S43" s="79" t="n">
        <f aca="false">IF(ISNA(VLOOKUP(B43,SplitVol,5,FALSE())),0,VLOOKUP(B43,SplitVol,5,FALSE()))</f>
        <v>0</v>
      </c>
      <c r="T43" s="84" t="n">
        <f aca="false">+S43*L43</f>
        <v>0</v>
      </c>
      <c r="U43" s="79" t="n">
        <f aca="false">IF(ISNA(VLOOKUP(B43,SplitVol,6,FALSE())),0,VLOOKUP(B43,SplitVol,6,FALSE()))</f>
        <v>0</v>
      </c>
      <c r="V43" s="84" t="n">
        <f aca="false">+U43*L43</f>
        <v>0</v>
      </c>
      <c r="W43" s="85" t="n">
        <f aca="false">IF(ISBLANK(VLOOKUP(B43,EffDate,4,FALSE())),"na",VLOOKUP(B43,EffDate,4,FALSE()))</f>
        <v>37228</v>
      </c>
      <c r="X43" s="86" t="n">
        <f aca="false">+M43-S43-U43</f>
        <v>0</v>
      </c>
    </row>
    <row r="44" customFormat="false" ht="15" hidden="false" customHeight="true" outlineLevel="0" collapsed="false">
      <c r="A44" s="78" t="s">
        <v>8</v>
      </c>
      <c r="B44" s="78" t="s">
        <v>58</v>
      </c>
      <c r="C44" s="88" t="n">
        <v>3026101</v>
      </c>
      <c r="D44" s="105" t="s">
        <v>46</v>
      </c>
      <c r="E44" s="106" t="n">
        <v>37228</v>
      </c>
      <c r="F44" s="4" t="s">
        <v>46</v>
      </c>
      <c r="G44" s="6" t="n">
        <v>141089</v>
      </c>
      <c r="H44" s="6"/>
      <c r="I44" s="6" t="s">
        <v>533</v>
      </c>
      <c r="J44" s="79" t="str">
        <f aca="false">IF(ISNA(VLOOKUP(B44,cngdata,7,FALSE())),"na",VLOOKUP(B44,cngdata,7,FALSE()))</f>
        <v>GW</v>
      </c>
      <c r="K44" s="79" t="n">
        <f aca="false">IF(ISNA(VLOOKUP(B44,cngdata,13,FALSE())),"na",VLOOKUP(B44,cngdata,13,FALSE()))</f>
        <v>0</v>
      </c>
      <c r="L44" s="80" t="n">
        <f aca="false">+CNGPricing!$H$32</f>
        <v>2.42</v>
      </c>
      <c r="M44" s="79" t="n">
        <f aca="false">IF(ISNA(VLOOKUP(B44,cngdata,14,FALSE())),0,VLOOKUP(B44,cngdata,14,FALSE()))</f>
        <v>0</v>
      </c>
      <c r="O44" s="81" t="n">
        <v>0</v>
      </c>
      <c r="P44" s="82" t="n">
        <f aca="false">L44-O44</f>
        <v>2.42</v>
      </c>
      <c r="Q44" s="83" t="n">
        <f aca="false">M44*P44</f>
        <v>0</v>
      </c>
      <c r="R44" s="74"/>
      <c r="S44" s="79" t="n">
        <f aca="false">IF(ISNA(VLOOKUP(B44,SplitVol,5,FALSE())),0,VLOOKUP(B44,SplitVol,5,FALSE()))</f>
        <v>0</v>
      </c>
      <c r="T44" s="84" t="n">
        <f aca="false">+S44*L44</f>
        <v>0</v>
      </c>
      <c r="U44" s="79" t="n">
        <f aca="false">IF(ISNA(VLOOKUP(B44,SplitVol,6,FALSE())),0,VLOOKUP(B44,SplitVol,6,FALSE()))</f>
        <v>0</v>
      </c>
      <c r="V44" s="84" t="n">
        <f aca="false">+U44*L44</f>
        <v>0</v>
      </c>
      <c r="W44" s="85" t="n">
        <f aca="false">IF(ISBLANK(VLOOKUP(B44,EffDate,4,FALSE())),"na",VLOOKUP(B44,EffDate,4,FALSE()))</f>
        <v>37228</v>
      </c>
      <c r="X44" s="86" t="n">
        <f aca="false">+M44-S44-U44</f>
        <v>0</v>
      </c>
    </row>
    <row r="45" customFormat="false" ht="15" hidden="false" customHeight="true" outlineLevel="0" collapsed="false">
      <c r="A45" s="78" t="s">
        <v>8</v>
      </c>
      <c r="B45" s="78" t="s">
        <v>59</v>
      </c>
      <c r="C45" s="88" t="n">
        <v>3026401</v>
      </c>
      <c r="D45" s="105" t="s">
        <v>46</v>
      </c>
      <c r="E45" s="106" t="n">
        <v>37228</v>
      </c>
      <c r="F45" s="4" t="s">
        <v>46</v>
      </c>
      <c r="G45" s="6" t="n">
        <v>141089</v>
      </c>
      <c r="H45" s="6"/>
      <c r="I45" s="6" t="s">
        <v>533</v>
      </c>
      <c r="J45" s="79" t="str">
        <f aca="false">IF(ISNA(VLOOKUP(B45,cngdata,7,FALSE())),"na",VLOOKUP(B45,cngdata,7,FALSE()))</f>
        <v>GW</v>
      </c>
      <c r="K45" s="79" t="n">
        <f aca="false">IF(ISNA(VLOOKUP(B45,cngdata,13,FALSE())),"na",VLOOKUP(B45,cngdata,13,FALSE()))</f>
        <v>0</v>
      </c>
      <c r="L45" s="80" t="n">
        <f aca="false">+CNGPricing!$H$32</f>
        <v>2.42</v>
      </c>
      <c r="M45" s="79" t="n">
        <f aca="false">IF(ISNA(VLOOKUP(B45,cngdata,14,FALSE())),0,VLOOKUP(B45,cngdata,14,FALSE()))</f>
        <v>0</v>
      </c>
      <c r="O45" s="81" t="n">
        <v>0</v>
      </c>
      <c r="P45" s="82" t="n">
        <f aca="false">L45-O45</f>
        <v>2.42</v>
      </c>
      <c r="Q45" s="83" t="n">
        <f aca="false">M45*P45</f>
        <v>0</v>
      </c>
      <c r="R45" s="74"/>
      <c r="S45" s="79" t="n">
        <f aca="false">IF(ISNA(VLOOKUP(B45,SplitVol,5,FALSE())),0,VLOOKUP(B45,SplitVol,5,FALSE()))</f>
        <v>0</v>
      </c>
      <c r="T45" s="84" t="n">
        <f aca="false">+S45*L45</f>
        <v>0</v>
      </c>
      <c r="U45" s="79" t="n">
        <f aca="false">IF(ISNA(VLOOKUP(B45,SplitVol,6,FALSE())),0,VLOOKUP(B45,SplitVol,6,FALSE()))</f>
        <v>0</v>
      </c>
      <c r="V45" s="84" t="n">
        <f aca="false">+U45*L45</f>
        <v>0</v>
      </c>
      <c r="W45" s="85" t="n">
        <f aca="false">IF(ISBLANK(VLOOKUP(B45,EffDate,4,FALSE())),"na",VLOOKUP(B45,EffDate,4,FALSE()))</f>
        <v>37228</v>
      </c>
      <c r="X45" s="86" t="n">
        <f aca="false">+M45-S45-U45</f>
        <v>0</v>
      </c>
    </row>
    <row r="46" customFormat="false" ht="15" hidden="false" customHeight="true" outlineLevel="0" collapsed="false">
      <c r="A46" s="78" t="s">
        <v>8</v>
      </c>
      <c r="B46" s="78" t="s">
        <v>57</v>
      </c>
      <c r="C46" s="88" t="n">
        <v>3025701</v>
      </c>
      <c r="D46" s="105" t="s">
        <v>46</v>
      </c>
      <c r="E46" s="106" t="n">
        <v>37228</v>
      </c>
      <c r="F46" s="4" t="s">
        <v>46</v>
      </c>
      <c r="G46" s="6" t="n">
        <v>141089</v>
      </c>
      <c r="H46" s="6"/>
      <c r="I46" s="6" t="s">
        <v>533</v>
      </c>
      <c r="J46" s="79" t="str">
        <f aca="false">IF(ISNA(VLOOKUP(B46,cngdata,7,FALSE())),"na",VLOOKUP(B46,cngdata,7,FALSE()))</f>
        <v>GW</v>
      </c>
      <c r="K46" s="79" t="n">
        <f aca="false">IF(ISNA(VLOOKUP(B46,cngdata,13,FALSE())),"na",VLOOKUP(B46,cngdata,13,FALSE()))</f>
        <v>0</v>
      </c>
      <c r="L46" s="80" t="n">
        <f aca="false">+CNGPricing!$H$32</f>
        <v>2.42</v>
      </c>
      <c r="M46" s="79" t="n">
        <f aca="false">IF(ISNA(VLOOKUP(B46,cngdata,14,FALSE())),0,VLOOKUP(B46,cngdata,14,FALSE()))</f>
        <v>114</v>
      </c>
      <c r="O46" s="81" t="n">
        <v>0</v>
      </c>
      <c r="P46" s="82" t="n">
        <f aca="false">L46-O46</f>
        <v>2.42</v>
      </c>
      <c r="Q46" s="83" t="n">
        <f aca="false">M46*P46</f>
        <v>275.88</v>
      </c>
      <c r="R46" s="74"/>
      <c r="S46" s="79" t="n">
        <f aca="false">IF(ISNA(VLOOKUP(B46,SplitVol,5,FALSE())),0,VLOOKUP(B46,SplitVol,5,FALSE()))</f>
        <v>9</v>
      </c>
      <c r="T46" s="84" t="n">
        <f aca="false">+S46*L46</f>
        <v>21.78</v>
      </c>
      <c r="U46" s="79" t="n">
        <f aca="false">IF(ISNA(VLOOKUP(B46,SplitVol,6,FALSE())),0,VLOOKUP(B46,SplitVol,6,FALSE()))</f>
        <v>105</v>
      </c>
      <c r="V46" s="84" t="n">
        <f aca="false">+U46*L46</f>
        <v>254.1</v>
      </c>
      <c r="W46" s="85" t="n">
        <f aca="false">IF(ISBLANK(VLOOKUP(B46,EffDate,4,FALSE())),"na",VLOOKUP(B46,EffDate,4,FALSE()))</f>
        <v>37228</v>
      </c>
      <c r="X46" s="86" t="n">
        <f aca="false">+M46-S46-U46</f>
        <v>0</v>
      </c>
    </row>
    <row r="47" customFormat="false" ht="15" hidden="false" customHeight="true" outlineLevel="0" collapsed="false">
      <c r="A47" s="78" t="s">
        <v>8</v>
      </c>
      <c r="B47" s="78" t="s">
        <v>60</v>
      </c>
      <c r="C47" s="88" t="n">
        <v>3026601</v>
      </c>
      <c r="D47" s="105" t="s">
        <v>46</v>
      </c>
      <c r="E47" s="106" t="n">
        <v>37228</v>
      </c>
      <c r="F47" s="4" t="s">
        <v>46</v>
      </c>
      <c r="G47" s="6" t="n">
        <v>141089</v>
      </c>
      <c r="H47" s="6"/>
      <c r="I47" s="6" t="s">
        <v>533</v>
      </c>
      <c r="J47" s="79" t="str">
        <f aca="false">IF(ISNA(VLOOKUP(B47,cngdata,7,FALSE())),"na",VLOOKUP(B47,cngdata,7,FALSE()))</f>
        <v>GW</v>
      </c>
      <c r="K47" s="79" t="n">
        <f aca="false">IF(ISNA(VLOOKUP(B47,cngdata,13,FALSE())),"na",VLOOKUP(B47,cngdata,13,FALSE()))</f>
        <v>0</v>
      </c>
      <c r="L47" s="80" t="n">
        <f aca="false">+CNGPricing!$H$32</f>
        <v>2.42</v>
      </c>
      <c r="M47" s="79" t="n">
        <f aca="false">IF(ISNA(VLOOKUP(B47,cngdata,14,FALSE())),0,VLOOKUP(B47,cngdata,14,FALSE()))</f>
        <v>0</v>
      </c>
      <c r="O47" s="81" t="n">
        <v>0</v>
      </c>
      <c r="P47" s="82" t="n">
        <f aca="false">L47-O47</f>
        <v>2.42</v>
      </c>
      <c r="Q47" s="83" t="n">
        <f aca="false">M47*P47</f>
        <v>0</v>
      </c>
      <c r="R47" s="74"/>
      <c r="S47" s="79" t="n">
        <f aca="false">IF(ISNA(VLOOKUP(B47,SplitVol,5,FALSE())),0,VLOOKUP(B47,SplitVol,5,FALSE()))</f>
        <v>0</v>
      </c>
      <c r="T47" s="84" t="n">
        <f aca="false">+S47*L47</f>
        <v>0</v>
      </c>
      <c r="U47" s="79" t="n">
        <f aca="false">IF(ISNA(VLOOKUP(B47,SplitVol,6,FALSE())),0,VLOOKUP(B47,SplitVol,6,FALSE()))</f>
        <v>0</v>
      </c>
      <c r="V47" s="84" t="n">
        <f aca="false">+U47*L47</f>
        <v>0</v>
      </c>
      <c r="W47" s="85" t="n">
        <f aca="false">IF(ISBLANK(VLOOKUP(B47,EffDate,4,FALSE())),"na",VLOOKUP(B47,EffDate,4,FALSE()))</f>
        <v>37228</v>
      </c>
      <c r="X47" s="86" t="n">
        <f aca="false">+M47-S47-U47</f>
        <v>0</v>
      </c>
    </row>
    <row r="48" customFormat="false" ht="15" hidden="false" customHeight="true" outlineLevel="0" collapsed="false">
      <c r="A48" s="78" t="s">
        <v>51</v>
      </c>
      <c r="B48" s="78" t="s">
        <v>52</v>
      </c>
      <c r="C48" s="88" t="n">
        <v>3021701</v>
      </c>
      <c r="D48" s="105" t="s">
        <v>46</v>
      </c>
      <c r="E48" s="106" t="n">
        <v>37228</v>
      </c>
      <c r="F48" s="4" t="s">
        <v>46</v>
      </c>
      <c r="G48" s="6" t="n">
        <v>141089</v>
      </c>
      <c r="H48" s="6"/>
      <c r="I48" s="6" t="s">
        <v>533</v>
      </c>
      <c r="J48" s="79" t="str">
        <f aca="false">IF(ISNA(VLOOKUP(B48,cngdata,7,FALSE())),"na",VLOOKUP(B48,cngdata,7,FALSE()))</f>
        <v>TW</v>
      </c>
      <c r="K48" s="79" t="n">
        <f aca="false">IF(ISNA(VLOOKUP(B48,cngdata,13,FALSE())),"na",VLOOKUP(B48,cngdata,13,FALSE()))</f>
        <v>0</v>
      </c>
      <c r="L48" s="80" t="n">
        <f aca="false">+CNGPricing!$H$32</f>
        <v>2.42</v>
      </c>
      <c r="M48" s="79" t="n">
        <f aca="false">IF(ISNA(VLOOKUP(B48,cngdata,14,FALSE())),0,VLOOKUP(B48,cngdata,14,FALSE()))</f>
        <v>0</v>
      </c>
      <c r="O48" s="81" t="n">
        <v>0</v>
      </c>
      <c r="P48" s="82" t="n">
        <f aca="false">L48-O48</f>
        <v>2.42</v>
      </c>
      <c r="Q48" s="83" t="n">
        <f aca="false">M48*P48</f>
        <v>0</v>
      </c>
      <c r="R48" s="74"/>
      <c r="S48" s="79" t="n">
        <f aca="false">IF(ISNA(VLOOKUP(B48,SplitVol,5,FALSE())),0,VLOOKUP(B48,SplitVol,5,FALSE()))</f>
        <v>0</v>
      </c>
      <c r="T48" s="84" t="n">
        <f aca="false">+S48*L48</f>
        <v>0</v>
      </c>
      <c r="U48" s="79" t="n">
        <f aca="false">IF(ISNA(VLOOKUP(B48,SplitVol,6,FALSE())),0,VLOOKUP(B48,SplitVol,6,FALSE()))</f>
        <v>0</v>
      </c>
      <c r="V48" s="84" t="n">
        <f aca="false">+U48*L48</f>
        <v>0</v>
      </c>
      <c r="W48" s="85" t="n">
        <f aca="false">IF(ISBLANK(VLOOKUP(B48,EffDate,4,FALSE())),"na",VLOOKUP(B48,EffDate,4,FALSE()))</f>
        <v>37228</v>
      </c>
      <c r="X48" s="86" t="n">
        <f aca="false">+M48-S48-U48</f>
        <v>0</v>
      </c>
    </row>
    <row r="49" customFormat="false" ht="15" hidden="false" customHeight="true" outlineLevel="0" collapsed="false">
      <c r="A49" s="78" t="s">
        <v>8</v>
      </c>
      <c r="B49" s="78" t="s">
        <v>62</v>
      </c>
      <c r="C49" s="88" t="n">
        <v>3029801</v>
      </c>
      <c r="D49" s="105" t="s">
        <v>46</v>
      </c>
      <c r="E49" s="106" t="n">
        <v>37228</v>
      </c>
      <c r="F49" s="4" t="s">
        <v>46</v>
      </c>
      <c r="G49" s="6" t="n">
        <v>141089</v>
      </c>
      <c r="H49" s="6"/>
      <c r="I49" s="6" t="s">
        <v>533</v>
      </c>
      <c r="J49" s="79" t="str">
        <f aca="false">IF(ISNA(VLOOKUP(B49,cngdata,7,FALSE())),"na",VLOOKUP(B49,cngdata,7,FALSE()))</f>
        <v>GW</v>
      </c>
      <c r="K49" s="79" t="n">
        <f aca="false">IF(ISNA(VLOOKUP(B49,cngdata,13,FALSE())),"na",VLOOKUP(B49,cngdata,13,FALSE()))</f>
        <v>0</v>
      </c>
      <c r="L49" s="80" t="n">
        <f aca="false">+CNGPricing!$H$32</f>
        <v>2.42</v>
      </c>
      <c r="M49" s="79" t="n">
        <f aca="false">IF(ISNA(VLOOKUP(B49,cngdata,14,FALSE())),0,VLOOKUP(B49,cngdata,14,FALSE()))</f>
        <v>0</v>
      </c>
      <c r="O49" s="81" t="n">
        <v>0</v>
      </c>
      <c r="P49" s="82" t="n">
        <f aca="false">L49-O49</f>
        <v>2.42</v>
      </c>
      <c r="Q49" s="83" t="n">
        <f aca="false">M49*P49</f>
        <v>0</v>
      </c>
      <c r="R49" s="74"/>
      <c r="S49" s="79" t="n">
        <f aca="false">IF(ISNA(VLOOKUP(B49,SplitVol,5,FALSE())),0,VLOOKUP(B49,SplitVol,5,FALSE()))</f>
        <v>0</v>
      </c>
      <c r="T49" s="84" t="n">
        <f aca="false">+S49*L49</f>
        <v>0</v>
      </c>
      <c r="U49" s="79" t="n">
        <f aca="false">IF(ISNA(VLOOKUP(B49,SplitVol,6,FALSE())),0,VLOOKUP(B49,SplitVol,6,FALSE()))</f>
        <v>0</v>
      </c>
      <c r="V49" s="84" t="n">
        <f aca="false">+U49*L49</f>
        <v>0</v>
      </c>
      <c r="W49" s="85" t="n">
        <f aca="false">IF(ISBLANK(VLOOKUP(B49,EffDate,4,FALSE())),"na",VLOOKUP(B49,EffDate,4,FALSE()))</f>
        <v>37228</v>
      </c>
      <c r="X49" s="86" t="n">
        <f aca="false">+M49-S49-U49</f>
        <v>0</v>
      </c>
    </row>
    <row r="50" customFormat="false" ht="15" hidden="false" customHeight="true" outlineLevel="0" collapsed="false">
      <c r="A50" s="78" t="s">
        <v>8</v>
      </c>
      <c r="B50" s="78" t="s">
        <v>61</v>
      </c>
      <c r="C50" s="88" t="n">
        <v>3029601</v>
      </c>
      <c r="D50" s="105" t="s">
        <v>46</v>
      </c>
      <c r="E50" s="106" t="n">
        <v>37228</v>
      </c>
      <c r="F50" s="4" t="s">
        <v>46</v>
      </c>
      <c r="G50" s="6" t="n">
        <v>141089</v>
      </c>
      <c r="H50" s="6"/>
      <c r="I50" s="6" t="s">
        <v>533</v>
      </c>
      <c r="J50" s="79" t="str">
        <f aca="false">IF(ISNA(VLOOKUP(B50,cngdata,7,FALSE())),"na",VLOOKUP(B50,cngdata,7,FALSE()))</f>
        <v>GW</v>
      </c>
      <c r="K50" s="79" t="n">
        <f aca="false">IF(ISNA(VLOOKUP(B50,cngdata,13,FALSE())),"na",VLOOKUP(B50,cngdata,13,FALSE()))</f>
        <v>0</v>
      </c>
      <c r="L50" s="80" t="n">
        <f aca="false">+CNGPricing!$H$32</f>
        <v>2.42</v>
      </c>
      <c r="M50" s="79" t="n">
        <f aca="false">IF(ISNA(VLOOKUP(B50,cngdata,14,FALSE())),0,VLOOKUP(B50,cngdata,14,FALSE()))</f>
        <v>0</v>
      </c>
      <c r="O50" s="81" t="n">
        <v>0</v>
      </c>
      <c r="P50" s="82" t="n">
        <f aca="false">L50-O50</f>
        <v>2.42</v>
      </c>
      <c r="Q50" s="83" t="n">
        <f aca="false">M50*P50</f>
        <v>0</v>
      </c>
      <c r="R50" s="74"/>
      <c r="S50" s="79" t="n">
        <f aca="false">IF(ISNA(VLOOKUP(B50,SplitVol,5,FALSE())),0,VLOOKUP(B50,SplitVol,5,FALSE()))</f>
        <v>0</v>
      </c>
      <c r="T50" s="84" t="n">
        <f aca="false">+S50*L50</f>
        <v>0</v>
      </c>
      <c r="U50" s="79" t="n">
        <f aca="false">IF(ISNA(VLOOKUP(B50,SplitVol,6,FALSE())),0,VLOOKUP(B50,SplitVol,6,FALSE()))</f>
        <v>0</v>
      </c>
      <c r="V50" s="84" t="n">
        <f aca="false">+U50*L50</f>
        <v>0</v>
      </c>
      <c r="W50" s="85" t="n">
        <f aca="false">IF(ISBLANK(VLOOKUP(B50,EffDate,4,FALSE())),"na",VLOOKUP(B50,EffDate,4,FALSE()))</f>
        <v>37228</v>
      </c>
      <c r="X50" s="86" t="n">
        <f aca="false">+M50-S50-U50</f>
        <v>0</v>
      </c>
    </row>
    <row r="51" customFormat="false" ht="15" hidden="false" customHeight="true" outlineLevel="0" collapsed="false">
      <c r="A51" s="78" t="s">
        <v>8</v>
      </c>
      <c r="B51" s="78" t="s">
        <v>64</v>
      </c>
      <c r="C51" s="88" t="n">
        <v>3031701</v>
      </c>
      <c r="D51" s="105" t="s">
        <v>46</v>
      </c>
      <c r="E51" s="106" t="n">
        <v>37228</v>
      </c>
      <c r="F51" s="4" t="s">
        <v>46</v>
      </c>
      <c r="G51" s="6" t="n">
        <v>141089</v>
      </c>
      <c r="H51" s="6"/>
      <c r="I51" s="6" t="s">
        <v>533</v>
      </c>
      <c r="J51" s="79" t="str">
        <f aca="false">IF(ISNA(VLOOKUP(B51,cngdata,7,FALSE())),"na",VLOOKUP(B51,cngdata,7,FALSE()))</f>
        <v>GW</v>
      </c>
      <c r="K51" s="79" t="n">
        <f aca="false">IF(ISNA(VLOOKUP(B51,cngdata,13,FALSE())),"na",VLOOKUP(B51,cngdata,13,FALSE()))</f>
        <v>0</v>
      </c>
      <c r="L51" s="80" t="n">
        <f aca="false">+CNGPricing!$H$32</f>
        <v>2.42</v>
      </c>
      <c r="M51" s="79" t="n">
        <f aca="false">IF(ISNA(VLOOKUP(B51,cngdata,14,FALSE())),0,VLOOKUP(B51,cngdata,14,FALSE()))</f>
        <v>0</v>
      </c>
      <c r="O51" s="81" t="n">
        <v>0</v>
      </c>
      <c r="P51" s="82" t="n">
        <f aca="false">L51-O51</f>
        <v>2.42</v>
      </c>
      <c r="Q51" s="83" t="n">
        <f aca="false">M51*P51</f>
        <v>0</v>
      </c>
      <c r="R51" s="74"/>
      <c r="S51" s="79" t="n">
        <f aca="false">IF(ISNA(VLOOKUP(B51,SplitVol,5,FALSE())),0,VLOOKUP(B51,SplitVol,5,FALSE()))</f>
        <v>0</v>
      </c>
      <c r="T51" s="84" t="n">
        <f aca="false">+S51*L51</f>
        <v>0</v>
      </c>
      <c r="U51" s="79" t="n">
        <f aca="false">IF(ISNA(VLOOKUP(B51,SplitVol,6,FALSE())),0,VLOOKUP(B51,SplitVol,6,FALSE()))</f>
        <v>0</v>
      </c>
      <c r="V51" s="84" t="n">
        <f aca="false">+U51*L51</f>
        <v>0</v>
      </c>
      <c r="W51" s="85" t="n">
        <f aca="false">IF(ISBLANK(VLOOKUP(B51,EffDate,4,FALSE())),"na",VLOOKUP(B51,EffDate,4,FALSE()))</f>
        <v>37228</v>
      </c>
      <c r="X51" s="86" t="n">
        <f aca="false">+M51-S51-U51</f>
        <v>0</v>
      </c>
    </row>
    <row r="52" customFormat="false" ht="15" hidden="false" customHeight="true" outlineLevel="0" collapsed="false">
      <c r="A52" s="78" t="s">
        <v>8</v>
      </c>
      <c r="B52" s="78" t="s">
        <v>68</v>
      </c>
      <c r="C52" s="88" t="n">
        <v>3209901</v>
      </c>
      <c r="D52" s="105" t="s">
        <v>46</v>
      </c>
      <c r="E52" s="106" t="n">
        <v>37228</v>
      </c>
      <c r="F52" s="4" t="s">
        <v>46</v>
      </c>
      <c r="G52" s="6" t="n">
        <v>141089</v>
      </c>
      <c r="H52" s="6"/>
      <c r="I52" s="6" t="s">
        <v>533</v>
      </c>
      <c r="J52" s="79" t="str">
        <f aca="false">IF(ISNA(VLOOKUP(B52,cngdata,7,FALSE())),"na",VLOOKUP(B52,cngdata,7,FALSE()))</f>
        <v>GW</v>
      </c>
      <c r="K52" s="79" t="n">
        <f aca="false">IF(ISNA(VLOOKUP(B52,cngdata,13,FALSE())),"na",VLOOKUP(B52,cngdata,13,FALSE()))</f>
        <v>0</v>
      </c>
      <c r="L52" s="80" t="n">
        <f aca="false">+CNGPricing!$H$32</f>
        <v>2.42</v>
      </c>
      <c r="M52" s="79" t="n">
        <f aca="false">IF(ISNA(VLOOKUP(B52,cngdata,14,FALSE())),0,VLOOKUP(B52,cngdata,14,FALSE()))</f>
        <v>0</v>
      </c>
      <c r="O52" s="81" t="n">
        <v>0</v>
      </c>
      <c r="P52" s="82" t="n">
        <f aca="false">L52-O52</f>
        <v>2.42</v>
      </c>
      <c r="Q52" s="83" t="n">
        <f aca="false">M52*P52</f>
        <v>0</v>
      </c>
      <c r="R52" s="74"/>
      <c r="S52" s="79" t="n">
        <f aca="false">IF(ISNA(VLOOKUP(B52,SplitVol,5,FALSE())),0,VLOOKUP(B52,SplitVol,5,FALSE()))</f>
        <v>0</v>
      </c>
      <c r="T52" s="84" t="n">
        <f aca="false">+S52*L52</f>
        <v>0</v>
      </c>
      <c r="U52" s="79" t="n">
        <f aca="false">IF(ISNA(VLOOKUP(B52,SplitVol,6,FALSE())),0,VLOOKUP(B52,SplitVol,6,FALSE()))</f>
        <v>0</v>
      </c>
      <c r="V52" s="84" t="n">
        <f aca="false">+U52*L52</f>
        <v>0</v>
      </c>
      <c r="W52" s="85" t="n">
        <f aca="false">IF(ISBLANK(VLOOKUP(B52,EffDate,4,FALSE())),"na",VLOOKUP(B52,EffDate,4,FALSE()))</f>
        <v>37228</v>
      </c>
      <c r="X52" s="86" t="n">
        <f aca="false">+M52-S52-U52</f>
        <v>0</v>
      </c>
    </row>
    <row r="53" customFormat="false" ht="15" hidden="false" customHeight="true" outlineLevel="0" collapsed="false">
      <c r="A53" s="78" t="s">
        <v>8</v>
      </c>
      <c r="B53" s="78" t="s">
        <v>65</v>
      </c>
      <c r="C53" s="88" t="n">
        <v>3033601</v>
      </c>
      <c r="D53" s="105" t="s">
        <v>46</v>
      </c>
      <c r="E53" s="106" t="n">
        <v>37228</v>
      </c>
      <c r="F53" s="4" t="s">
        <v>46</v>
      </c>
      <c r="G53" s="6" t="n">
        <v>141089</v>
      </c>
      <c r="H53" s="6"/>
      <c r="I53" s="6" t="s">
        <v>533</v>
      </c>
      <c r="J53" s="79" t="str">
        <f aca="false">IF(ISNA(VLOOKUP(B53,cngdata,7,FALSE())),"na",VLOOKUP(B53,cngdata,7,FALSE()))</f>
        <v>GW</v>
      </c>
      <c r="K53" s="79" t="n">
        <f aca="false">IF(ISNA(VLOOKUP(B53,cngdata,13,FALSE())),"na",VLOOKUP(B53,cngdata,13,FALSE()))</f>
        <v>0</v>
      </c>
      <c r="L53" s="80" t="n">
        <f aca="false">+CNGPricing!$H$32</f>
        <v>2.42</v>
      </c>
      <c r="M53" s="79" t="n">
        <f aca="false">IF(ISNA(VLOOKUP(B53,cngdata,14,FALSE())),0,VLOOKUP(B53,cngdata,14,FALSE()))</f>
        <v>0</v>
      </c>
      <c r="O53" s="81" t="n">
        <v>0</v>
      </c>
      <c r="P53" s="82" t="n">
        <f aca="false">L53-O53</f>
        <v>2.42</v>
      </c>
      <c r="Q53" s="83" t="n">
        <f aca="false">M53*P53</f>
        <v>0</v>
      </c>
      <c r="R53" s="74"/>
      <c r="S53" s="79" t="n">
        <f aca="false">IF(ISNA(VLOOKUP(B53,SplitVol,5,FALSE())),0,VLOOKUP(B53,SplitVol,5,FALSE()))</f>
        <v>0</v>
      </c>
      <c r="T53" s="84" t="n">
        <f aca="false">+S53*L53</f>
        <v>0</v>
      </c>
      <c r="U53" s="79" t="n">
        <f aca="false">IF(ISNA(VLOOKUP(B53,SplitVol,6,FALSE())),0,VLOOKUP(B53,SplitVol,6,FALSE()))</f>
        <v>0</v>
      </c>
      <c r="V53" s="84" t="n">
        <f aca="false">+U53*L53</f>
        <v>0</v>
      </c>
      <c r="W53" s="85" t="n">
        <f aca="false">IF(ISBLANK(VLOOKUP(B53,EffDate,4,FALSE())),"na",VLOOKUP(B53,EffDate,4,FALSE()))</f>
        <v>37228</v>
      </c>
      <c r="X53" s="86" t="n">
        <f aca="false">+M53-S53-U53</f>
        <v>0</v>
      </c>
    </row>
    <row r="54" customFormat="false" ht="15" hidden="false" customHeight="true" outlineLevel="0" collapsed="false">
      <c r="A54" s="78" t="s">
        <v>8</v>
      </c>
      <c r="B54" s="78" t="s">
        <v>71</v>
      </c>
      <c r="C54" s="88" t="n">
        <v>3312501</v>
      </c>
      <c r="D54" s="105" t="s">
        <v>46</v>
      </c>
      <c r="E54" s="106" t="n">
        <v>37228</v>
      </c>
      <c r="F54" s="4" t="s">
        <v>46</v>
      </c>
      <c r="G54" s="6" t="n">
        <v>141089</v>
      </c>
      <c r="H54" s="6"/>
      <c r="I54" s="6" t="s">
        <v>533</v>
      </c>
      <c r="J54" s="79" t="str">
        <f aca="false">IF(ISNA(VLOOKUP(B54,cngdata,7,FALSE())),"na",VLOOKUP(B54,cngdata,7,FALSE()))</f>
        <v>na</v>
      </c>
      <c r="K54" s="79" t="str">
        <f aca="false">IF(ISNA(VLOOKUP(B54,cngdata,13,FALSE())),"na",VLOOKUP(B54,cngdata,13,FALSE()))</f>
        <v>na</v>
      </c>
      <c r="L54" s="80" t="n">
        <f aca="false">+CNGPricing!$H$32</f>
        <v>2.42</v>
      </c>
      <c r="M54" s="79" t="n">
        <f aca="false">IF(ISNA(VLOOKUP(B54,cngdata,14,FALSE())),0,VLOOKUP(B54,cngdata,14,FALSE()))</f>
        <v>0</v>
      </c>
      <c r="O54" s="81" t="n">
        <v>0</v>
      </c>
      <c r="P54" s="82" t="n">
        <f aca="false">L54-O54</f>
        <v>2.42</v>
      </c>
      <c r="Q54" s="83" t="n">
        <f aca="false">M54*P54</f>
        <v>0</v>
      </c>
      <c r="R54" s="74"/>
      <c r="S54" s="79" t="n">
        <f aca="false">IF(ISNA(VLOOKUP(B54,SplitVol,5,FALSE())),0,VLOOKUP(B54,SplitVol,5,FALSE()))</f>
        <v>0</v>
      </c>
      <c r="T54" s="84" t="n">
        <f aca="false">+S54*L54</f>
        <v>0</v>
      </c>
      <c r="U54" s="79" t="n">
        <f aca="false">IF(ISNA(VLOOKUP(B54,SplitVol,6,FALSE())),0,VLOOKUP(B54,SplitVol,6,FALSE()))</f>
        <v>0</v>
      </c>
      <c r="V54" s="84" t="n">
        <f aca="false">+U54*L54</f>
        <v>0</v>
      </c>
      <c r="W54" s="85" t="n">
        <f aca="false">IF(ISBLANK(VLOOKUP(B54,EffDate,4,FALSE())),"na",VLOOKUP(B54,EffDate,4,FALSE()))</f>
        <v>37228</v>
      </c>
      <c r="X54" s="86" t="n">
        <f aca="false">+M54-S54-U54</f>
        <v>0</v>
      </c>
    </row>
    <row r="55" customFormat="false" ht="15" hidden="false" customHeight="true" outlineLevel="0" collapsed="false">
      <c r="A55" s="78" t="s">
        <v>8</v>
      </c>
      <c r="B55" s="78" t="s">
        <v>72</v>
      </c>
      <c r="C55" s="88" t="n">
        <v>3313401</v>
      </c>
      <c r="D55" s="105" t="s">
        <v>46</v>
      </c>
      <c r="E55" s="106" t="n">
        <v>37228</v>
      </c>
      <c r="F55" s="4" t="s">
        <v>46</v>
      </c>
      <c r="G55" s="6" t="n">
        <v>141089</v>
      </c>
      <c r="H55" s="6"/>
      <c r="I55" s="6" t="s">
        <v>533</v>
      </c>
      <c r="J55" s="79" t="str">
        <f aca="false">IF(ISNA(VLOOKUP(B55,cngdata,7,FALSE())),"na",VLOOKUP(B55,cngdata,7,FALSE()))</f>
        <v>GW</v>
      </c>
      <c r="K55" s="79" t="n">
        <f aca="false">IF(ISNA(VLOOKUP(B55,cngdata,13,FALSE())),"na",VLOOKUP(B55,cngdata,13,FALSE()))</f>
        <v>0</v>
      </c>
      <c r="L55" s="80" t="n">
        <f aca="false">+CNGPricing!$H$32</f>
        <v>2.42</v>
      </c>
      <c r="M55" s="79" t="n">
        <f aca="false">IF(ISNA(VLOOKUP(B55,cngdata,14,FALSE())),0,VLOOKUP(B55,cngdata,14,FALSE()))</f>
        <v>0</v>
      </c>
      <c r="O55" s="81" t="n">
        <v>0</v>
      </c>
      <c r="P55" s="82" t="n">
        <f aca="false">L55-O55</f>
        <v>2.42</v>
      </c>
      <c r="Q55" s="83" t="n">
        <f aca="false">M55*P55</f>
        <v>0</v>
      </c>
      <c r="R55" s="74"/>
      <c r="S55" s="79" t="n">
        <f aca="false">IF(ISNA(VLOOKUP(B55,SplitVol,5,FALSE())),0,VLOOKUP(B55,SplitVol,5,FALSE()))</f>
        <v>0</v>
      </c>
      <c r="T55" s="84" t="n">
        <f aca="false">+S55*L55</f>
        <v>0</v>
      </c>
      <c r="U55" s="79" t="n">
        <f aca="false">IF(ISNA(VLOOKUP(B55,SplitVol,6,FALSE())),0,VLOOKUP(B55,SplitVol,6,FALSE()))</f>
        <v>0</v>
      </c>
      <c r="V55" s="84" t="n">
        <f aca="false">+U55*L55</f>
        <v>0</v>
      </c>
      <c r="W55" s="85" t="n">
        <f aca="false">IF(ISBLANK(VLOOKUP(B55,EffDate,4,FALSE())),"na",VLOOKUP(B55,EffDate,4,FALSE()))</f>
        <v>37228</v>
      </c>
      <c r="X55" s="86" t="n">
        <f aca="false">+M55-S55-U55</f>
        <v>0</v>
      </c>
    </row>
    <row r="56" customFormat="false" ht="15" hidden="false" customHeight="true" outlineLevel="0" collapsed="false">
      <c r="A56" s="78" t="s">
        <v>8</v>
      </c>
      <c r="B56" s="78" t="s">
        <v>50</v>
      </c>
      <c r="C56" s="88" t="n">
        <v>3014901</v>
      </c>
      <c r="D56" s="105" t="s">
        <v>46</v>
      </c>
      <c r="E56" s="106" t="n">
        <v>37228</v>
      </c>
      <c r="F56" s="4" t="s">
        <v>46</v>
      </c>
      <c r="G56" s="6" t="n">
        <v>141089</v>
      </c>
      <c r="H56" s="6"/>
      <c r="I56" s="6" t="s">
        <v>533</v>
      </c>
      <c r="J56" s="79" t="str">
        <f aca="false">IF(ISNA(VLOOKUP(B56,cngdata,7,FALSE())),"na",VLOOKUP(B56,cngdata,7,FALSE()))</f>
        <v>GW</v>
      </c>
      <c r="K56" s="79" t="n">
        <f aca="false">IF(ISNA(VLOOKUP(B56,cngdata,13,FALSE())),"na",VLOOKUP(B56,cngdata,13,FALSE()))</f>
        <v>0</v>
      </c>
      <c r="L56" s="80" t="n">
        <f aca="false">+CNGPricing!$H$32</f>
        <v>2.42</v>
      </c>
      <c r="M56" s="79" t="n">
        <f aca="false">IF(ISNA(VLOOKUP(B56,cngdata,14,FALSE())),0,VLOOKUP(B56,cngdata,14,FALSE()))</f>
        <v>0</v>
      </c>
      <c r="O56" s="81" t="n">
        <v>0</v>
      </c>
      <c r="P56" s="82" t="n">
        <f aca="false">L56-O56</f>
        <v>2.42</v>
      </c>
      <c r="Q56" s="83" t="n">
        <f aca="false">M56*P56</f>
        <v>0</v>
      </c>
      <c r="R56" s="74"/>
      <c r="S56" s="79" t="n">
        <f aca="false">IF(ISNA(VLOOKUP(B56,SplitVol,5,FALSE())),0,VLOOKUP(B56,SplitVol,5,FALSE()))</f>
        <v>0</v>
      </c>
      <c r="T56" s="84" t="n">
        <f aca="false">+S56*L56</f>
        <v>0</v>
      </c>
      <c r="U56" s="79" t="n">
        <f aca="false">IF(ISNA(VLOOKUP(B56,SplitVol,6,FALSE())),0,VLOOKUP(B56,SplitVol,6,FALSE()))</f>
        <v>0</v>
      </c>
      <c r="V56" s="84" t="n">
        <f aca="false">+U56*L56</f>
        <v>0</v>
      </c>
      <c r="W56" s="85" t="n">
        <f aca="false">IF(ISBLANK(VLOOKUP(B56,EffDate,4,FALSE())),"na",VLOOKUP(B56,EffDate,4,FALSE()))</f>
        <v>37228</v>
      </c>
      <c r="X56" s="86" t="n">
        <f aca="false">+M56-S56-U56</f>
        <v>0</v>
      </c>
    </row>
    <row r="57" customFormat="false" ht="15" hidden="false" customHeight="true" outlineLevel="0" collapsed="false">
      <c r="A57" s="78" t="s">
        <v>8</v>
      </c>
      <c r="B57" s="78" t="s">
        <v>66</v>
      </c>
      <c r="C57" s="88" t="n">
        <v>3034501</v>
      </c>
      <c r="D57" s="105" t="s">
        <v>46</v>
      </c>
      <c r="E57" s="106" t="n">
        <v>37228</v>
      </c>
      <c r="F57" s="4" t="s">
        <v>46</v>
      </c>
      <c r="G57" s="6" t="n">
        <v>141089</v>
      </c>
      <c r="H57" s="6"/>
      <c r="I57" s="6" t="s">
        <v>533</v>
      </c>
      <c r="J57" s="79" t="str">
        <f aca="false">IF(ISNA(VLOOKUP(B57,cngdata,7,FALSE())),"na",VLOOKUP(B57,cngdata,7,FALSE()))</f>
        <v>GW</v>
      </c>
      <c r="K57" s="79" t="n">
        <f aca="false">IF(ISNA(VLOOKUP(B57,cngdata,13,FALSE())),"na",VLOOKUP(B57,cngdata,13,FALSE()))</f>
        <v>0</v>
      </c>
      <c r="L57" s="80" t="n">
        <f aca="false">+CNGPricing!$H$32</f>
        <v>2.42</v>
      </c>
      <c r="M57" s="79" t="n">
        <f aca="false">IF(ISNA(VLOOKUP(B57,cngdata,14,FALSE())),0,VLOOKUP(B57,cngdata,14,FALSE()))</f>
        <v>0</v>
      </c>
      <c r="O57" s="81" t="n">
        <v>0</v>
      </c>
      <c r="P57" s="82" t="n">
        <f aca="false">L57-O57</f>
        <v>2.42</v>
      </c>
      <c r="Q57" s="83" t="n">
        <f aca="false">M57*P57</f>
        <v>0</v>
      </c>
      <c r="R57" s="74"/>
      <c r="S57" s="79" t="n">
        <f aca="false">IF(ISNA(VLOOKUP(B57,SplitVol,5,FALSE())),0,VLOOKUP(B57,SplitVol,5,FALSE()))</f>
        <v>0</v>
      </c>
      <c r="T57" s="84" t="n">
        <f aca="false">+S57*L57</f>
        <v>0</v>
      </c>
      <c r="U57" s="79" t="n">
        <f aca="false">IF(ISNA(VLOOKUP(B57,SplitVol,6,FALSE())),0,VLOOKUP(B57,SplitVol,6,FALSE()))</f>
        <v>0</v>
      </c>
      <c r="V57" s="84" t="n">
        <f aca="false">+U57*L57</f>
        <v>0</v>
      </c>
      <c r="W57" s="85" t="n">
        <f aca="false">IF(ISBLANK(VLOOKUP(B57,EffDate,4,FALSE())),"na",VLOOKUP(B57,EffDate,4,FALSE()))</f>
        <v>37228</v>
      </c>
      <c r="X57" s="86" t="n">
        <f aca="false">+M57-S57-U57</f>
        <v>0</v>
      </c>
    </row>
    <row r="58" customFormat="false" ht="15" hidden="false" customHeight="true" outlineLevel="0" collapsed="false">
      <c r="A58" s="78" t="s">
        <v>8</v>
      </c>
      <c r="B58" s="78" t="s">
        <v>67</v>
      </c>
      <c r="C58" s="88" t="n">
        <v>3038001</v>
      </c>
      <c r="D58" s="105" t="s">
        <v>46</v>
      </c>
      <c r="E58" s="106" t="n">
        <v>37228</v>
      </c>
      <c r="F58" s="4" t="s">
        <v>46</v>
      </c>
      <c r="G58" s="6" t="n">
        <v>141089</v>
      </c>
      <c r="H58" s="6"/>
      <c r="I58" s="6" t="s">
        <v>533</v>
      </c>
      <c r="J58" s="79" t="str">
        <f aca="false">IF(ISNA(VLOOKUP(B58,cngdata,7,FALSE())),"na",VLOOKUP(B58,cngdata,7,FALSE()))</f>
        <v>GW</v>
      </c>
      <c r="K58" s="79" t="n">
        <f aca="false">IF(ISNA(VLOOKUP(B58,cngdata,13,FALSE())),"na",VLOOKUP(B58,cngdata,13,FALSE()))</f>
        <v>0</v>
      </c>
      <c r="L58" s="80" t="n">
        <f aca="false">+CNGPricing!$H$32</f>
        <v>2.42</v>
      </c>
      <c r="M58" s="79" t="n">
        <f aca="false">IF(ISNA(VLOOKUP(B58,cngdata,14,FALSE())),0,VLOOKUP(B58,cngdata,14,FALSE()))</f>
        <v>0</v>
      </c>
      <c r="O58" s="81" t="n">
        <v>0</v>
      </c>
      <c r="P58" s="82" t="n">
        <f aca="false">L58-O58</f>
        <v>2.42</v>
      </c>
      <c r="Q58" s="83" t="n">
        <f aca="false">M58*P58</f>
        <v>0</v>
      </c>
      <c r="R58" s="74"/>
      <c r="S58" s="79" t="n">
        <f aca="false">IF(ISNA(VLOOKUP(B58,SplitVol,5,FALSE())),0,VLOOKUP(B58,SplitVol,5,FALSE()))</f>
        <v>0</v>
      </c>
      <c r="T58" s="84" t="n">
        <f aca="false">+S58*L58</f>
        <v>0</v>
      </c>
      <c r="U58" s="79" t="n">
        <f aca="false">IF(ISNA(VLOOKUP(B58,SplitVol,6,FALSE())),0,VLOOKUP(B58,SplitVol,6,FALSE()))</f>
        <v>0</v>
      </c>
      <c r="V58" s="84" t="n">
        <f aca="false">+U58*L58</f>
        <v>0</v>
      </c>
      <c r="W58" s="85" t="n">
        <f aca="false">IF(ISBLANK(VLOOKUP(B58,EffDate,4,FALSE())),"na",VLOOKUP(B58,EffDate,4,FALSE()))</f>
        <v>37228</v>
      </c>
      <c r="X58" s="86" t="n">
        <f aca="false">+M58-S58-U58</f>
        <v>0</v>
      </c>
    </row>
    <row r="59" customFormat="false" ht="15" hidden="false" customHeight="true" outlineLevel="0" collapsed="false">
      <c r="A59" s="78" t="s">
        <v>8</v>
      </c>
      <c r="B59" s="78" t="s">
        <v>63</v>
      </c>
      <c r="C59" s="88" t="n">
        <v>3031301</v>
      </c>
      <c r="D59" s="105" t="s">
        <v>46</v>
      </c>
      <c r="E59" s="106" t="n">
        <v>37228</v>
      </c>
      <c r="F59" s="4" t="s">
        <v>46</v>
      </c>
      <c r="G59" s="6" t="n">
        <v>141089</v>
      </c>
      <c r="H59" s="6"/>
      <c r="I59" s="6" t="s">
        <v>533</v>
      </c>
      <c r="J59" s="79" t="str">
        <f aca="false">IF(ISNA(VLOOKUP(B59,cngdata,7,FALSE())),"na",VLOOKUP(B59,cngdata,7,FALSE()))</f>
        <v>GW</v>
      </c>
      <c r="K59" s="79" t="n">
        <f aca="false">IF(ISNA(VLOOKUP(B59,cngdata,13,FALSE())),"na",VLOOKUP(B59,cngdata,13,FALSE()))</f>
        <v>244</v>
      </c>
      <c r="L59" s="80" t="n">
        <f aca="false">+CNGPricing!$H$32</f>
        <v>2.42</v>
      </c>
      <c r="M59" s="79" t="n">
        <f aca="false">IF(ISNA(VLOOKUP(B59,cngdata,14,FALSE())),0,VLOOKUP(B59,cngdata,14,FALSE()))</f>
        <v>270</v>
      </c>
      <c r="O59" s="81" t="n">
        <v>0</v>
      </c>
      <c r="P59" s="82" t="n">
        <f aca="false">L59-O59</f>
        <v>2.42</v>
      </c>
      <c r="Q59" s="83" t="n">
        <f aca="false">M59*P59</f>
        <v>653.4</v>
      </c>
      <c r="R59" s="74"/>
      <c r="S59" s="79" t="n">
        <f aca="false">IF(ISNA(VLOOKUP(B59,SplitVol,5,FALSE())),0,VLOOKUP(B59,SplitVol,5,FALSE()))</f>
        <v>18</v>
      </c>
      <c r="T59" s="84" t="n">
        <f aca="false">+S59*L59</f>
        <v>43.56</v>
      </c>
      <c r="U59" s="79" t="n">
        <f aca="false">IF(ISNA(VLOOKUP(B59,SplitVol,6,FALSE())),0,VLOOKUP(B59,SplitVol,6,FALSE()))</f>
        <v>252</v>
      </c>
      <c r="V59" s="84" t="n">
        <f aca="false">+U59*L59</f>
        <v>609.84</v>
      </c>
      <c r="W59" s="85" t="n">
        <f aca="false">IF(ISBLANK(VLOOKUP(B59,EffDate,4,FALSE())),"na",VLOOKUP(B59,EffDate,4,FALSE()))</f>
        <v>37228</v>
      </c>
      <c r="X59" s="86" t="n">
        <f aca="false">+M59-S59-U59</f>
        <v>0</v>
      </c>
    </row>
    <row r="60" customFormat="false" ht="15" hidden="false" customHeight="true" outlineLevel="0" collapsed="false">
      <c r="A60" s="78" t="s">
        <v>8</v>
      </c>
      <c r="B60" s="78" t="s">
        <v>69</v>
      </c>
      <c r="C60" s="88" t="n">
        <v>3297001</v>
      </c>
      <c r="D60" s="105" t="s">
        <v>46</v>
      </c>
      <c r="E60" s="106" t="n">
        <v>37228</v>
      </c>
      <c r="F60" s="4" t="s">
        <v>46</v>
      </c>
      <c r="G60" s="6" t="n">
        <v>141089</v>
      </c>
      <c r="H60" s="6"/>
      <c r="I60" s="6" t="s">
        <v>533</v>
      </c>
      <c r="J60" s="79" t="str">
        <f aca="false">IF(ISNA(VLOOKUP(B60,cngdata,7,FALSE())),"na",VLOOKUP(B60,cngdata,7,FALSE()))</f>
        <v>GW</v>
      </c>
      <c r="K60" s="79" t="n">
        <f aca="false">IF(ISNA(VLOOKUP(B60,cngdata,13,FALSE())),"na",VLOOKUP(B60,cngdata,13,FALSE()))</f>
        <v>0</v>
      </c>
      <c r="L60" s="80" t="n">
        <f aca="false">+CNGPricing!$H$32</f>
        <v>2.42</v>
      </c>
      <c r="M60" s="79" t="n">
        <f aca="false">IF(ISNA(VLOOKUP(B60,cngdata,14,FALSE())),0,VLOOKUP(B60,cngdata,14,FALSE()))</f>
        <v>0</v>
      </c>
      <c r="O60" s="81" t="n">
        <v>0</v>
      </c>
      <c r="P60" s="82" t="n">
        <f aca="false">L60-O60</f>
        <v>2.42</v>
      </c>
      <c r="Q60" s="83" t="n">
        <f aca="false">M60*P60</f>
        <v>0</v>
      </c>
      <c r="R60" s="74"/>
      <c r="S60" s="79" t="n">
        <f aca="false">IF(ISNA(VLOOKUP(B60,SplitVol,5,FALSE())),0,VLOOKUP(B60,SplitVol,5,FALSE()))</f>
        <v>0</v>
      </c>
      <c r="T60" s="84" t="n">
        <f aca="false">+S60*L60</f>
        <v>0</v>
      </c>
      <c r="U60" s="79" t="n">
        <f aca="false">IF(ISNA(VLOOKUP(B60,SplitVol,6,FALSE())),0,VLOOKUP(B60,SplitVol,6,FALSE()))</f>
        <v>0</v>
      </c>
      <c r="V60" s="84" t="n">
        <f aca="false">+U60*L60</f>
        <v>0</v>
      </c>
      <c r="W60" s="85" t="n">
        <f aca="false">IF(ISBLANK(VLOOKUP(B60,EffDate,4,FALSE())),"na",VLOOKUP(B60,EffDate,4,FALSE()))</f>
        <v>37228</v>
      </c>
      <c r="X60" s="86" t="n">
        <f aca="false">+M60-S60-U60</f>
        <v>0</v>
      </c>
    </row>
    <row r="61" customFormat="false" ht="15" hidden="false" customHeight="true" outlineLevel="0" collapsed="false">
      <c r="A61" s="78" t="s">
        <v>8</v>
      </c>
      <c r="B61" s="78" t="s">
        <v>70</v>
      </c>
      <c r="C61" s="88" t="n">
        <v>3297001</v>
      </c>
      <c r="D61" s="105" t="s">
        <v>46</v>
      </c>
      <c r="E61" s="106" t="n">
        <v>37228</v>
      </c>
      <c r="F61" s="4" t="s">
        <v>46</v>
      </c>
      <c r="G61" s="6" t="n">
        <v>141089</v>
      </c>
      <c r="H61" s="6"/>
      <c r="I61" s="6" t="s">
        <v>533</v>
      </c>
      <c r="J61" s="79" t="str">
        <f aca="false">IF(ISNA(VLOOKUP(B61,cngdata,7,FALSE())),"na",VLOOKUP(B61,cngdata,7,FALSE()))</f>
        <v>na</v>
      </c>
      <c r="K61" s="79" t="str">
        <f aca="false">IF(ISNA(VLOOKUP(B61,cngdata,13,FALSE())),"na",VLOOKUP(B61,cngdata,13,FALSE()))</f>
        <v>na</v>
      </c>
      <c r="L61" s="80" t="n">
        <f aca="false">+CNGPricing!$H$32</f>
        <v>2.42</v>
      </c>
      <c r="M61" s="79" t="n">
        <f aca="false">IF(ISNA(VLOOKUP(B61,cngdata,14,FALSE())),0,VLOOKUP(B61,cngdata,14,FALSE()))</f>
        <v>0</v>
      </c>
      <c r="O61" s="81" t="n">
        <v>0</v>
      </c>
      <c r="P61" s="82" t="n">
        <f aca="false">L61-O61</f>
        <v>2.42</v>
      </c>
      <c r="Q61" s="83" t="n">
        <f aca="false">M61*P61</f>
        <v>0</v>
      </c>
      <c r="R61" s="74"/>
      <c r="S61" s="79" t="n">
        <f aca="false">IF(ISNA(VLOOKUP(B61,SplitVol,5,FALSE())),0,VLOOKUP(B61,SplitVol,5,FALSE()))</f>
        <v>0</v>
      </c>
      <c r="T61" s="84" t="n">
        <f aca="false">+S61*L61</f>
        <v>0</v>
      </c>
      <c r="U61" s="79" t="n">
        <f aca="false">IF(ISNA(VLOOKUP(B61,SplitVol,6,FALSE())),0,VLOOKUP(B61,SplitVol,6,FALSE()))</f>
        <v>0</v>
      </c>
      <c r="V61" s="84" t="n">
        <f aca="false">+U61*L61</f>
        <v>0</v>
      </c>
      <c r="W61" s="85" t="n">
        <f aca="false">IF(ISBLANK(VLOOKUP(B61,EffDate,4,FALSE())),"na",VLOOKUP(B61,EffDate,4,FALSE()))</f>
        <v>37228</v>
      </c>
      <c r="X61" s="86" t="n">
        <f aca="false">+M61-S61-U61</f>
        <v>0</v>
      </c>
    </row>
    <row r="62" customFormat="false" ht="15" hidden="false" customHeight="true" outlineLevel="0" collapsed="false">
      <c r="A62" s="78" t="s">
        <v>51</v>
      </c>
      <c r="B62" s="78" t="s">
        <v>53</v>
      </c>
      <c r="C62" s="88" t="n">
        <v>3023201</v>
      </c>
      <c r="D62" s="105" t="s">
        <v>46</v>
      </c>
      <c r="E62" s="106" t="n">
        <v>37228</v>
      </c>
      <c r="F62" s="4" t="s">
        <v>46</v>
      </c>
      <c r="G62" s="6" t="n">
        <v>141089</v>
      </c>
      <c r="H62" s="6"/>
      <c r="I62" s="6" t="s">
        <v>533</v>
      </c>
      <c r="J62" s="79" t="str">
        <f aca="false">IF(ISNA(VLOOKUP(B62,cngdata,7,FALSE())),"na",VLOOKUP(B62,cngdata,7,FALSE()))</f>
        <v>TW</v>
      </c>
      <c r="K62" s="79" t="n">
        <f aca="false">IF(ISNA(VLOOKUP(B62,cngdata,13,FALSE())),"na",VLOOKUP(B62,cngdata,13,FALSE()))</f>
        <v>0</v>
      </c>
      <c r="L62" s="80" t="n">
        <f aca="false">+CNGPricing!$H$32</f>
        <v>2.42</v>
      </c>
      <c r="M62" s="79" t="n">
        <f aca="false">IF(ISNA(VLOOKUP(B62,cngdata,14,FALSE())),0,VLOOKUP(B62,cngdata,14,FALSE()))</f>
        <v>0</v>
      </c>
      <c r="O62" s="81" t="n">
        <v>0</v>
      </c>
      <c r="P62" s="82" t="n">
        <f aca="false">L62-O62</f>
        <v>2.42</v>
      </c>
      <c r="Q62" s="83" t="n">
        <f aca="false">M62*P62</f>
        <v>0</v>
      </c>
      <c r="R62" s="74"/>
      <c r="S62" s="79" t="n">
        <f aca="false">IF(ISNA(VLOOKUP(B62,SplitVol,5,FALSE())),0,VLOOKUP(B62,SplitVol,5,FALSE()))</f>
        <v>0</v>
      </c>
      <c r="T62" s="84" t="n">
        <f aca="false">+S62*L62</f>
        <v>0</v>
      </c>
      <c r="U62" s="79" t="n">
        <f aca="false">IF(ISNA(VLOOKUP(B62,SplitVol,6,FALSE())),0,VLOOKUP(B62,SplitVol,6,FALSE()))</f>
        <v>0</v>
      </c>
      <c r="V62" s="84" t="n">
        <f aca="false">+U62*L62</f>
        <v>0</v>
      </c>
      <c r="W62" s="85" t="n">
        <f aca="false">IF(ISBLANK(VLOOKUP(B62,EffDate,4,FALSE())),"na",VLOOKUP(B62,EffDate,4,FALSE()))</f>
        <v>37228</v>
      </c>
      <c r="X62" s="86" t="n">
        <f aca="false">+M62-S62-U62</f>
        <v>0</v>
      </c>
    </row>
    <row r="63" customFormat="false" ht="15" hidden="false" customHeight="true" outlineLevel="0" collapsed="false">
      <c r="A63" s="78" t="s">
        <v>8</v>
      </c>
      <c r="B63" s="78" t="s">
        <v>54</v>
      </c>
      <c r="C63" s="88" t="n">
        <v>3023401</v>
      </c>
      <c r="D63" s="105" t="s">
        <v>46</v>
      </c>
      <c r="E63" s="106" t="n">
        <v>37228</v>
      </c>
      <c r="F63" s="4" t="s">
        <v>46</v>
      </c>
      <c r="G63" s="6" t="n">
        <v>141089</v>
      </c>
      <c r="H63" s="6"/>
      <c r="I63" s="6" t="s">
        <v>533</v>
      </c>
      <c r="J63" s="79" t="str">
        <f aca="false">IF(ISNA(VLOOKUP(B63,cngdata,7,FALSE())),"na",VLOOKUP(B63,cngdata,7,FALSE()))</f>
        <v>GW</v>
      </c>
      <c r="K63" s="79" t="n">
        <f aca="false">IF(ISNA(VLOOKUP(B63,cngdata,13,FALSE())),"na",VLOOKUP(B63,cngdata,13,FALSE()))</f>
        <v>0</v>
      </c>
      <c r="L63" s="80" t="n">
        <f aca="false">+CNGPricing!$H$32</f>
        <v>2.42</v>
      </c>
      <c r="M63" s="79" t="n">
        <f aca="false">IF(ISNA(VLOOKUP(B63,cngdata,14,FALSE())),0,VLOOKUP(B63,cngdata,14,FALSE()))</f>
        <v>0</v>
      </c>
      <c r="O63" s="81" t="n">
        <v>0</v>
      </c>
      <c r="P63" s="82" t="n">
        <f aca="false">L63-O63</f>
        <v>2.42</v>
      </c>
      <c r="Q63" s="83" t="n">
        <f aca="false">M63*P63</f>
        <v>0</v>
      </c>
      <c r="R63" s="74"/>
      <c r="S63" s="79" t="n">
        <f aca="false">IF(ISNA(VLOOKUP(B63,SplitVol,5,FALSE())),0,VLOOKUP(B63,SplitVol,5,FALSE()))</f>
        <v>0</v>
      </c>
      <c r="T63" s="84" t="n">
        <f aca="false">+S63*L63</f>
        <v>0</v>
      </c>
      <c r="U63" s="79" t="n">
        <f aca="false">IF(ISNA(VLOOKUP(B63,SplitVol,6,FALSE())),0,VLOOKUP(B63,SplitVol,6,FALSE()))</f>
        <v>0</v>
      </c>
      <c r="V63" s="84" t="n">
        <f aca="false">+U63*L63</f>
        <v>0</v>
      </c>
      <c r="W63" s="85" t="n">
        <f aca="false">IF(ISBLANK(VLOOKUP(B63,EffDate,4,FALSE())),"na",VLOOKUP(B63,EffDate,4,FALSE()))</f>
        <v>37228</v>
      </c>
      <c r="X63" s="86" t="n">
        <f aca="false">+M63-S63-U63</f>
        <v>0</v>
      </c>
    </row>
    <row r="64" customFormat="false" ht="15" hidden="false" customHeight="true" outlineLevel="0" collapsed="false">
      <c r="A64" s="78" t="s">
        <v>8</v>
      </c>
      <c r="B64" s="78" t="s">
        <v>79</v>
      </c>
      <c r="C64" s="88" t="n">
        <v>3130501</v>
      </c>
      <c r="D64" s="105" t="s">
        <v>77</v>
      </c>
      <c r="E64" s="106" t="n">
        <v>37228</v>
      </c>
      <c r="F64" s="102" t="s">
        <v>77</v>
      </c>
      <c r="G64" s="107" t="n">
        <v>210487</v>
      </c>
      <c r="H64" s="107"/>
      <c r="I64" s="107" t="s">
        <v>534</v>
      </c>
      <c r="J64" s="103" t="str">
        <f aca="false">IF(ISNA(VLOOKUP(B64,cngdata,7,FALSE())),"na",VLOOKUP(B64,cngdata,7,FALSE()))</f>
        <v>GW</v>
      </c>
      <c r="K64" s="79" t="n">
        <f aca="false">IF(ISNA(VLOOKUP(B64,cngdata,13,FALSE())),"na",VLOOKUP(B64,cngdata,13,FALSE()))</f>
        <v>206</v>
      </c>
      <c r="L64" s="108" t="n">
        <f aca="false">+CNGPricing!$H$42</f>
        <v>2.42</v>
      </c>
      <c r="M64" s="79" t="n">
        <f aca="false">IF(ISNA(VLOOKUP(B64,cngdata,14,FALSE())),0,VLOOKUP(B64,cngdata,14,FALSE()))</f>
        <v>301</v>
      </c>
      <c r="O64" s="81" t="n">
        <v>0</v>
      </c>
      <c r="P64" s="82" t="n">
        <f aca="false">L64-O64</f>
        <v>2.42</v>
      </c>
      <c r="Q64" s="83" t="n">
        <f aca="false">M64*P64</f>
        <v>728.42</v>
      </c>
      <c r="R64" s="74"/>
      <c r="S64" s="79" t="n">
        <f aca="false">IF(ISNA(VLOOKUP(B64,SplitVol,5,FALSE())),0,VLOOKUP(B64,SplitVol,5,FALSE()))</f>
        <v>50</v>
      </c>
      <c r="T64" s="84" t="n">
        <f aca="false">+S64*L64</f>
        <v>121</v>
      </c>
      <c r="U64" s="79" t="n">
        <f aca="false">IF(ISNA(VLOOKUP(B64,SplitVol,6,FALSE())),0,VLOOKUP(B64,SplitVol,6,FALSE()))</f>
        <v>251</v>
      </c>
      <c r="V64" s="84" t="n">
        <f aca="false">+U64*L64</f>
        <v>607.42</v>
      </c>
      <c r="W64" s="85" t="n">
        <f aca="false">IF(ISBLANK(VLOOKUP(B64,EffDate,4,FALSE())),"na",VLOOKUP(B64,EffDate,4,FALSE()))</f>
        <v>37228</v>
      </c>
      <c r="X64" s="86" t="n">
        <f aca="false">+M64-S64-U64</f>
        <v>0</v>
      </c>
    </row>
    <row r="65" customFormat="false" ht="15" hidden="false" customHeight="true" outlineLevel="0" collapsed="false">
      <c r="A65" s="78" t="s">
        <v>51</v>
      </c>
      <c r="B65" s="78" t="s">
        <v>81</v>
      </c>
      <c r="C65" s="109" t="n">
        <v>3421301</v>
      </c>
      <c r="D65" s="105" t="s">
        <v>77</v>
      </c>
      <c r="E65" s="106" t="n">
        <v>37228</v>
      </c>
      <c r="F65" s="102" t="s">
        <v>535</v>
      </c>
      <c r="G65" s="107" t="n">
        <v>210487</v>
      </c>
      <c r="H65" s="107"/>
      <c r="I65" s="107" t="s">
        <v>534</v>
      </c>
      <c r="J65" s="103" t="str">
        <f aca="false">IF(ISNA(VLOOKUP(B65,cngdata,7,FALSE())),"na",VLOOKUP(B65,cngdata,7,FALSE()))</f>
        <v>TW</v>
      </c>
      <c r="K65" s="79" t="n">
        <f aca="false">IF(ISNA(VLOOKUP(B65,cngdata,13,FALSE())),"na",VLOOKUP(B65,cngdata,13,FALSE()))</f>
        <v>23</v>
      </c>
      <c r="L65" s="108" t="n">
        <f aca="false">+CNGPricing!$H$42</f>
        <v>2.42</v>
      </c>
      <c r="M65" s="79" t="n">
        <f aca="false">IF(ISNA(VLOOKUP(B65,cngdata,14,FALSE())),0,VLOOKUP(B65,cngdata,14,FALSE()))</f>
        <v>29</v>
      </c>
      <c r="O65" s="81" t="n">
        <v>0</v>
      </c>
      <c r="P65" s="82" t="n">
        <f aca="false">L65-O65</f>
        <v>2.42</v>
      </c>
      <c r="Q65" s="83" t="n">
        <f aca="false">M65*P65</f>
        <v>70.18</v>
      </c>
      <c r="R65" s="74"/>
      <c r="S65" s="79" t="n">
        <f aca="false">IF(ISNA(VLOOKUP(B65,SplitVol,5,FALSE())),0,VLOOKUP(B65,SplitVol,5,FALSE()))</f>
        <v>19</v>
      </c>
      <c r="T65" s="84" t="n">
        <f aca="false">+S65*L65</f>
        <v>45.98</v>
      </c>
      <c r="U65" s="79" t="n">
        <f aca="false">IF(ISNA(VLOOKUP(B65,SplitVol,6,FALSE())),0,VLOOKUP(B65,SplitVol,6,FALSE()))</f>
        <v>10</v>
      </c>
      <c r="V65" s="84" t="n">
        <f aca="false">+U65*L65</f>
        <v>24.2</v>
      </c>
      <c r="W65" s="85" t="n">
        <f aca="false">IF(ISBLANK(VLOOKUP(B65,EffDate,4,FALSE())),"na",VLOOKUP(B65,EffDate,4,FALSE()))</f>
        <v>37228</v>
      </c>
      <c r="X65" s="86" t="n">
        <f aca="false">+M65-S65-U65</f>
        <v>0</v>
      </c>
    </row>
    <row r="66" customFormat="false" ht="15" hidden="false" customHeight="true" outlineLevel="0" collapsed="false">
      <c r="A66" s="78" t="s">
        <v>8</v>
      </c>
      <c r="B66" s="78" t="s">
        <v>83</v>
      </c>
      <c r="C66" s="109" t="n">
        <v>3425201</v>
      </c>
      <c r="D66" s="105" t="s">
        <v>77</v>
      </c>
      <c r="E66" s="106" t="n">
        <v>37228</v>
      </c>
      <c r="F66" s="102" t="s">
        <v>535</v>
      </c>
      <c r="G66" s="107" t="n">
        <v>210487</v>
      </c>
      <c r="H66" s="107"/>
      <c r="I66" s="107" t="s">
        <v>534</v>
      </c>
      <c r="J66" s="103" t="str">
        <f aca="false">IF(ISNA(VLOOKUP(B66,cngdata,7,FALSE())),"na",VLOOKUP(B66,cngdata,7,FALSE()))</f>
        <v>GW</v>
      </c>
      <c r="K66" s="79" t="n">
        <f aca="false">IF(ISNA(VLOOKUP(B66,cngdata,13,FALSE())),"na",VLOOKUP(B66,cngdata,13,FALSE()))</f>
        <v>39</v>
      </c>
      <c r="L66" s="108" t="n">
        <f aca="false">+CNGPricing!$H$42</f>
        <v>2.42</v>
      </c>
      <c r="M66" s="79" t="n">
        <f aca="false">IF(ISNA(VLOOKUP(B66,cngdata,14,FALSE())),0,VLOOKUP(B66,cngdata,14,FALSE()))</f>
        <v>54</v>
      </c>
      <c r="O66" s="81" t="n">
        <v>0</v>
      </c>
      <c r="P66" s="82" t="n">
        <f aca="false">L66-O66</f>
        <v>2.42</v>
      </c>
      <c r="Q66" s="83" t="n">
        <f aca="false">M66*P66</f>
        <v>130.68</v>
      </c>
      <c r="R66" s="74"/>
      <c r="S66" s="79" t="n">
        <f aca="false">IF(ISNA(VLOOKUP(B66,SplitVol,5,FALSE())),0,VLOOKUP(B66,SplitVol,5,FALSE()))</f>
        <v>36</v>
      </c>
      <c r="T66" s="84" t="n">
        <f aca="false">+S66*L66</f>
        <v>87.12</v>
      </c>
      <c r="U66" s="79" t="n">
        <f aca="false">IF(ISNA(VLOOKUP(B66,SplitVol,6,FALSE())),0,VLOOKUP(B66,SplitVol,6,FALSE()))+1</f>
        <v>18</v>
      </c>
      <c r="V66" s="84" t="n">
        <f aca="false">+U66*L66</f>
        <v>43.56</v>
      </c>
      <c r="W66" s="85" t="n">
        <f aca="false">IF(ISBLANK(VLOOKUP(B66,EffDate,4,FALSE())),"na",VLOOKUP(B66,EffDate,4,FALSE()))</f>
        <v>37228</v>
      </c>
      <c r="X66" s="86" t="n">
        <f aca="false">+M66-S66-U66</f>
        <v>0</v>
      </c>
    </row>
    <row r="67" customFormat="false" ht="15" hidden="false" customHeight="true" outlineLevel="0" collapsed="false">
      <c r="A67" s="78" t="s">
        <v>8</v>
      </c>
      <c r="B67" s="78" t="s">
        <v>86</v>
      </c>
      <c r="C67" s="109" t="n">
        <v>3472501</v>
      </c>
      <c r="D67" s="105" t="s">
        <v>77</v>
      </c>
      <c r="E67" s="106" t="n">
        <v>37228</v>
      </c>
      <c r="F67" s="102" t="s">
        <v>535</v>
      </c>
      <c r="G67" s="107" t="n">
        <v>210487</v>
      </c>
      <c r="H67" s="107"/>
      <c r="I67" s="107" t="s">
        <v>534</v>
      </c>
      <c r="J67" s="103" t="str">
        <f aca="false">IF(ISNA(VLOOKUP(B67,cngdata,7,FALSE())),"na",VLOOKUP(B67,cngdata,7,FALSE()))</f>
        <v>GW</v>
      </c>
      <c r="K67" s="79" t="n">
        <f aca="false">IF(ISNA(VLOOKUP(B67,cngdata,13,FALSE())),"na",VLOOKUP(B67,cngdata,13,FALSE()))</f>
        <v>0</v>
      </c>
      <c r="L67" s="108" t="n">
        <f aca="false">+CNGPricing!$H$42</f>
        <v>2.42</v>
      </c>
      <c r="M67" s="79" t="n">
        <f aca="false">IF(ISNA(VLOOKUP(B67,cngdata,14,FALSE())),0,VLOOKUP(B67,cngdata,14,FALSE()))</f>
        <v>0</v>
      </c>
      <c r="O67" s="81" t="n">
        <v>0</v>
      </c>
      <c r="P67" s="82" t="n">
        <f aca="false">L67-O67</f>
        <v>2.42</v>
      </c>
      <c r="Q67" s="83" t="n">
        <f aca="false">M67*P67</f>
        <v>0</v>
      </c>
      <c r="R67" s="74"/>
      <c r="S67" s="79" t="n">
        <f aca="false">IF(ISNA(VLOOKUP(B67,SplitVol,5,FALSE())),0,VLOOKUP(B67,SplitVol,5,FALSE()))</f>
        <v>0</v>
      </c>
      <c r="T67" s="84" t="n">
        <f aca="false">+S67*L67</f>
        <v>0</v>
      </c>
      <c r="U67" s="79" t="n">
        <f aca="false">IF(ISNA(VLOOKUP(B67,SplitVol,6,FALSE())),0,VLOOKUP(B67,SplitVol,6,FALSE()))</f>
        <v>0</v>
      </c>
      <c r="V67" s="84" t="n">
        <f aca="false">+U67*L67</f>
        <v>0</v>
      </c>
      <c r="W67" s="85" t="n">
        <f aca="false">IF(ISBLANK(VLOOKUP(B67,EffDate,4,FALSE())),"na",VLOOKUP(B67,EffDate,4,FALSE()))</f>
        <v>37228</v>
      </c>
      <c r="X67" s="86" t="n">
        <f aca="false">+M67-S67-U67</f>
        <v>0</v>
      </c>
    </row>
    <row r="68" customFormat="false" ht="15" hidden="false" customHeight="true" outlineLevel="0" collapsed="false">
      <c r="A68" s="78" t="s">
        <v>8</v>
      </c>
      <c r="B68" s="78" t="s">
        <v>88</v>
      </c>
      <c r="C68" s="88" t="n">
        <v>3539901</v>
      </c>
      <c r="D68" s="105" t="s">
        <v>77</v>
      </c>
      <c r="E68" s="106" t="n">
        <v>37228</v>
      </c>
      <c r="F68" s="102" t="s">
        <v>77</v>
      </c>
      <c r="G68" s="107" t="n">
        <v>210487</v>
      </c>
      <c r="H68" s="107"/>
      <c r="I68" s="107" t="s">
        <v>534</v>
      </c>
      <c r="J68" s="103" t="str">
        <f aca="false">IF(ISNA(VLOOKUP(B68,cngdata,7,FALSE())),"na",VLOOKUP(B68,cngdata,7,FALSE()))</f>
        <v>GW</v>
      </c>
      <c r="K68" s="79" t="n">
        <f aca="false">IF(ISNA(VLOOKUP(B68,cngdata,13,FALSE())),"na",VLOOKUP(B68,cngdata,13,FALSE()))</f>
        <v>0</v>
      </c>
      <c r="L68" s="108" t="n">
        <f aca="false">+CNGPricing!$H$42</f>
        <v>2.42</v>
      </c>
      <c r="M68" s="79" t="n">
        <f aca="false">IF(ISNA(VLOOKUP(B68,cngdata,14,FALSE())),0,VLOOKUP(B68,cngdata,14,FALSE()))</f>
        <v>0</v>
      </c>
      <c r="O68" s="81" t="n">
        <v>0</v>
      </c>
      <c r="P68" s="82" t="n">
        <f aca="false">L68-O68</f>
        <v>2.42</v>
      </c>
      <c r="Q68" s="83" t="n">
        <f aca="false">M68*P68</f>
        <v>0</v>
      </c>
      <c r="R68" s="74"/>
      <c r="S68" s="79" t="n">
        <f aca="false">IF(ISNA(VLOOKUP(B68,SplitVol,5,FALSE())),0,VLOOKUP(B68,SplitVol,5,FALSE()))</f>
        <v>0</v>
      </c>
      <c r="T68" s="84" t="n">
        <f aca="false">+S68*L68</f>
        <v>0</v>
      </c>
      <c r="U68" s="79" t="n">
        <f aca="false">IF(ISNA(VLOOKUP(B68,SplitVol,6,FALSE())),0,VLOOKUP(B68,SplitVol,6,FALSE()))</f>
        <v>0</v>
      </c>
      <c r="V68" s="84" t="n">
        <f aca="false">+U68*L68</f>
        <v>0</v>
      </c>
      <c r="W68" s="85" t="n">
        <f aca="false">IF(ISBLANK(VLOOKUP(B68,EffDate,4,FALSE())),"na",VLOOKUP(B68,EffDate,4,FALSE()))</f>
        <v>37228</v>
      </c>
      <c r="X68" s="86" t="n">
        <f aca="false">+M68-S68-U68</f>
        <v>0</v>
      </c>
    </row>
    <row r="69" customFormat="false" ht="15" hidden="false" customHeight="true" outlineLevel="0" collapsed="false">
      <c r="A69" s="78" t="s">
        <v>8</v>
      </c>
      <c r="B69" s="78" t="s">
        <v>80</v>
      </c>
      <c r="C69" s="88" t="n">
        <v>3141701</v>
      </c>
      <c r="D69" s="105" t="s">
        <v>77</v>
      </c>
      <c r="E69" s="106" t="n">
        <v>37228</v>
      </c>
      <c r="F69" s="102" t="s">
        <v>77</v>
      </c>
      <c r="G69" s="107" t="n">
        <v>210487</v>
      </c>
      <c r="H69" s="107"/>
      <c r="I69" s="107" t="s">
        <v>534</v>
      </c>
      <c r="J69" s="103" t="str">
        <f aca="false">IF(ISNA(VLOOKUP(B69,cngdata,7,FALSE())),"na",VLOOKUP(B69,cngdata,7,FALSE()))</f>
        <v>GW</v>
      </c>
      <c r="K69" s="79" t="n">
        <f aca="false">IF(ISNA(VLOOKUP(B69,cngdata,13,FALSE())),"na",VLOOKUP(B69,cngdata,13,FALSE()))</f>
        <v>27</v>
      </c>
      <c r="L69" s="108" t="n">
        <f aca="false">+CNGPricing!$H$42</f>
        <v>2.42</v>
      </c>
      <c r="M69" s="79" t="n">
        <f aca="false">IF(ISNA(VLOOKUP(B69,cngdata,14,FALSE())),0,VLOOKUP(B69,cngdata,14,FALSE()))</f>
        <v>50</v>
      </c>
      <c r="O69" s="81" t="n">
        <v>0</v>
      </c>
      <c r="P69" s="82" t="n">
        <f aca="false">L69-O69</f>
        <v>2.42</v>
      </c>
      <c r="Q69" s="83" t="n">
        <f aca="false">M69*P69</f>
        <v>121</v>
      </c>
      <c r="R69" s="74"/>
      <c r="S69" s="79" t="n">
        <f aca="false">IF(ISNA(VLOOKUP(B69,SplitVol,5,FALSE())),0,VLOOKUP(B69,SplitVol,5,FALSE()))</f>
        <v>29</v>
      </c>
      <c r="T69" s="84" t="n">
        <f aca="false">+S69*L69</f>
        <v>70.18</v>
      </c>
      <c r="U69" s="79" t="n">
        <f aca="false">IF(ISNA(VLOOKUP(B69,SplitVol,6,FALSE())),0,VLOOKUP(B69,SplitVol,6,FALSE()))</f>
        <v>21</v>
      </c>
      <c r="V69" s="84" t="n">
        <f aca="false">+U69*L69</f>
        <v>50.82</v>
      </c>
      <c r="W69" s="85" t="n">
        <f aca="false">IF(ISBLANK(VLOOKUP(B69,EffDate,4,FALSE())),"na",VLOOKUP(B69,EffDate,4,FALSE()))</f>
        <v>37228</v>
      </c>
      <c r="X69" s="86" t="n">
        <f aca="false">+M69-S69-U69</f>
        <v>0</v>
      </c>
    </row>
    <row r="70" customFormat="false" ht="15" hidden="false" customHeight="true" outlineLevel="0" collapsed="false">
      <c r="A70" s="78" t="s">
        <v>8</v>
      </c>
      <c r="B70" s="78" t="s">
        <v>78</v>
      </c>
      <c r="C70" s="88" t="n">
        <v>3095101</v>
      </c>
      <c r="D70" s="105" t="s">
        <v>77</v>
      </c>
      <c r="E70" s="106" t="n">
        <v>37228</v>
      </c>
      <c r="F70" s="102" t="s">
        <v>77</v>
      </c>
      <c r="G70" s="107" t="n">
        <v>210487</v>
      </c>
      <c r="H70" s="107"/>
      <c r="I70" s="107" t="s">
        <v>534</v>
      </c>
      <c r="J70" s="103" t="str">
        <f aca="false">IF(ISNA(VLOOKUP(B70,cngdata,7,FALSE())),"na",VLOOKUP(B70,cngdata,7,FALSE()))</f>
        <v>GW</v>
      </c>
      <c r="K70" s="79" t="n">
        <f aca="false">IF(ISNA(VLOOKUP(B70,cngdata,13,FALSE())),"na",VLOOKUP(B70,cngdata,13,FALSE()))</f>
        <v>959</v>
      </c>
      <c r="L70" s="108" t="n">
        <f aca="false">+CNGPricing!$H$42</f>
        <v>2.42</v>
      </c>
      <c r="M70" s="79" t="n">
        <f aca="false">IF(ISNA(VLOOKUP(B70,cngdata,14,FALSE())),0,VLOOKUP(B70,cngdata,14,FALSE()))</f>
        <v>1417</v>
      </c>
      <c r="O70" s="81" t="n">
        <v>0</v>
      </c>
      <c r="P70" s="82" t="n">
        <f aca="false">L70-O70</f>
        <v>2.42</v>
      </c>
      <c r="Q70" s="83" t="n">
        <f aca="false">M70*P70</f>
        <v>3429.14</v>
      </c>
      <c r="R70" s="74"/>
      <c r="S70" s="79" t="n">
        <f aca="false">IF(ISNA(VLOOKUP(B70,SplitVol,5,FALSE())),0,VLOOKUP(B70,SplitVol,5,FALSE()))</f>
        <v>208</v>
      </c>
      <c r="T70" s="84" t="n">
        <f aca="false">+S70*L70</f>
        <v>503.36</v>
      </c>
      <c r="U70" s="79" t="n">
        <f aca="false">IF(ISNA(VLOOKUP(B70,SplitVol,6,FALSE())),0,VLOOKUP(B70,SplitVol,6,FALSE()))+1</f>
        <v>1209</v>
      </c>
      <c r="V70" s="84" t="n">
        <f aca="false">+U70*L70</f>
        <v>2925.78</v>
      </c>
      <c r="W70" s="85" t="n">
        <f aca="false">IF(ISBLANK(VLOOKUP(B70,EffDate,4,FALSE())),"na",VLOOKUP(B70,EffDate,4,FALSE()))</f>
        <v>37228</v>
      </c>
      <c r="X70" s="86" t="n">
        <f aca="false">+M70-S70-U70</f>
        <v>0</v>
      </c>
    </row>
    <row r="71" customFormat="false" ht="15" hidden="false" customHeight="true" outlineLevel="0" collapsed="false">
      <c r="A71" s="78" t="s">
        <v>8</v>
      </c>
      <c r="B71" s="78" t="s">
        <v>76</v>
      </c>
      <c r="C71" s="88" t="n">
        <v>3013701</v>
      </c>
      <c r="D71" s="105" t="s">
        <v>77</v>
      </c>
      <c r="E71" s="106" t="n">
        <v>37228</v>
      </c>
      <c r="F71" s="102" t="s">
        <v>77</v>
      </c>
      <c r="G71" s="107" t="n">
        <v>210487</v>
      </c>
      <c r="H71" s="107"/>
      <c r="I71" s="107" t="s">
        <v>534</v>
      </c>
      <c r="J71" s="103" t="str">
        <f aca="false">IF(ISNA(VLOOKUP(B71,cngdata,7,FALSE())),"na",VLOOKUP(B71,cngdata,7,FALSE()))</f>
        <v>GW</v>
      </c>
      <c r="K71" s="79" t="n">
        <f aca="false">IF(ISNA(VLOOKUP(B71,cngdata,13,FALSE())),"na",VLOOKUP(B71,cngdata,13,FALSE()))</f>
        <v>0</v>
      </c>
      <c r="L71" s="108" t="n">
        <f aca="false">+CNGPricing!$H$42</f>
        <v>2.42</v>
      </c>
      <c r="M71" s="79" t="n">
        <f aca="false">IF(ISNA(VLOOKUP(B71,cngdata,14,FALSE())),0,VLOOKUP(B71,cngdata,14,FALSE()))</f>
        <v>44</v>
      </c>
      <c r="O71" s="81" t="n">
        <v>0</v>
      </c>
      <c r="P71" s="82" t="n">
        <f aca="false">L71-O71</f>
        <v>2.42</v>
      </c>
      <c r="Q71" s="83" t="n">
        <f aca="false">M71*P71</f>
        <v>106.48</v>
      </c>
      <c r="R71" s="74"/>
      <c r="S71" s="79" t="n">
        <f aca="false">IF(ISNA(VLOOKUP(B71,SplitVol,5,FALSE())),0,VLOOKUP(B71,SplitVol,5,FALSE()))</f>
        <v>3</v>
      </c>
      <c r="T71" s="84" t="n">
        <f aca="false">+S71*L71</f>
        <v>7.26</v>
      </c>
      <c r="U71" s="79" t="n">
        <f aca="false">IF(ISNA(VLOOKUP(B71,SplitVol,6,FALSE())),0,VLOOKUP(B71,SplitVol,6,FALSE()))</f>
        <v>41</v>
      </c>
      <c r="V71" s="84" t="n">
        <f aca="false">+U71*L71</f>
        <v>99.22</v>
      </c>
      <c r="W71" s="85" t="n">
        <f aca="false">IF(ISBLANK(VLOOKUP(B71,EffDate,4,FALSE())),"na",VLOOKUP(B71,EffDate,4,FALSE()))</f>
        <v>37228</v>
      </c>
      <c r="X71" s="86" t="n">
        <f aca="false">+M71-S71-U71</f>
        <v>0</v>
      </c>
    </row>
    <row r="72" customFormat="false" ht="15" hidden="false" customHeight="true" outlineLevel="0" collapsed="false">
      <c r="A72" s="78" t="s">
        <v>51</v>
      </c>
      <c r="B72" s="78" t="s">
        <v>85</v>
      </c>
      <c r="C72" s="88" t="n">
        <v>3425901</v>
      </c>
      <c r="D72" s="105" t="s">
        <v>77</v>
      </c>
      <c r="E72" s="106" t="n">
        <v>37228</v>
      </c>
      <c r="F72" s="102" t="s">
        <v>77</v>
      </c>
      <c r="G72" s="107" t="n">
        <v>210487</v>
      </c>
      <c r="H72" s="107"/>
      <c r="I72" s="107" t="s">
        <v>534</v>
      </c>
      <c r="J72" s="103" t="str">
        <f aca="false">IF(ISNA(VLOOKUP(B72,cngdata,7,FALSE())),"na",VLOOKUP(B72,cngdata,7,FALSE()))</f>
        <v>TW</v>
      </c>
      <c r="K72" s="79" t="n">
        <f aca="false">IF(ISNA(VLOOKUP(B72,cngdata,13,FALSE())),"na",VLOOKUP(B72,cngdata,13,FALSE()))</f>
        <v>0</v>
      </c>
      <c r="L72" s="108" t="n">
        <f aca="false">+CNGPricing!$H$42</f>
        <v>2.42</v>
      </c>
      <c r="M72" s="79" t="n">
        <f aca="false">IF(ISNA(VLOOKUP(B72,cngdata,14,FALSE())),0,VLOOKUP(B72,cngdata,14,FALSE()))</f>
        <v>0</v>
      </c>
      <c r="O72" s="81" t="n">
        <v>0</v>
      </c>
      <c r="P72" s="82" t="n">
        <f aca="false">L72-O72</f>
        <v>2.42</v>
      </c>
      <c r="Q72" s="83" t="n">
        <f aca="false">M72*P72</f>
        <v>0</v>
      </c>
      <c r="R72" s="74"/>
      <c r="S72" s="79" t="n">
        <f aca="false">IF(ISNA(VLOOKUP(B72,SplitVol,5,FALSE())),0,VLOOKUP(B72,SplitVol,5,FALSE()))</f>
        <v>0</v>
      </c>
      <c r="T72" s="84" t="n">
        <f aca="false">+S72*L72</f>
        <v>0</v>
      </c>
      <c r="U72" s="79" t="n">
        <f aca="false">IF(ISNA(VLOOKUP(B72,SplitVol,6,FALSE())),0,VLOOKUP(B72,SplitVol,6,FALSE()))</f>
        <v>0</v>
      </c>
      <c r="V72" s="84" t="n">
        <f aca="false">+U72*L72</f>
        <v>0</v>
      </c>
      <c r="W72" s="85" t="n">
        <f aca="false">IF(ISBLANK(VLOOKUP(B72,EffDate,4,FALSE())),"na",VLOOKUP(B72,EffDate,4,FALSE()))</f>
        <v>37228</v>
      </c>
      <c r="X72" s="86" t="n">
        <f aca="false">+M72-S72-U72</f>
        <v>0</v>
      </c>
    </row>
    <row r="73" customFormat="false" ht="15" hidden="false" customHeight="true" outlineLevel="0" collapsed="false">
      <c r="A73" s="78" t="s">
        <v>8</v>
      </c>
      <c r="B73" s="78" t="s">
        <v>87</v>
      </c>
      <c r="C73" s="109" t="n">
        <v>3472501</v>
      </c>
      <c r="D73" s="105" t="s">
        <v>77</v>
      </c>
      <c r="E73" s="106" t="n">
        <v>37228</v>
      </c>
      <c r="F73" s="102" t="s">
        <v>535</v>
      </c>
      <c r="G73" s="107" t="n">
        <v>210487</v>
      </c>
      <c r="H73" s="107"/>
      <c r="I73" s="107" t="s">
        <v>534</v>
      </c>
      <c r="J73" s="103" t="str">
        <f aca="false">IF(ISNA(VLOOKUP(B73,cngdata,7,FALSE())),"na",VLOOKUP(B73,cngdata,7,FALSE()))</f>
        <v>na</v>
      </c>
      <c r="K73" s="79" t="str">
        <f aca="false">IF(ISNA(VLOOKUP(B73,cngdata,13,FALSE())),"na",VLOOKUP(B73,cngdata,13,FALSE()))</f>
        <v>na</v>
      </c>
      <c r="L73" s="108" t="n">
        <f aca="false">+CNGPricing!$H$42</f>
        <v>2.42</v>
      </c>
      <c r="M73" s="79" t="n">
        <f aca="false">IF(ISNA(VLOOKUP(B73,cngdata,14,FALSE())),0,VLOOKUP(B73,cngdata,14,FALSE()))</f>
        <v>0</v>
      </c>
      <c r="O73" s="81" t="n">
        <v>0</v>
      </c>
      <c r="P73" s="82" t="n">
        <f aca="false">L73-O73</f>
        <v>2.42</v>
      </c>
      <c r="Q73" s="83" t="n">
        <f aca="false">M73*P73</f>
        <v>0</v>
      </c>
      <c r="R73" s="74"/>
      <c r="S73" s="79" t="n">
        <f aca="false">IF(ISNA(VLOOKUP(B73,SplitVol,5,FALSE())),0,VLOOKUP(B73,SplitVol,5,FALSE()))</f>
        <v>0</v>
      </c>
      <c r="T73" s="84" t="n">
        <f aca="false">+S73*L73</f>
        <v>0</v>
      </c>
      <c r="U73" s="79" t="n">
        <f aca="false">IF(ISNA(VLOOKUP(B73,SplitVol,6,FALSE())),0,VLOOKUP(B73,SplitVol,6,FALSE()))</f>
        <v>0</v>
      </c>
      <c r="V73" s="84" t="n">
        <f aca="false">+U73*L73</f>
        <v>0</v>
      </c>
      <c r="W73" s="85" t="str">
        <f aca="false">IF(ISBLANK(VLOOKUP(B73,EffDate,4,FALSE())),"na",VLOOKUP(B73,EffDate,4,FALSE()))</f>
        <v>na</v>
      </c>
      <c r="X73" s="86" t="n">
        <f aca="false">+M73-S73-U73</f>
        <v>0</v>
      </c>
    </row>
    <row r="74" customFormat="false" ht="15" hidden="false" customHeight="true" outlineLevel="0" collapsed="false">
      <c r="A74" s="78" t="s">
        <v>51</v>
      </c>
      <c r="B74" s="78" t="s">
        <v>82</v>
      </c>
      <c r="C74" s="109" t="n">
        <v>3421301</v>
      </c>
      <c r="D74" s="105" t="s">
        <v>77</v>
      </c>
      <c r="E74" s="106" t="n">
        <v>37228</v>
      </c>
      <c r="F74" s="102" t="s">
        <v>535</v>
      </c>
      <c r="G74" s="107" t="n">
        <v>210487</v>
      </c>
      <c r="H74" s="107"/>
      <c r="I74" s="107" t="s">
        <v>534</v>
      </c>
      <c r="J74" s="103" t="str">
        <f aca="false">IF(ISNA(VLOOKUP(B74,cngdata,7,FALSE())),"na",VLOOKUP(B74,cngdata,7,FALSE()))</f>
        <v>na</v>
      </c>
      <c r="K74" s="79" t="str">
        <f aca="false">IF(ISNA(VLOOKUP(B74,cngdata,13,FALSE())),"na",VLOOKUP(B74,cngdata,13,FALSE()))</f>
        <v>na</v>
      </c>
      <c r="L74" s="108" t="n">
        <f aca="false">+CNGPricing!$H$42</f>
        <v>2.42</v>
      </c>
      <c r="M74" s="79" t="n">
        <f aca="false">IF(ISNA(VLOOKUP(B74,cngdata,14,FALSE())),0,VLOOKUP(B74,cngdata,14,FALSE()))</f>
        <v>0</v>
      </c>
      <c r="O74" s="81" t="n">
        <v>0</v>
      </c>
      <c r="P74" s="82" t="n">
        <f aca="false">L74-O74</f>
        <v>2.42</v>
      </c>
      <c r="Q74" s="83" t="n">
        <f aca="false">M74*P74</f>
        <v>0</v>
      </c>
      <c r="R74" s="74"/>
      <c r="S74" s="79" t="n">
        <f aca="false">IF(ISNA(VLOOKUP(B74,SplitVol,5,FALSE())),0,VLOOKUP(B74,SplitVol,5,FALSE()))</f>
        <v>0</v>
      </c>
      <c r="T74" s="84" t="n">
        <f aca="false">+S74*L74</f>
        <v>0</v>
      </c>
      <c r="U74" s="79" t="n">
        <f aca="false">IF(ISNA(VLOOKUP(B74,SplitVol,6,FALSE())),0,VLOOKUP(B74,SplitVol,6,FALSE()))</f>
        <v>0</v>
      </c>
      <c r="V74" s="84" t="n">
        <f aca="false">+U74*L74</f>
        <v>0</v>
      </c>
      <c r="W74" s="85" t="str">
        <f aca="false">IF(ISBLANK(VLOOKUP(B74,EffDate,4,FALSE())),"na",VLOOKUP(B74,EffDate,4,FALSE()))</f>
        <v>na</v>
      </c>
      <c r="X74" s="86" t="n">
        <f aca="false">+M74-S74-U74</f>
        <v>0</v>
      </c>
    </row>
    <row r="75" customFormat="false" ht="15" hidden="false" customHeight="true" outlineLevel="0" collapsed="false">
      <c r="A75" s="78" t="s">
        <v>8</v>
      </c>
      <c r="B75" s="78" t="s">
        <v>84</v>
      </c>
      <c r="C75" s="109" t="n">
        <v>3425201</v>
      </c>
      <c r="D75" s="105" t="s">
        <v>77</v>
      </c>
      <c r="E75" s="106" t="n">
        <v>37228</v>
      </c>
      <c r="F75" s="102" t="s">
        <v>535</v>
      </c>
      <c r="G75" s="107" t="n">
        <v>210487</v>
      </c>
      <c r="H75" s="107"/>
      <c r="I75" s="107" t="s">
        <v>534</v>
      </c>
      <c r="J75" s="103" t="str">
        <f aca="false">IF(ISNA(VLOOKUP(B75,cngdata,7,FALSE())),"na",VLOOKUP(B75,cngdata,7,FALSE()))</f>
        <v>na</v>
      </c>
      <c r="K75" s="79" t="str">
        <f aca="false">IF(ISNA(VLOOKUP(B75,cngdata,13,FALSE())),"na",VLOOKUP(B75,cngdata,13,FALSE()))</f>
        <v>na</v>
      </c>
      <c r="L75" s="108" t="n">
        <f aca="false">+CNGPricing!$H$42</f>
        <v>2.42</v>
      </c>
      <c r="M75" s="79" t="n">
        <f aca="false">IF(ISNA(VLOOKUP(B75,cngdata,14,FALSE())),0,VLOOKUP(B75,cngdata,14,FALSE()))</f>
        <v>0</v>
      </c>
      <c r="O75" s="81" t="n">
        <v>0</v>
      </c>
      <c r="P75" s="82" t="n">
        <f aca="false">L75-O75</f>
        <v>2.42</v>
      </c>
      <c r="Q75" s="83" t="n">
        <f aca="false">M75*P75</f>
        <v>0</v>
      </c>
      <c r="R75" s="74"/>
      <c r="S75" s="79" t="n">
        <f aca="false">IF(ISNA(VLOOKUP(B75,SplitVol,5,FALSE())),0,VLOOKUP(B75,SplitVol,5,FALSE()))</f>
        <v>0</v>
      </c>
      <c r="T75" s="84" t="n">
        <f aca="false">+S75*L75</f>
        <v>0</v>
      </c>
      <c r="U75" s="79" t="n">
        <f aca="false">IF(ISNA(VLOOKUP(B75,SplitVol,6,FALSE())),0,VLOOKUP(B75,SplitVol,6,FALSE()))</f>
        <v>0</v>
      </c>
      <c r="V75" s="84" t="n">
        <f aca="false">+U75*L75</f>
        <v>0</v>
      </c>
      <c r="W75" s="85" t="str">
        <f aca="false">IF(ISBLANK(VLOOKUP(B75,EffDate,4,FALSE())),"na",VLOOKUP(B75,EffDate,4,FALSE()))</f>
        <v>na</v>
      </c>
      <c r="X75" s="86" t="n">
        <f aca="false">+M75-S75-U75</f>
        <v>0</v>
      </c>
    </row>
    <row r="76" customFormat="false" ht="15" hidden="false" customHeight="true" outlineLevel="0" collapsed="false">
      <c r="A76" s="4" t="s">
        <v>5</v>
      </c>
      <c r="B76" s="77" t="s">
        <v>89</v>
      </c>
      <c r="C76" s="4" t="n">
        <v>2150501</v>
      </c>
      <c r="D76" s="90" t="s">
        <v>90</v>
      </c>
      <c r="E76" s="91" t="n">
        <v>37256</v>
      </c>
      <c r="F76" s="4"/>
      <c r="G76" s="78" t="n">
        <v>13884</v>
      </c>
      <c r="H76" s="78" t="s">
        <v>536</v>
      </c>
      <c r="I76" s="110" t="s">
        <v>537</v>
      </c>
      <c r="J76" s="79" t="str">
        <f aca="false">IF(ISNA(VLOOKUP(B76,cngdata,7,FALSE())),"na",VLOOKUP(B76,cngdata,7,FALSE()))</f>
        <v>GW</v>
      </c>
      <c r="K76" s="79" t="n">
        <f aca="false">IF(ISNA(VLOOKUP(B76,cngdata,13,FALSE())),"na",VLOOKUP(B76,cngdata,13,FALSE()))</f>
        <v>0</v>
      </c>
      <c r="L76" s="80" t="n">
        <f aca="false">$L$2</f>
        <v>2.42</v>
      </c>
      <c r="M76" s="79" t="n">
        <f aca="false">IF(ISNA(VLOOKUP(B76,cngdata,14,FALSE())),0,VLOOKUP(B76,cngdata,14,FALSE()))</f>
        <v>567</v>
      </c>
      <c r="O76" s="81" t="n">
        <v>0</v>
      </c>
      <c r="P76" s="82" t="n">
        <f aca="false">L76-O76</f>
        <v>2.42</v>
      </c>
      <c r="Q76" s="83" t="n">
        <f aca="false">M76*P76</f>
        <v>1372.14</v>
      </c>
      <c r="R76" s="74"/>
      <c r="S76" s="79" t="n">
        <f aca="false">IF(ISNA(VLOOKUP(B76,SplitVol,5,FALSE())),0,VLOOKUP(B76,SplitVol,5,FALSE()))</f>
        <v>29</v>
      </c>
      <c r="T76" s="84" t="n">
        <f aca="false">+S76*L76</f>
        <v>70.18</v>
      </c>
      <c r="U76" s="79" t="n">
        <f aca="false">IF(ISNA(VLOOKUP(B76,SplitVol,6,FALSE())),0,VLOOKUP(B76,SplitVol,6,FALSE()))</f>
        <v>538</v>
      </c>
      <c r="V76" s="84" t="n">
        <f aca="false">+U76*L76</f>
        <v>1301.96</v>
      </c>
      <c r="W76" s="85" t="n">
        <f aca="false">IF(ISBLANK(VLOOKUP(B76,EffDate,4,FALSE())),"na",VLOOKUP(B76,EffDate,4,FALSE()))</f>
        <v>37256</v>
      </c>
      <c r="X76" s="86" t="n">
        <f aca="false">+M76-S76-U76</f>
        <v>0</v>
      </c>
    </row>
    <row r="77" customFormat="false" ht="15" hidden="false" customHeight="true" outlineLevel="0" collapsed="false">
      <c r="A77" s="4" t="s">
        <v>94</v>
      </c>
      <c r="B77" s="77" t="s">
        <v>95</v>
      </c>
      <c r="C77" s="102" t="n">
        <v>4133001</v>
      </c>
      <c r="D77" s="90" t="s">
        <v>93</v>
      </c>
      <c r="E77" s="91" t="n">
        <v>37257</v>
      </c>
      <c r="F77" s="102"/>
      <c r="G77" s="102" t="n">
        <v>14385</v>
      </c>
      <c r="H77" s="102" t="s">
        <v>538</v>
      </c>
      <c r="I77" s="102" t="s">
        <v>539</v>
      </c>
      <c r="J77" s="103" t="str">
        <f aca="false">IF(ISNA(VLOOKUP(B77,cngdata,7,FALSE())),"na",VLOOKUP(B77,cngdata,7,FALSE()))</f>
        <v>GD</v>
      </c>
      <c r="K77" s="103" t="n">
        <f aca="false">IF(ISNA(VLOOKUP(B77,cngdata,13,FALSE())),"na",VLOOKUP(B77,cngdata,13,FALSE()))</f>
        <v>0</v>
      </c>
      <c r="L77" s="108" t="n">
        <f aca="false">+CNGPricing!$H$55</f>
        <v>2.4</v>
      </c>
      <c r="M77" s="103" t="n">
        <f aca="false">IF(ISNA(VLOOKUP(B77,cngdata,14,FALSE())),0,VLOOKUP(B77,cngdata,14,FALSE()))</f>
        <v>0</v>
      </c>
      <c r="O77" s="81" t="n">
        <v>0</v>
      </c>
      <c r="P77" s="82" t="n">
        <f aca="false">L77-O77</f>
        <v>2.4</v>
      </c>
      <c r="Q77" s="83" t="n">
        <f aca="false">M77*P77</f>
        <v>0</v>
      </c>
      <c r="R77" s="74"/>
      <c r="S77" s="79" t="n">
        <f aca="false">IF(ISNA(VLOOKUP(B77,SplitVol,5,FALSE())),0,VLOOKUP(B77,SplitVol,5,FALSE()))</f>
        <v>0</v>
      </c>
      <c r="T77" s="84" t="n">
        <f aca="false">+S77*L77</f>
        <v>0</v>
      </c>
      <c r="U77" s="79" t="n">
        <f aca="false">IF(ISNA(VLOOKUP(B77,SplitVol,6,FALSE())),0,VLOOKUP(B77,SplitVol,6,FALSE()))</f>
        <v>0</v>
      </c>
      <c r="V77" s="84" t="n">
        <f aca="false">+U77*L77</f>
        <v>0</v>
      </c>
      <c r="W77" s="85" t="n">
        <f aca="false">IF(ISBLANK(VLOOKUP(B77,EffDate,4,FALSE())),"na",VLOOKUP(B77,EffDate,4,FALSE()))</f>
        <v>37257</v>
      </c>
      <c r="X77" s="86" t="n">
        <f aca="false">+M77-S77-U77</f>
        <v>0</v>
      </c>
    </row>
    <row r="78" customFormat="false" ht="15" hidden="false" customHeight="true" outlineLevel="0" collapsed="false">
      <c r="A78" s="4" t="s">
        <v>91</v>
      </c>
      <c r="B78" s="77" t="s">
        <v>92</v>
      </c>
      <c r="C78" s="102" t="n">
        <v>4092601</v>
      </c>
      <c r="D78" s="90" t="s">
        <v>93</v>
      </c>
      <c r="E78" s="91" t="n">
        <v>37257</v>
      </c>
      <c r="F78" s="102"/>
      <c r="G78" s="102" t="n">
        <v>14385</v>
      </c>
      <c r="H78" s="102" t="s">
        <v>538</v>
      </c>
      <c r="I78" s="102" t="s">
        <v>539</v>
      </c>
      <c r="J78" s="103" t="str">
        <f aca="false">IF(ISNA(VLOOKUP(B78,cngdata,7,FALSE())),"na",VLOOKUP(B78,cngdata,7,FALSE()))</f>
        <v>GW</v>
      </c>
      <c r="K78" s="103" t="n">
        <f aca="false">IF(ISNA(VLOOKUP(B78,cngdata,13,FALSE())),"na",VLOOKUP(B78,cngdata,13,FALSE()))</f>
        <v>723</v>
      </c>
      <c r="L78" s="108" t="n">
        <f aca="false">+CNGPricing!$H$55</f>
        <v>2.4</v>
      </c>
      <c r="M78" s="103" t="n">
        <f aca="false">IF(ISNA(VLOOKUP(B78,cngdata,14,FALSE())),0,VLOOKUP(B78,cngdata,14,FALSE()))</f>
        <v>810</v>
      </c>
      <c r="O78" s="81" t="n">
        <v>0</v>
      </c>
      <c r="P78" s="82" t="n">
        <f aca="false">L78-O78</f>
        <v>2.4</v>
      </c>
      <c r="Q78" s="83" t="n">
        <f aca="false">M78*P78</f>
        <v>1944</v>
      </c>
      <c r="R78" s="74"/>
      <c r="S78" s="79" t="n">
        <f aca="false">IF(ISNA(VLOOKUP(B78,SplitVol,5,FALSE())),0,VLOOKUP(B78,SplitVol,5,FALSE()))</f>
        <v>80</v>
      </c>
      <c r="T78" s="84" t="n">
        <f aca="false">+S78*L78</f>
        <v>192</v>
      </c>
      <c r="U78" s="79" t="n">
        <f aca="false">IF(ISNA(VLOOKUP(B78,SplitVol,6,FALSE())),0,VLOOKUP(B78,SplitVol,6,FALSE()))</f>
        <v>730</v>
      </c>
      <c r="V78" s="84" t="n">
        <f aca="false">+U78*L78</f>
        <v>1752</v>
      </c>
      <c r="W78" s="85" t="n">
        <f aca="false">IF(ISBLANK(VLOOKUP(B78,EffDate,4,FALSE())),"na",VLOOKUP(B78,EffDate,4,FALSE()))</f>
        <v>37257</v>
      </c>
      <c r="X78" s="86" t="n">
        <f aca="false">+M78-S78-U78</f>
        <v>0</v>
      </c>
    </row>
    <row r="79" customFormat="false" ht="15" hidden="false" customHeight="true" outlineLevel="0" collapsed="false">
      <c r="A79" s="4" t="s">
        <v>5</v>
      </c>
      <c r="B79" s="77" t="s">
        <v>96</v>
      </c>
      <c r="C79" s="4" t="n">
        <v>3290902</v>
      </c>
      <c r="D79" s="105" t="s">
        <v>97</v>
      </c>
      <c r="E79" s="106" t="n">
        <v>37228</v>
      </c>
      <c r="F79" s="102"/>
      <c r="G79" s="102" t="n">
        <v>14599</v>
      </c>
      <c r="H79" s="102" t="s">
        <v>540</v>
      </c>
      <c r="I79" s="102" t="s">
        <v>541</v>
      </c>
      <c r="J79" s="103" t="str">
        <f aca="false">IF(ISNA(VLOOKUP(B79,cngdata,7,FALSE())),"na",VLOOKUP(B79,cngdata,7,FALSE()))</f>
        <v>GW</v>
      </c>
      <c r="K79" s="79" t="n">
        <f aca="false">IF(ISNA(VLOOKUP(B79,cngdata,13,FALSE())),"na",VLOOKUP(B79,cngdata,13,FALSE()))</f>
        <v>1796</v>
      </c>
      <c r="L79" s="108" t="n">
        <f aca="false">+CNGPricing!$H$68</f>
        <v>3.42419036755387</v>
      </c>
      <c r="M79" s="79" t="n">
        <f aca="false">IF(ISNA(VLOOKUP(B79,cngdata,14,FALSE())),0,VLOOKUP(B79,cngdata,14,FALSE()))</f>
        <v>2367</v>
      </c>
      <c r="O79" s="81" t="n">
        <v>0</v>
      </c>
      <c r="P79" s="82" t="n">
        <f aca="false">L79-O79</f>
        <v>3.42419036755387</v>
      </c>
      <c r="Q79" s="83" t="n">
        <f aca="false">M79*P79</f>
        <v>8105.0586</v>
      </c>
      <c r="R79" s="74"/>
      <c r="S79" s="79" t="n">
        <f aca="false">IF(ISNA(VLOOKUP(B79,SplitVol,5,FALSE())),0,VLOOKUP(B79,SplitVol,5,FALSE()))</f>
        <v>180</v>
      </c>
      <c r="T79" s="84" t="n">
        <f aca="false">+S79*L79</f>
        <v>616.354266159696</v>
      </c>
      <c r="U79" s="79" t="n">
        <f aca="false">IF(ISNA(VLOOKUP(B79,SplitVol,6,FALSE())),0,VLOOKUP(B79,SplitVol,6,FALSE()))</f>
        <v>2187</v>
      </c>
      <c r="V79" s="84" t="n">
        <f aca="false">+U79*L79</f>
        <v>7488.70433384031</v>
      </c>
      <c r="W79" s="85" t="n">
        <f aca="false">IF(ISBLANK(VLOOKUP(B79,EffDate,4,FALSE())),"na",VLOOKUP(B79,EffDate,4,FALSE()))</f>
        <v>37228</v>
      </c>
      <c r="X79" s="86" t="n">
        <f aca="false">+M79-S79-U79</f>
        <v>0</v>
      </c>
    </row>
    <row r="80" customFormat="false" ht="15" hidden="false" customHeight="true" outlineLevel="0" collapsed="false">
      <c r="A80" s="4" t="s">
        <v>5</v>
      </c>
      <c r="B80" s="77" t="s">
        <v>98</v>
      </c>
      <c r="C80" s="4" t="n">
        <v>3423501</v>
      </c>
      <c r="D80" s="4" t="s">
        <v>99</v>
      </c>
      <c r="E80" s="72" t="s">
        <v>517</v>
      </c>
      <c r="F80" s="4"/>
      <c r="G80" s="78" t="n">
        <v>15062</v>
      </c>
      <c r="H80" s="78" t="s">
        <v>542</v>
      </c>
      <c r="I80" s="78" t="s">
        <v>543</v>
      </c>
      <c r="J80" s="79" t="str">
        <f aca="false">IF(ISNA(VLOOKUP(B80,cngdata,7,FALSE())),"na",VLOOKUP(B80,cngdata,7,FALSE()))</f>
        <v>GW</v>
      </c>
      <c r="K80" s="79" t="n">
        <f aca="false">IF(ISNA(VLOOKUP(B80,cngdata,13,FALSE())),"na",VLOOKUP(B80,cngdata,13,FALSE()))</f>
        <v>0</v>
      </c>
      <c r="L80" s="80" t="n">
        <f aca="false">$L$2*97%</f>
        <v>2.3474</v>
      </c>
      <c r="M80" s="79" t="n">
        <f aca="false">IF(ISNA(VLOOKUP(B80,cngdata,14,FALSE())),0,VLOOKUP(B80,cngdata,14,FALSE()))</f>
        <v>0</v>
      </c>
      <c r="O80" s="81" t="n">
        <v>0</v>
      </c>
      <c r="P80" s="82" t="n">
        <f aca="false">L80-O80</f>
        <v>2.3474</v>
      </c>
      <c r="Q80" s="83" t="n">
        <f aca="false">M80*P80</f>
        <v>0</v>
      </c>
      <c r="R80" s="74"/>
      <c r="S80" s="79" t="n">
        <f aca="false">IF(ISNA(VLOOKUP(B80,SplitVol,5,FALSE())),0,VLOOKUP(B80,SplitVol,5,FALSE()))</f>
        <v>0</v>
      </c>
      <c r="T80" s="84" t="n">
        <f aca="false">+S80*L80</f>
        <v>0</v>
      </c>
      <c r="U80" s="79" t="n">
        <f aca="false">IF(ISNA(VLOOKUP(B80,SplitVol,6,FALSE())),0,VLOOKUP(B80,SplitVol,6,FALSE()))</f>
        <v>0</v>
      </c>
      <c r="V80" s="84" t="n">
        <f aca="false">+U80*L80</f>
        <v>0</v>
      </c>
      <c r="W80" s="85" t="str">
        <f aca="false">IF(ISBLANK(VLOOKUP(B80,EffDate,4,FALSE())),"na",VLOOKUP(B80,EffDate,4,FALSE()))</f>
        <v>na</v>
      </c>
      <c r="X80" s="86" t="n">
        <f aca="false">+M80-S80-U80</f>
        <v>0</v>
      </c>
    </row>
    <row r="81" customFormat="false" ht="15" hidden="false" customHeight="true" outlineLevel="0" collapsed="false">
      <c r="A81" s="4" t="s">
        <v>5</v>
      </c>
      <c r="B81" s="77" t="s">
        <v>100</v>
      </c>
      <c r="C81" s="4" t="n">
        <v>3423601</v>
      </c>
      <c r="D81" s="4" t="s">
        <v>99</v>
      </c>
      <c r="E81" s="72" t="s">
        <v>517</v>
      </c>
      <c r="F81" s="4"/>
      <c r="G81" s="78" t="n">
        <v>15062</v>
      </c>
      <c r="H81" s="78" t="s">
        <v>542</v>
      </c>
      <c r="I81" s="78" t="s">
        <v>543</v>
      </c>
      <c r="J81" s="79" t="str">
        <f aca="false">IF(ISNA(VLOOKUP(B81,cngdata,7,FALSE())),"na",VLOOKUP(B81,cngdata,7,FALSE()))</f>
        <v>GW</v>
      </c>
      <c r="K81" s="79" t="n">
        <f aca="false">IF(ISNA(VLOOKUP(B81,cngdata,13,FALSE())),"na",VLOOKUP(B81,cngdata,13,FALSE()))</f>
        <v>84</v>
      </c>
      <c r="L81" s="80" t="n">
        <f aca="false">$L$2*97%</f>
        <v>2.3474</v>
      </c>
      <c r="M81" s="79" t="n">
        <f aca="false">IF(ISNA(VLOOKUP(B81,cngdata,14,FALSE())),0,VLOOKUP(B81,cngdata,14,FALSE()))</f>
        <v>108</v>
      </c>
      <c r="O81" s="81" t="n">
        <v>0</v>
      </c>
      <c r="P81" s="82" t="n">
        <f aca="false">L81-O81</f>
        <v>2.3474</v>
      </c>
      <c r="Q81" s="83" t="n">
        <f aca="false">M81*P81</f>
        <v>253.5192</v>
      </c>
      <c r="R81" s="74"/>
      <c r="S81" s="79" t="n">
        <f aca="false">IF(ISNA(VLOOKUP(B81,SplitVol,5,FALSE())),0,VLOOKUP(B81,SplitVol,5,FALSE()))</f>
        <v>7</v>
      </c>
      <c r="T81" s="84" t="n">
        <f aca="false">+S81*L81</f>
        <v>16.4318</v>
      </c>
      <c r="U81" s="79" t="n">
        <f aca="false">IF(ISNA(VLOOKUP(B81,SplitVol,6,FALSE())),0,VLOOKUP(B81,SplitVol,6,FALSE()))</f>
        <v>101</v>
      </c>
      <c r="V81" s="84" t="n">
        <f aca="false">+U81*L81</f>
        <v>237.0874</v>
      </c>
      <c r="W81" s="85" t="str">
        <f aca="false">IF(ISBLANK(VLOOKUP(B81,EffDate,4,FALSE())),"na",VLOOKUP(B81,EffDate,4,FALSE()))</f>
        <v>na</v>
      </c>
      <c r="X81" s="86" t="n">
        <f aca="false">+M81-S81-U81</f>
        <v>0</v>
      </c>
    </row>
    <row r="82" customFormat="false" ht="15" hidden="false" customHeight="true" outlineLevel="0" collapsed="false">
      <c r="A82" s="4" t="s">
        <v>5</v>
      </c>
      <c r="B82" s="77" t="s">
        <v>101</v>
      </c>
      <c r="C82" s="4" t="n">
        <v>3423701</v>
      </c>
      <c r="D82" s="4" t="s">
        <v>99</v>
      </c>
      <c r="E82" s="72" t="s">
        <v>517</v>
      </c>
      <c r="F82" s="4"/>
      <c r="G82" s="78" t="n">
        <v>15062</v>
      </c>
      <c r="H82" s="78" t="s">
        <v>542</v>
      </c>
      <c r="I82" s="78" t="s">
        <v>543</v>
      </c>
      <c r="J82" s="79" t="str">
        <f aca="false">IF(ISNA(VLOOKUP(B82,cngdata,7,FALSE())),"na",VLOOKUP(B82,cngdata,7,FALSE()))</f>
        <v>GW</v>
      </c>
      <c r="K82" s="79" t="n">
        <f aca="false">IF(ISNA(VLOOKUP(B82,cngdata,13,FALSE())),"na",VLOOKUP(B82,cngdata,13,FALSE()))</f>
        <v>107</v>
      </c>
      <c r="L82" s="80" t="n">
        <f aca="false">$L$2*97%</f>
        <v>2.3474</v>
      </c>
      <c r="M82" s="79" t="n">
        <f aca="false">IF(ISNA(VLOOKUP(B82,cngdata,14,FALSE())),0,VLOOKUP(B82,cngdata,14,FALSE()))</f>
        <v>127</v>
      </c>
      <c r="O82" s="81" t="n">
        <v>0</v>
      </c>
      <c r="P82" s="82" t="n">
        <f aca="false">L82-O82</f>
        <v>2.3474</v>
      </c>
      <c r="Q82" s="83" t="n">
        <f aca="false">M82*P82</f>
        <v>298.1198</v>
      </c>
      <c r="R82" s="74"/>
      <c r="S82" s="79" t="n">
        <f aca="false">IF(ISNA(VLOOKUP(B82,SplitVol,5,FALSE())),0,VLOOKUP(B82,SplitVol,5,FALSE()))</f>
        <v>9</v>
      </c>
      <c r="T82" s="84" t="n">
        <f aca="false">+S82*L82</f>
        <v>21.1266</v>
      </c>
      <c r="U82" s="79" t="n">
        <f aca="false">IF(ISNA(VLOOKUP(B82,SplitVol,6,FALSE())),0,VLOOKUP(B82,SplitVol,6,FALSE()))</f>
        <v>118</v>
      </c>
      <c r="V82" s="84" t="n">
        <f aca="false">+U82*L82</f>
        <v>276.9932</v>
      </c>
      <c r="W82" s="85" t="str">
        <f aca="false">IF(ISBLANK(VLOOKUP(B82,EffDate,4,FALSE())),"na",VLOOKUP(B82,EffDate,4,FALSE()))</f>
        <v>na</v>
      </c>
      <c r="X82" s="86" t="n">
        <f aca="false">+M82-S82-U82</f>
        <v>0</v>
      </c>
    </row>
    <row r="83" customFormat="false" ht="15" hidden="false" customHeight="true" outlineLevel="0" collapsed="false">
      <c r="A83" s="4" t="s">
        <v>5</v>
      </c>
      <c r="B83" s="77" t="s">
        <v>102</v>
      </c>
      <c r="C83" s="4" t="n">
        <v>3423801</v>
      </c>
      <c r="D83" s="4" t="s">
        <v>99</v>
      </c>
      <c r="E83" s="72" t="s">
        <v>517</v>
      </c>
      <c r="F83" s="4"/>
      <c r="G83" s="78" t="n">
        <v>15062</v>
      </c>
      <c r="H83" s="78" t="s">
        <v>542</v>
      </c>
      <c r="I83" s="78" t="s">
        <v>543</v>
      </c>
      <c r="J83" s="79" t="str">
        <f aca="false">IF(ISNA(VLOOKUP(B83,cngdata,7,FALSE())),"na",VLOOKUP(B83,cngdata,7,FALSE()))</f>
        <v>GW</v>
      </c>
      <c r="K83" s="79" t="n">
        <f aca="false">IF(ISNA(VLOOKUP(B83,cngdata,13,FALSE())),"na",VLOOKUP(B83,cngdata,13,FALSE()))</f>
        <v>432</v>
      </c>
      <c r="L83" s="80" t="n">
        <f aca="false">$L$2*97%</f>
        <v>2.3474</v>
      </c>
      <c r="M83" s="79" t="n">
        <f aca="false">IF(ISNA(VLOOKUP(B83,cngdata,14,FALSE())),0,VLOOKUP(B83,cngdata,14,FALSE()))</f>
        <v>526</v>
      </c>
      <c r="O83" s="81" t="n">
        <v>0</v>
      </c>
      <c r="P83" s="82" t="n">
        <f aca="false">L83-O83</f>
        <v>2.3474</v>
      </c>
      <c r="Q83" s="83" t="n">
        <f aca="false">M83*P83</f>
        <v>1234.7324</v>
      </c>
      <c r="R83" s="74"/>
      <c r="S83" s="79" t="n">
        <f aca="false">IF(ISNA(VLOOKUP(B83,SplitVol,5,FALSE())),0,VLOOKUP(B83,SplitVol,5,FALSE()))</f>
        <v>22</v>
      </c>
      <c r="T83" s="84" t="n">
        <f aca="false">+S83*L83</f>
        <v>51.6428</v>
      </c>
      <c r="U83" s="79" t="n">
        <f aca="false">IF(ISNA(VLOOKUP(B83,SplitVol,6,FALSE())),0,VLOOKUP(B83,SplitVol,6,FALSE()))</f>
        <v>504</v>
      </c>
      <c r="V83" s="84" t="n">
        <f aca="false">+U83*L83</f>
        <v>1183.0896</v>
      </c>
      <c r="W83" s="85" t="str">
        <f aca="false">IF(ISBLANK(VLOOKUP(B83,EffDate,4,FALSE())),"na",VLOOKUP(B83,EffDate,4,FALSE()))</f>
        <v>na</v>
      </c>
      <c r="X83" s="86" t="n">
        <f aca="false">+M83-S83-U83</f>
        <v>0</v>
      </c>
    </row>
    <row r="84" customFormat="false" ht="15" hidden="false" customHeight="true" outlineLevel="0" collapsed="false">
      <c r="A84" s="4" t="s">
        <v>5</v>
      </c>
      <c r="B84" s="77" t="s">
        <v>103</v>
      </c>
      <c r="C84" s="4" t="n">
        <v>3429601</v>
      </c>
      <c r="D84" s="4" t="s">
        <v>99</v>
      </c>
      <c r="E84" s="72" t="s">
        <v>517</v>
      </c>
      <c r="F84" s="4"/>
      <c r="G84" s="78" t="n">
        <v>15062</v>
      </c>
      <c r="H84" s="78" t="s">
        <v>542</v>
      </c>
      <c r="I84" s="78" t="s">
        <v>543</v>
      </c>
      <c r="J84" s="79" t="str">
        <f aca="false">IF(ISNA(VLOOKUP(B84,cngdata,7,FALSE())),"na",VLOOKUP(B84,cngdata,7,FALSE()))</f>
        <v>GW</v>
      </c>
      <c r="K84" s="79" t="n">
        <f aca="false">IF(ISNA(VLOOKUP(B84,cngdata,13,FALSE())),"na",VLOOKUP(B84,cngdata,13,FALSE()))</f>
        <v>208</v>
      </c>
      <c r="L84" s="80" t="n">
        <f aca="false">$L$2*97%</f>
        <v>2.3474</v>
      </c>
      <c r="M84" s="79" t="n">
        <f aca="false">IF(ISNA(VLOOKUP(B84,cngdata,14,FALSE())),0,VLOOKUP(B84,cngdata,14,FALSE()))</f>
        <v>275</v>
      </c>
      <c r="O84" s="81" t="n">
        <v>0</v>
      </c>
      <c r="P84" s="82" t="n">
        <f aca="false">L84-O84</f>
        <v>2.3474</v>
      </c>
      <c r="Q84" s="83" t="n">
        <f aca="false">M84*P84</f>
        <v>645.535</v>
      </c>
      <c r="R84" s="74"/>
      <c r="S84" s="79" t="n">
        <f aca="false">IF(ISNA(VLOOKUP(B84,SplitVol,5,FALSE())),0,VLOOKUP(B84,SplitVol,5,FALSE()))</f>
        <v>29</v>
      </c>
      <c r="T84" s="84" t="n">
        <f aca="false">+S84*L84</f>
        <v>68.0746</v>
      </c>
      <c r="U84" s="79" t="n">
        <f aca="false">IF(ISNA(VLOOKUP(B84,SplitVol,6,FALSE())),0,VLOOKUP(B84,SplitVol,6,FALSE()))</f>
        <v>246</v>
      </c>
      <c r="V84" s="84" t="n">
        <f aca="false">+U84*L84</f>
        <v>577.4604</v>
      </c>
      <c r="W84" s="85" t="str">
        <f aca="false">IF(ISBLANK(VLOOKUP(B84,EffDate,4,FALSE())),"na",VLOOKUP(B84,EffDate,4,FALSE()))</f>
        <v>na</v>
      </c>
      <c r="X84" s="86" t="n">
        <f aca="false">+M84-S84-U84</f>
        <v>0</v>
      </c>
    </row>
    <row r="85" customFormat="false" ht="15" hidden="false" customHeight="true" outlineLevel="0" collapsed="false">
      <c r="A85" s="4" t="s">
        <v>104</v>
      </c>
      <c r="B85" s="77" t="s">
        <v>105</v>
      </c>
      <c r="C85" s="4" t="n">
        <v>3478201</v>
      </c>
      <c r="D85" s="4" t="s">
        <v>99</v>
      </c>
      <c r="E85" s="72" t="s">
        <v>517</v>
      </c>
      <c r="F85" s="4"/>
      <c r="G85" s="78" t="n">
        <v>15062</v>
      </c>
      <c r="H85" s="78" t="s">
        <v>542</v>
      </c>
      <c r="I85" s="78" t="s">
        <v>543</v>
      </c>
      <c r="J85" s="79" t="str">
        <f aca="false">IF(ISNA(VLOOKUP(B85,cngdata,7,FALSE())),"na",VLOOKUP(B85,cngdata,7,FALSE()))</f>
        <v>TW</v>
      </c>
      <c r="K85" s="79" t="n">
        <f aca="false">IF(ISNA(VLOOKUP(B85,cngdata,13,FALSE())),"na",VLOOKUP(B85,cngdata,13,FALSE()))</f>
        <v>107</v>
      </c>
      <c r="L85" s="80" t="n">
        <f aca="false">$L$2*97%</f>
        <v>2.3474</v>
      </c>
      <c r="M85" s="79" t="n">
        <f aca="false">IF(ISNA(VLOOKUP(B85,cngdata,14,FALSE())),0,VLOOKUP(B85,cngdata,14,FALSE()))</f>
        <v>135</v>
      </c>
      <c r="O85" s="81" t="n">
        <v>0</v>
      </c>
      <c r="P85" s="82" t="n">
        <f aca="false">L85-O85</f>
        <v>2.3474</v>
      </c>
      <c r="Q85" s="83" t="n">
        <f aca="false">M85*P85</f>
        <v>316.899</v>
      </c>
      <c r="R85" s="74"/>
      <c r="S85" s="79" t="n">
        <f aca="false">IF(ISNA(VLOOKUP(B85,SplitVol,5,FALSE())),0,VLOOKUP(B85,SplitVol,5,FALSE()))</f>
        <v>10</v>
      </c>
      <c r="T85" s="84" t="n">
        <f aca="false">+S85*L85</f>
        <v>23.474</v>
      </c>
      <c r="U85" s="79" t="n">
        <f aca="false">IF(ISNA(VLOOKUP(B85,SplitVol,6,FALSE())),0,VLOOKUP(B85,SplitVol,6,FALSE()))</f>
        <v>125</v>
      </c>
      <c r="V85" s="84" t="n">
        <f aca="false">+U85*L85</f>
        <v>293.425</v>
      </c>
      <c r="W85" s="85" t="str">
        <f aca="false">IF(ISBLANK(VLOOKUP(B85,EffDate,4,FALSE())),"na",VLOOKUP(B85,EffDate,4,FALSE()))</f>
        <v>na</v>
      </c>
      <c r="X85" s="86" t="n">
        <f aca="false">+M85-S85-U85</f>
        <v>0</v>
      </c>
    </row>
    <row r="86" customFormat="false" ht="15" hidden="false" customHeight="true" outlineLevel="0" collapsed="false">
      <c r="A86" s="4" t="s">
        <v>5</v>
      </c>
      <c r="B86" s="77" t="s">
        <v>106</v>
      </c>
      <c r="C86" s="4" t="n">
        <v>3502801</v>
      </c>
      <c r="D86" s="4" t="s">
        <v>99</v>
      </c>
      <c r="E86" s="72" t="s">
        <v>517</v>
      </c>
      <c r="F86" s="4"/>
      <c r="G86" s="78" t="n">
        <v>15062</v>
      </c>
      <c r="H86" s="78" t="s">
        <v>542</v>
      </c>
      <c r="I86" s="78" t="s">
        <v>543</v>
      </c>
      <c r="J86" s="79" t="str">
        <f aca="false">IF(ISNA(VLOOKUP(B86,cngdata,7,FALSE())),"na",VLOOKUP(B86,cngdata,7,FALSE()))</f>
        <v>GW</v>
      </c>
      <c r="K86" s="79" t="n">
        <f aca="false">IF(ISNA(VLOOKUP(B86,cngdata,13,FALSE())),"na",VLOOKUP(B86,cngdata,13,FALSE()))</f>
        <v>0</v>
      </c>
      <c r="L86" s="80" t="n">
        <f aca="false">$L$2*97%</f>
        <v>2.3474</v>
      </c>
      <c r="M86" s="79" t="n">
        <f aca="false">IF(ISNA(VLOOKUP(B86,cngdata,14,FALSE())),0,VLOOKUP(B86,cngdata,14,FALSE()))</f>
        <v>0</v>
      </c>
      <c r="O86" s="81" t="n">
        <v>0</v>
      </c>
      <c r="P86" s="82" t="n">
        <f aca="false">L86-O86</f>
        <v>2.3474</v>
      </c>
      <c r="Q86" s="83" t="n">
        <f aca="false">M86*P86</f>
        <v>0</v>
      </c>
      <c r="R86" s="74"/>
      <c r="S86" s="79" t="n">
        <f aca="false">IF(ISNA(VLOOKUP(B86,SplitVol,5,FALSE())),0,VLOOKUP(B86,SplitVol,5,FALSE()))</f>
        <v>0</v>
      </c>
      <c r="T86" s="84" t="n">
        <f aca="false">+S86*L86</f>
        <v>0</v>
      </c>
      <c r="U86" s="79" t="n">
        <f aca="false">IF(ISNA(VLOOKUP(B86,SplitVol,6,FALSE())),0,VLOOKUP(B86,SplitVol,6,FALSE()))</f>
        <v>0</v>
      </c>
      <c r="V86" s="84" t="n">
        <f aca="false">+U86*L86</f>
        <v>0</v>
      </c>
      <c r="W86" s="85" t="str">
        <f aca="false">IF(ISBLANK(VLOOKUP(B86,EffDate,4,FALSE())),"na",VLOOKUP(B86,EffDate,4,FALSE()))</f>
        <v>na</v>
      </c>
      <c r="X86" s="86" t="n">
        <f aca="false">+M86-S86-U86</f>
        <v>0</v>
      </c>
    </row>
    <row r="87" customFormat="false" ht="15" hidden="false" customHeight="true" outlineLevel="0" collapsed="false">
      <c r="A87" s="4" t="s">
        <v>5</v>
      </c>
      <c r="B87" s="77" t="s">
        <v>107</v>
      </c>
      <c r="C87" s="4" t="n">
        <v>3428401</v>
      </c>
      <c r="D87" s="4" t="s">
        <v>108</v>
      </c>
      <c r="E87" s="72" t="s">
        <v>517</v>
      </c>
      <c r="F87" s="4"/>
      <c r="G87" s="78" t="n">
        <v>15062</v>
      </c>
      <c r="H87" s="78" t="s">
        <v>542</v>
      </c>
      <c r="I87" s="78" t="s">
        <v>543</v>
      </c>
      <c r="J87" s="79" t="str">
        <f aca="false">IF(ISNA(VLOOKUP(B87,cngdata,7,FALSE())),"na",VLOOKUP(B87,cngdata,7,FALSE()))</f>
        <v>GW</v>
      </c>
      <c r="K87" s="79" t="n">
        <f aca="false">IF(ISNA(VLOOKUP(B87,cngdata,13,FALSE())),"na",VLOOKUP(B87,cngdata,13,FALSE()))</f>
        <v>129</v>
      </c>
      <c r="L87" s="80" t="n">
        <f aca="false">$L$2*97%</f>
        <v>2.3474</v>
      </c>
      <c r="M87" s="79" t="n">
        <f aca="false">IF(ISNA(VLOOKUP(B87,cngdata,14,FALSE())),0,VLOOKUP(B87,cngdata,14,FALSE()))</f>
        <v>159</v>
      </c>
      <c r="O87" s="81" t="n">
        <v>0</v>
      </c>
      <c r="P87" s="82" t="n">
        <f aca="false">L87-O87</f>
        <v>2.3474</v>
      </c>
      <c r="Q87" s="83" t="n">
        <f aca="false">M87*P87</f>
        <v>373.2366</v>
      </c>
      <c r="R87" s="74"/>
      <c r="S87" s="79" t="n">
        <f aca="false">IF(ISNA(VLOOKUP(B87,SplitVol,5,FALSE())),0,VLOOKUP(B87,SplitVol,5,FALSE()))</f>
        <v>12</v>
      </c>
      <c r="T87" s="84" t="n">
        <f aca="false">+S87*L87</f>
        <v>28.1688</v>
      </c>
      <c r="U87" s="79" t="n">
        <f aca="false">IF(ISNA(VLOOKUP(B87,SplitVol,6,FALSE())),0,VLOOKUP(B87,SplitVol,6,FALSE()))</f>
        <v>147</v>
      </c>
      <c r="V87" s="84" t="n">
        <f aca="false">+U87*L87</f>
        <v>345.0678</v>
      </c>
      <c r="W87" s="85" t="str">
        <f aca="false">IF(ISBLANK(VLOOKUP(B87,EffDate,4,FALSE())),"na",VLOOKUP(B87,EffDate,4,FALSE()))</f>
        <v>na</v>
      </c>
      <c r="X87" s="86" t="n">
        <f aca="false">+M87-S87-U87</f>
        <v>0</v>
      </c>
    </row>
    <row r="88" customFormat="false" ht="15" hidden="false" customHeight="true" outlineLevel="0" collapsed="false">
      <c r="A88" s="4" t="s">
        <v>5</v>
      </c>
      <c r="B88" s="77" t="s">
        <v>109</v>
      </c>
      <c r="C88" s="4" t="n">
        <v>3429001</v>
      </c>
      <c r="D88" s="4" t="s">
        <v>108</v>
      </c>
      <c r="E88" s="72" t="s">
        <v>517</v>
      </c>
      <c r="F88" s="4"/>
      <c r="G88" s="78" t="n">
        <v>15062</v>
      </c>
      <c r="H88" s="78" t="s">
        <v>542</v>
      </c>
      <c r="I88" s="78" t="s">
        <v>543</v>
      </c>
      <c r="J88" s="79" t="str">
        <f aca="false">IF(ISNA(VLOOKUP(B88,cngdata,7,FALSE())),"na",VLOOKUP(B88,cngdata,7,FALSE()))</f>
        <v>GW</v>
      </c>
      <c r="K88" s="79" t="n">
        <f aca="false">IF(ISNA(VLOOKUP(B88,cngdata,13,FALSE())),"na",VLOOKUP(B88,cngdata,13,FALSE()))</f>
        <v>564</v>
      </c>
      <c r="L88" s="80" t="n">
        <f aca="false">$L$2*97%</f>
        <v>2.3474</v>
      </c>
      <c r="M88" s="79" t="n">
        <f aca="false">IF(ISNA(VLOOKUP(B88,cngdata,14,FALSE())),0,VLOOKUP(B88,cngdata,14,FALSE()))</f>
        <v>692</v>
      </c>
      <c r="O88" s="81" t="n">
        <v>0</v>
      </c>
      <c r="P88" s="82" t="n">
        <f aca="false">L88-O88</f>
        <v>2.3474</v>
      </c>
      <c r="Q88" s="83" t="n">
        <f aca="false">M88*P88</f>
        <v>1624.4008</v>
      </c>
      <c r="R88" s="74"/>
      <c r="S88" s="79" t="n">
        <f aca="false">IF(ISNA(VLOOKUP(B88,SplitVol,5,FALSE())),0,VLOOKUP(B88,SplitVol,5,FALSE()))</f>
        <v>38</v>
      </c>
      <c r="T88" s="84" t="n">
        <f aca="false">+S88*L88</f>
        <v>89.2012</v>
      </c>
      <c r="U88" s="79" t="n">
        <f aca="false">IF(ISNA(VLOOKUP(B88,SplitVol,6,FALSE())),0,VLOOKUP(B88,SplitVol,6,FALSE()))</f>
        <v>654</v>
      </c>
      <c r="V88" s="84" t="n">
        <f aca="false">+U88*L88</f>
        <v>1535.1996</v>
      </c>
      <c r="W88" s="85" t="str">
        <f aca="false">IF(ISBLANK(VLOOKUP(B88,EffDate,4,FALSE())),"na",VLOOKUP(B88,EffDate,4,FALSE()))</f>
        <v>na</v>
      </c>
      <c r="X88" s="86" t="n">
        <f aca="false">+M88-S88-U88</f>
        <v>0</v>
      </c>
    </row>
    <row r="89" customFormat="false" ht="15" hidden="false" customHeight="true" outlineLevel="0" collapsed="false">
      <c r="A89" s="87" t="s">
        <v>5</v>
      </c>
      <c r="B89" s="111" t="s">
        <v>110</v>
      </c>
      <c r="C89" s="87" t="n">
        <v>3284701</v>
      </c>
      <c r="D89" s="4" t="s">
        <v>111</v>
      </c>
      <c r="E89" s="72" t="s">
        <v>517</v>
      </c>
      <c r="F89" s="87" t="s">
        <v>544</v>
      </c>
      <c r="G89" s="87" t="n">
        <v>73632</v>
      </c>
      <c r="H89" s="87" t="s">
        <v>545</v>
      </c>
      <c r="I89" s="87" t="s">
        <v>546</v>
      </c>
      <c r="J89" s="112" t="str">
        <f aca="false">IF(ISNA(VLOOKUP(B89,cngdata,7,FALSE())),"na",VLOOKUP(B89,cngdata,7,FALSE()))</f>
        <v>GW</v>
      </c>
      <c r="K89" s="112" t="n">
        <f aca="false">IF(ISNA(VLOOKUP(B89,cngdata,13,FALSE())),"na",VLOOKUP(B89,cngdata,13,FALSE()))</f>
        <v>61</v>
      </c>
      <c r="L89" s="113" t="n">
        <f aca="false">L$2*99%</f>
        <v>2.3958</v>
      </c>
      <c r="M89" s="112" t="n">
        <f aca="false">IF(ISNA(VLOOKUP(B89,cngdata,14,FALSE())),0,VLOOKUP(B89,cngdata,14,FALSE()))</f>
        <v>84</v>
      </c>
      <c r="N89" s="114"/>
      <c r="O89" s="87" t="n">
        <v>0</v>
      </c>
      <c r="P89" s="115" t="n">
        <f aca="false">L89-O89</f>
        <v>2.3958</v>
      </c>
      <c r="Q89" s="116" t="n">
        <f aca="false">M89*P89</f>
        <v>201.2472</v>
      </c>
      <c r="R89" s="74"/>
      <c r="S89" s="79" t="n">
        <f aca="false">IF(ISNA(VLOOKUP(B89,SplitVol,5,FALSE())),0,VLOOKUP(B89,SplitVol,5,FALSE()))</f>
        <v>17</v>
      </c>
      <c r="T89" s="84" t="n">
        <f aca="false">+S89*L89</f>
        <v>40.7286</v>
      </c>
      <c r="U89" s="79" t="n">
        <f aca="false">IF(ISNA(VLOOKUP(B89,SplitVol,6,FALSE())),0,VLOOKUP(B89,SplitVol,6,FALSE()))</f>
        <v>67</v>
      </c>
      <c r="V89" s="84" t="n">
        <f aca="false">+U89*L89</f>
        <v>160.5186</v>
      </c>
      <c r="W89" s="85" t="str">
        <f aca="false">IF(ISBLANK(VLOOKUP(B89,EffDate,4,FALSE())),"na",VLOOKUP(B89,EffDate,4,FALSE()))</f>
        <v>na</v>
      </c>
      <c r="X89" s="86" t="n">
        <f aca="false">+M89-S89-U89</f>
        <v>0</v>
      </c>
      <c r="Y89" s="114" t="s">
        <v>547</v>
      </c>
      <c r="Z89" s="114"/>
      <c r="AA89" s="114"/>
      <c r="AB89" s="114"/>
    </row>
    <row r="90" customFormat="false" ht="15" hidden="false" customHeight="true" outlineLevel="0" collapsed="false">
      <c r="A90" s="78" t="s">
        <v>112</v>
      </c>
      <c r="B90" s="78" t="s">
        <v>113</v>
      </c>
      <c r="C90" s="88" t="n">
        <v>2096101</v>
      </c>
      <c r="D90" s="4" t="s">
        <v>114</v>
      </c>
      <c r="E90" s="72" t="s">
        <v>517</v>
      </c>
      <c r="F90" s="78" t="s">
        <v>114</v>
      </c>
      <c r="G90" s="88" t="n">
        <v>211174</v>
      </c>
      <c r="H90" s="88"/>
      <c r="I90" s="89" t="s">
        <v>523</v>
      </c>
      <c r="J90" s="79" t="str">
        <f aca="false">IF(ISNA(VLOOKUP(B90,cngdata,7,FALSE())),"na",VLOOKUP(B90,cngdata,7,FALSE()))</f>
        <v>GD</v>
      </c>
      <c r="K90" s="79" t="n">
        <f aca="false">IF(ISNA(VLOOKUP(B90,cngdata,13,FALSE())),"na",VLOOKUP(B90,cngdata,13,FALSE()))</f>
        <v>0</v>
      </c>
      <c r="L90" s="80" t="n">
        <f aca="false">$L$2</f>
        <v>2.42</v>
      </c>
      <c r="M90" s="79" t="n">
        <f aca="false">IF(ISNA(VLOOKUP(B90,cngdata,14,FALSE())),0,VLOOKUP(B90,cngdata,14,FALSE()))</f>
        <v>0</v>
      </c>
      <c r="O90" s="81" t="n">
        <v>0</v>
      </c>
      <c r="P90" s="82" t="n">
        <f aca="false">L90-O90</f>
        <v>2.42</v>
      </c>
      <c r="Q90" s="83" t="n">
        <f aca="false">M90*P90</f>
        <v>0</v>
      </c>
      <c r="R90" s="74"/>
      <c r="S90" s="79" t="n">
        <f aca="false">IF(ISNA(VLOOKUP(B90,SplitVol,5,FALSE())),0,VLOOKUP(B90,SplitVol,5,FALSE()))</f>
        <v>0</v>
      </c>
      <c r="T90" s="84" t="n">
        <f aca="false">+S90*L90</f>
        <v>0</v>
      </c>
      <c r="U90" s="79" t="n">
        <f aca="false">IF(ISNA(VLOOKUP(B90,SplitVol,6,FALSE())),0,VLOOKUP(B90,SplitVol,6,FALSE()))</f>
        <v>0</v>
      </c>
      <c r="V90" s="84" t="n">
        <f aca="false">+U90*L90</f>
        <v>0</v>
      </c>
      <c r="W90" s="85" t="str">
        <f aca="false">IF(ISBLANK(VLOOKUP(B90,EffDate,4,FALSE())),"na",VLOOKUP(B90,EffDate,4,FALSE()))</f>
        <v>na</v>
      </c>
      <c r="X90" s="86" t="n">
        <f aca="false">+M90-S90-U90</f>
        <v>0</v>
      </c>
    </row>
    <row r="91" customFormat="false" ht="15" hidden="false" customHeight="true" outlineLevel="0" collapsed="false">
      <c r="A91" s="78" t="s">
        <v>112</v>
      </c>
      <c r="B91" s="0" t="s">
        <v>115</v>
      </c>
      <c r="C91" s="0" t="n">
        <v>2159601</v>
      </c>
      <c r="D91" s="4" t="s">
        <v>114</v>
      </c>
      <c r="E91" s="72" t="s">
        <v>517</v>
      </c>
      <c r="F91" s="78" t="s">
        <v>114</v>
      </c>
      <c r="G91" s="88" t="n">
        <v>211174</v>
      </c>
      <c r="H91" s="88"/>
      <c r="I91" s="89" t="s">
        <v>523</v>
      </c>
      <c r="J91" s="79" t="str">
        <f aca="false">IF(ISNA(VLOOKUP(B91,cngdata,7,FALSE())),"na",VLOOKUP(B91,cngdata,7,FALSE()))</f>
        <v>GD</v>
      </c>
      <c r="K91" s="79" t="n">
        <f aca="false">IF(ISNA(VLOOKUP(B91,cngdata,13,FALSE())),"na",VLOOKUP(B91,cngdata,13,FALSE()))</f>
        <v>0</v>
      </c>
      <c r="L91" s="80" t="n">
        <f aca="false">$L$2</f>
        <v>2.42</v>
      </c>
      <c r="M91" s="79" t="n">
        <f aca="false">IF(ISNA(VLOOKUP(B91,cngdata,14,FALSE())),0,VLOOKUP(B91,cngdata,14,FALSE()))</f>
        <v>97</v>
      </c>
      <c r="O91" s="81" t="n">
        <v>0</v>
      </c>
      <c r="P91" s="82" t="n">
        <f aca="false">L91-O91</f>
        <v>2.42</v>
      </c>
      <c r="Q91" s="83" t="n">
        <f aca="false">M91*P91</f>
        <v>234.74</v>
      </c>
      <c r="R91" s="74"/>
      <c r="S91" s="79" t="n">
        <f aca="false">IF(ISNA(VLOOKUP(B91,SplitVol,5,FALSE())),0,VLOOKUP(B91,SplitVol,5,FALSE()))</f>
        <v>97</v>
      </c>
      <c r="T91" s="84" t="n">
        <f aca="false">+S91*L91</f>
        <v>234.74</v>
      </c>
      <c r="U91" s="79" t="n">
        <f aca="false">IF(ISNA(VLOOKUP(B91,SplitVol,6,FALSE())),0,VLOOKUP(B91,SplitVol,6,FALSE()))</f>
        <v>0</v>
      </c>
      <c r="V91" s="84" t="n">
        <f aca="false">+U91*L91</f>
        <v>0</v>
      </c>
      <c r="W91" s="85" t="str">
        <f aca="false">IF(ISBLANK(VLOOKUP(B91,EffDate,4,FALSE())),"na",VLOOKUP(B91,EffDate,4,FALSE()))</f>
        <v>na</v>
      </c>
      <c r="X91" s="86" t="n">
        <f aca="false">+M91-S91-U91</f>
        <v>0</v>
      </c>
    </row>
    <row r="92" customFormat="false" ht="15" hidden="false" customHeight="true" outlineLevel="0" collapsed="false">
      <c r="A92" s="78" t="s">
        <v>8</v>
      </c>
      <c r="B92" s="78" t="s">
        <v>116</v>
      </c>
      <c r="C92" s="88" t="n">
        <v>4333601</v>
      </c>
      <c r="D92" s="4" t="s">
        <v>117</v>
      </c>
      <c r="E92" s="72" t="s">
        <v>517</v>
      </c>
      <c r="F92" s="78" t="s">
        <v>117</v>
      </c>
      <c r="G92" s="88" t="n">
        <v>212194</v>
      </c>
      <c r="H92" s="88"/>
      <c r="I92" s="88" t="s">
        <v>548</v>
      </c>
      <c r="J92" s="79" t="str">
        <f aca="false">IF(ISNA(VLOOKUP(B92,cngdata,7,FALSE())),"na",VLOOKUP(B92,cngdata,7,FALSE()))</f>
        <v>na</v>
      </c>
      <c r="K92" s="79" t="str">
        <f aca="false">IF(ISNA(VLOOKUP(B92,cngdata,13,FALSE())),"na",VLOOKUP(B92,cngdata,13,FALSE()))</f>
        <v>na</v>
      </c>
      <c r="L92" s="80" t="n">
        <f aca="false">$L$2+0.01</f>
        <v>2.43</v>
      </c>
      <c r="M92" s="79" t="n">
        <f aca="false">IF(ISNA(VLOOKUP(B92,cngdata,14,FALSE())),0,VLOOKUP(B92,cngdata,14,FALSE()))</f>
        <v>0</v>
      </c>
      <c r="O92" s="81" t="n">
        <v>0</v>
      </c>
      <c r="P92" s="82" t="n">
        <f aca="false">L92-O92</f>
        <v>2.43</v>
      </c>
      <c r="Q92" s="83" t="n">
        <f aca="false">M92*P92</f>
        <v>0</v>
      </c>
      <c r="R92" s="74"/>
      <c r="S92" s="79" t="n">
        <f aca="false">IF(ISNA(VLOOKUP(B92,SplitVol,5,FALSE())),0,VLOOKUP(B92,SplitVol,5,FALSE()))</f>
        <v>0</v>
      </c>
      <c r="T92" s="84" t="n">
        <f aca="false">+S92*L92</f>
        <v>0</v>
      </c>
      <c r="U92" s="79" t="n">
        <f aca="false">IF(ISNA(VLOOKUP(B92,SplitVol,6,FALSE())),0,VLOOKUP(B92,SplitVol,6,FALSE()))</f>
        <v>0</v>
      </c>
      <c r="V92" s="84" t="n">
        <f aca="false">+U92*L92</f>
        <v>0</v>
      </c>
      <c r="W92" s="85" t="str">
        <f aca="false">IF(ISBLANK(VLOOKUP(B92,EffDate,4,FALSE())),"na",VLOOKUP(B92,EffDate,4,FALSE()))</f>
        <v>na</v>
      </c>
      <c r="X92" s="86" t="n">
        <f aca="false">+M92-S92-U92</f>
        <v>0</v>
      </c>
    </row>
    <row r="93" customFormat="false" ht="15" hidden="false" customHeight="true" outlineLevel="0" collapsed="false">
      <c r="A93" s="78" t="s">
        <v>122</v>
      </c>
      <c r="B93" s="78" t="s">
        <v>123</v>
      </c>
      <c r="C93" s="88" t="n">
        <v>4085901</v>
      </c>
      <c r="D93" s="4" t="s">
        <v>549</v>
      </c>
      <c r="E93" s="72" t="s">
        <v>517</v>
      </c>
      <c r="F93" s="78" t="s">
        <v>549</v>
      </c>
      <c r="G93" s="88" t="s">
        <v>517</v>
      </c>
      <c r="H93" s="88"/>
      <c r="I93" s="88" t="s">
        <v>517</v>
      </c>
      <c r="J93" s="79" t="str">
        <f aca="false">IF(ISNA(VLOOKUP(B93,cngdata,7,FALSE())),"na",VLOOKUP(B93,cngdata,7,FALSE()))</f>
        <v>GW</v>
      </c>
      <c r="K93" s="79" t="n">
        <f aca="false">IF(ISNA(VLOOKUP(B93,cngdata,13,FALSE())),"na",VLOOKUP(B93,cngdata,13,FALSE()))</f>
        <v>88</v>
      </c>
      <c r="L93" s="80" t="n">
        <f aca="false">$L$2</f>
        <v>2.42</v>
      </c>
      <c r="M93" s="79" t="n">
        <f aca="false">IF(ISNA(VLOOKUP(B93,cngdata,14,FALSE())),0,VLOOKUP(B93,cngdata,14,FALSE()))</f>
        <v>101</v>
      </c>
      <c r="O93" s="81" t="n">
        <v>0</v>
      </c>
      <c r="P93" s="82" t="n">
        <f aca="false">L93-O93</f>
        <v>2.42</v>
      </c>
      <c r="Q93" s="117" t="n">
        <f aca="false">M93*P93</f>
        <v>244.42</v>
      </c>
      <c r="R93" s="74"/>
      <c r="S93" s="79" t="n">
        <f aca="false">IF(ISNA(VLOOKUP(B93,SplitVol,5,FALSE())),0,VLOOKUP(B93,SplitVol,5,FALSE()))</f>
        <v>7</v>
      </c>
      <c r="T93" s="84" t="n">
        <f aca="false">+S93*L93</f>
        <v>16.94</v>
      </c>
      <c r="U93" s="79" t="n">
        <f aca="false">IF(ISNA(VLOOKUP(B93,SplitVol,6,FALSE())),0,VLOOKUP(B93,SplitVol,6,FALSE()))-1</f>
        <v>94</v>
      </c>
      <c r="V93" s="84" t="n">
        <f aca="false">+U93*L93</f>
        <v>227.48</v>
      </c>
      <c r="W93" s="85" t="n">
        <f aca="false">IF(ISBLANK(VLOOKUP(B93,EffDate,4,FALSE())),"na",VLOOKUP(B93,EffDate,4,FALSE()))</f>
        <v>37228</v>
      </c>
      <c r="X93" s="86" t="n">
        <f aca="false">+M93-S93-U93</f>
        <v>0</v>
      </c>
    </row>
    <row r="94" customFormat="false" ht="15" hidden="false" customHeight="true" outlineLevel="0" collapsed="false">
      <c r="A94" s="78" t="s">
        <v>118</v>
      </c>
      <c r="B94" s="78" t="s">
        <v>121</v>
      </c>
      <c r="C94" s="88" t="n">
        <v>3139001</v>
      </c>
      <c r="D94" s="4" t="s">
        <v>549</v>
      </c>
      <c r="E94" s="72" t="s">
        <v>517</v>
      </c>
      <c r="F94" s="78" t="s">
        <v>549</v>
      </c>
      <c r="G94" s="88" t="s">
        <v>517</v>
      </c>
      <c r="H94" s="88"/>
      <c r="I94" s="88" t="s">
        <v>517</v>
      </c>
      <c r="J94" s="79" t="str">
        <f aca="false">IF(ISNA(VLOOKUP(B94,cngdata,7,FALSE())),"na",VLOOKUP(B94,cngdata,7,FALSE()))</f>
        <v>GW</v>
      </c>
      <c r="K94" s="79" t="n">
        <f aca="false">IF(ISNA(VLOOKUP(B94,cngdata,13,FALSE())),"na",VLOOKUP(B94,cngdata,13,FALSE()))</f>
        <v>146</v>
      </c>
      <c r="L94" s="80" t="n">
        <f aca="false">$L$2</f>
        <v>2.42</v>
      </c>
      <c r="M94" s="79" t="n">
        <f aca="false">IF(ISNA(VLOOKUP(B94,cngdata,14,FALSE())),0,VLOOKUP(B94,cngdata,14,FALSE()))</f>
        <v>211</v>
      </c>
      <c r="O94" s="81" t="n">
        <v>0</v>
      </c>
      <c r="P94" s="82" t="n">
        <f aca="false">L94-O94</f>
        <v>2.42</v>
      </c>
      <c r="Q94" s="117" t="n">
        <f aca="false">M94*P94</f>
        <v>510.62</v>
      </c>
      <c r="R94" s="74"/>
      <c r="S94" s="79" t="n">
        <f aca="false">IF(ISNA(VLOOKUP(B94,SplitVol,5,FALSE())),0,VLOOKUP(B94,SplitVol,5,FALSE()))</f>
        <v>17</v>
      </c>
      <c r="T94" s="84" t="n">
        <f aca="false">+S94*L94</f>
        <v>41.14</v>
      </c>
      <c r="U94" s="79" t="n">
        <f aca="false">IF(ISNA(VLOOKUP(B94,SplitVol,6,FALSE())),0,VLOOKUP(B94,SplitVol,6,FALSE()))+1</f>
        <v>194</v>
      </c>
      <c r="V94" s="84" t="n">
        <f aca="false">+U94*L94</f>
        <v>469.48</v>
      </c>
      <c r="W94" s="85" t="n">
        <f aca="false">IF(ISBLANK(VLOOKUP(B94,EffDate,4,FALSE())),"na",VLOOKUP(B94,EffDate,4,FALSE()))</f>
        <v>37228</v>
      </c>
      <c r="X94" s="86" t="n">
        <f aca="false">+M94-S94-U94</f>
        <v>0</v>
      </c>
    </row>
    <row r="95" customFormat="false" ht="15" hidden="false" customHeight="true" outlineLevel="0" collapsed="false">
      <c r="A95" s="78" t="s">
        <v>118</v>
      </c>
      <c r="B95" s="78" t="s">
        <v>119</v>
      </c>
      <c r="C95" s="88" t="n">
        <v>3017201</v>
      </c>
      <c r="D95" s="4" t="s">
        <v>549</v>
      </c>
      <c r="E95" s="72" t="s">
        <v>517</v>
      </c>
      <c r="F95" s="78" t="s">
        <v>549</v>
      </c>
      <c r="G95" s="88" t="s">
        <v>517</v>
      </c>
      <c r="H95" s="88"/>
      <c r="I95" s="88" t="s">
        <v>517</v>
      </c>
      <c r="J95" s="79" t="str">
        <f aca="false">IF(ISNA(VLOOKUP(B95,cngdata,7,FALSE())),"na",VLOOKUP(B95,cngdata,7,FALSE()))</f>
        <v>GW</v>
      </c>
      <c r="K95" s="79" t="n">
        <f aca="false">IF(ISNA(VLOOKUP(B95,cngdata,13,FALSE())),"na",VLOOKUP(B95,cngdata,13,FALSE()))</f>
        <v>0</v>
      </c>
      <c r="L95" s="80" t="n">
        <f aca="false">$L$2</f>
        <v>2.42</v>
      </c>
      <c r="M95" s="79" t="n">
        <f aca="false">IF(ISNA(VLOOKUP(B95,cngdata,14,FALSE())),0,VLOOKUP(B95,cngdata,14,FALSE()))</f>
        <v>180</v>
      </c>
      <c r="O95" s="81" t="n">
        <v>0</v>
      </c>
      <c r="P95" s="82" t="n">
        <f aca="false">L95-O95</f>
        <v>2.42</v>
      </c>
      <c r="Q95" s="83" t="n">
        <f aca="false">M95*P95</f>
        <v>435.6</v>
      </c>
      <c r="R95" s="74"/>
      <c r="S95" s="79" t="n">
        <f aca="false">IF(ISNA(VLOOKUP(B95,SplitVol,5,FALSE())),0,VLOOKUP(B95,SplitVol,5,FALSE()))</f>
        <v>9</v>
      </c>
      <c r="T95" s="84" t="n">
        <f aca="false">+S95*L95</f>
        <v>21.78</v>
      </c>
      <c r="U95" s="79" t="n">
        <f aca="false">IF(ISNA(VLOOKUP(B95,SplitVol,6,FALSE())),0,VLOOKUP(B95,SplitVol,6,FALSE()))-1</f>
        <v>171</v>
      </c>
      <c r="V95" s="84" t="n">
        <f aca="false">+U95*L95</f>
        <v>413.82</v>
      </c>
      <c r="W95" s="85" t="n">
        <f aca="false">IF(ISBLANK(VLOOKUP(B95,EffDate,4,FALSE())),"na",VLOOKUP(B95,EffDate,4,FALSE()))</f>
        <v>37228</v>
      </c>
      <c r="X95" s="86" t="n">
        <f aca="false">+M95-S95-U95</f>
        <v>0</v>
      </c>
    </row>
    <row r="96" customFormat="false" ht="15" hidden="false" customHeight="true" outlineLevel="0" collapsed="false">
      <c r="A96" s="4" t="s">
        <v>124</v>
      </c>
      <c r="B96" s="77" t="s">
        <v>125</v>
      </c>
      <c r="C96" s="4" t="n">
        <v>3134901</v>
      </c>
      <c r="D96" s="90" t="s">
        <v>126</v>
      </c>
      <c r="E96" s="91" t="n">
        <v>37256</v>
      </c>
      <c r="F96" s="102" t="s">
        <v>550</v>
      </c>
      <c r="G96" s="102" t="n">
        <v>2414</v>
      </c>
      <c r="H96" s="102" t="s">
        <v>551</v>
      </c>
      <c r="I96" s="34" t="s">
        <v>552</v>
      </c>
      <c r="J96" s="103" t="str">
        <f aca="false">IF(ISNA(VLOOKUP(B96,cngdata,7,FALSE())),"na",VLOOKUP(B96,cngdata,7,FALSE()))</f>
        <v>TD</v>
      </c>
      <c r="K96" s="103" t="n">
        <f aca="false">IF(ISNA(VLOOKUP(B96,cngdata,13,FALSE())),"na",VLOOKUP(B96,cngdata,13,FALSE()))</f>
        <v>591</v>
      </c>
      <c r="L96" s="108" t="n">
        <f aca="false">+CNGPricing!$H$79</f>
        <v>5.8</v>
      </c>
      <c r="M96" s="103" t="n">
        <f aca="false">IF(ISNA(VLOOKUP(B96,cngdata,14,FALSE())),0,VLOOKUP(B96,cngdata,14,FALSE()))</f>
        <v>821</v>
      </c>
      <c r="O96" s="81" t="n">
        <v>0</v>
      </c>
      <c r="P96" s="82" t="n">
        <f aca="false">L96-O96</f>
        <v>5.8</v>
      </c>
      <c r="Q96" s="83" t="n">
        <f aca="false">M96*P96</f>
        <v>4761.8</v>
      </c>
      <c r="R96" s="74"/>
      <c r="S96" s="79" t="n">
        <f aca="false">IF(ISNA(VLOOKUP(B96,SplitVol,5,FALSE())),0,VLOOKUP(B96,SplitVol,5,FALSE()))</f>
        <v>56</v>
      </c>
      <c r="T96" s="84" t="n">
        <f aca="false">+S96*L96</f>
        <v>324.8</v>
      </c>
      <c r="U96" s="79" t="n">
        <f aca="false">IF(ISNA(VLOOKUP(B96,SplitVol,6,FALSE())),0,VLOOKUP(B96,SplitVol,6,FALSE()))</f>
        <v>765</v>
      </c>
      <c r="V96" s="84" t="n">
        <f aca="false">+U96*L96</f>
        <v>4437</v>
      </c>
      <c r="W96" s="85" t="n">
        <f aca="false">IF(ISBLANK(VLOOKUP(B96,EffDate,4,FALSE())),"na",VLOOKUP(B96,EffDate,4,FALSE()))</f>
        <v>37256</v>
      </c>
      <c r="X96" s="86" t="n">
        <f aca="false">+M96-S96-U96</f>
        <v>0</v>
      </c>
    </row>
    <row r="97" customFormat="false" ht="15" hidden="false" customHeight="true" outlineLevel="0" collapsed="false">
      <c r="A97" s="78" t="s">
        <v>94</v>
      </c>
      <c r="B97" s="78" t="s">
        <v>127</v>
      </c>
      <c r="C97" s="78" t="n">
        <v>4132101</v>
      </c>
      <c r="D97" s="90" t="s">
        <v>126</v>
      </c>
      <c r="E97" s="91" t="n">
        <v>37256</v>
      </c>
      <c r="F97" s="102"/>
      <c r="G97" s="107" t="n">
        <v>375319</v>
      </c>
      <c r="H97" s="107"/>
      <c r="I97" s="118" t="s">
        <v>553</v>
      </c>
      <c r="J97" s="103" t="str">
        <f aca="false">IF(ISNA(VLOOKUP(B97,cngdata,7,FALSE())),"na",VLOOKUP(B97,cngdata,7,FALSE()))</f>
        <v>GD</v>
      </c>
      <c r="K97" s="103" t="n">
        <f aca="false">IF(ISNA(VLOOKUP(B97,cngdata,13,FALSE())),"na",VLOOKUP(B97,cngdata,13,FALSE()))</f>
        <v>69</v>
      </c>
      <c r="L97" s="108" t="n">
        <f aca="false">+CNGPricing!$H$79</f>
        <v>5.8</v>
      </c>
      <c r="M97" s="103" t="n">
        <f aca="false">IF(ISNA(VLOOKUP(B97,cngdata,14,FALSE())),0,VLOOKUP(B97,cngdata,14,FALSE()))</f>
        <v>74</v>
      </c>
      <c r="O97" s="81" t="n">
        <v>0</v>
      </c>
      <c r="P97" s="82" t="n">
        <f aca="false">L97-O97</f>
        <v>5.8</v>
      </c>
      <c r="Q97" s="83" t="n">
        <f aca="false">M97*P97</f>
        <v>429.2</v>
      </c>
      <c r="R97" s="74"/>
      <c r="S97" s="79" t="n">
        <f aca="false">IF(ISNA(VLOOKUP(B97,SplitVol,5,FALSE())),0,VLOOKUP(B97,SplitVol,5,FALSE()))</f>
        <v>31</v>
      </c>
      <c r="T97" s="84" t="n">
        <f aca="false">+S97*L97</f>
        <v>179.8</v>
      </c>
      <c r="U97" s="79" t="n">
        <f aca="false">IF(ISNA(VLOOKUP(B97,SplitVol,6,FALSE())),0,VLOOKUP(B97,SplitVol,6,FALSE()))-1</f>
        <v>43</v>
      </c>
      <c r="V97" s="84" t="n">
        <f aca="false">+U97*L97</f>
        <v>249.4</v>
      </c>
      <c r="W97" s="85" t="n">
        <f aca="false">IF(ISBLANK(VLOOKUP(B97,EffDate,4,FALSE())),"na",VLOOKUP(B97,EffDate,4,FALSE()))</f>
        <v>37256</v>
      </c>
      <c r="X97" s="86" t="n">
        <f aca="false">+M97-S97-U97</f>
        <v>0</v>
      </c>
    </row>
    <row r="98" customFormat="false" ht="15" hidden="false" customHeight="true" outlineLevel="0" collapsed="false">
      <c r="A98" s="78" t="s">
        <v>94</v>
      </c>
      <c r="B98" s="78" t="s">
        <v>128</v>
      </c>
      <c r="C98" s="78" t="n">
        <v>4132201</v>
      </c>
      <c r="D98" s="90" t="s">
        <v>126</v>
      </c>
      <c r="E98" s="91" t="n">
        <v>37256</v>
      </c>
      <c r="F98" s="102"/>
      <c r="G98" s="107" t="n">
        <v>375319</v>
      </c>
      <c r="H98" s="107"/>
      <c r="I98" s="118" t="s">
        <v>553</v>
      </c>
      <c r="J98" s="103" t="str">
        <f aca="false">IF(ISNA(VLOOKUP(B98,cngdata,7,FALSE())),"na",VLOOKUP(B98,cngdata,7,FALSE()))</f>
        <v>GD</v>
      </c>
      <c r="K98" s="103" t="n">
        <f aca="false">IF(ISNA(VLOOKUP(B98,cngdata,13,FALSE())),"na",VLOOKUP(B98,cngdata,13,FALSE()))</f>
        <v>24</v>
      </c>
      <c r="L98" s="108" t="n">
        <f aca="false">+CNGPricing!$H$79</f>
        <v>5.8</v>
      </c>
      <c r="M98" s="103" t="n">
        <f aca="false">IF(ISNA(VLOOKUP(B98,cngdata,14,FALSE())),0,VLOOKUP(B98,cngdata,14,FALSE()))</f>
        <v>28</v>
      </c>
      <c r="O98" s="81" t="n">
        <v>0</v>
      </c>
      <c r="P98" s="82" t="n">
        <f aca="false">L98-O98</f>
        <v>5.8</v>
      </c>
      <c r="Q98" s="83" t="n">
        <f aca="false">M98*P98</f>
        <v>162.4</v>
      </c>
      <c r="R98" s="74"/>
      <c r="S98" s="79" t="n">
        <f aca="false">IF(ISNA(VLOOKUP(B98,SplitVol,5,FALSE())),0,VLOOKUP(B98,SplitVol,5,FALSE()))</f>
        <v>4</v>
      </c>
      <c r="T98" s="84" t="n">
        <f aca="false">+S98*L98</f>
        <v>23.2</v>
      </c>
      <c r="U98" s="79" t="n">
        <f aca="false">IF(ISNA(VLOOKUP(B98,SplitVol,6,FALSE())),0,VLOOKUP(B98,SplitVol,6,FALSE()))</f>
        <v>24</v>
      </c>
      <c r="V98" s="84" t="n">
        <f aca="false">+U98*L98</f>
        <v>139.2</v>
      </c>
      <c r="W98" s="85" t="n">
        <f aca="false">IF(ISBLANK(VLOOKUP(B98,EffDate,4,FALSE())),"na",VLOOKUP(B98,EffDate,4,FALSE()))</f>
        <v>37256</v>
      </c>
      <c r="X98" s="86" t="n">
        <f aca="false">+M98-S98-U98</f>
        <v>0</v>
      </c>
    </row>
    <row r="99" customFormat="false" ht="15" hidden="false" customHeight="true" outlineLevel="0" collapsed="false">
      <c r="A99" s="78" t="s">
        <v>94</v>
      </c>
      <c r="B99" s="78" t="s">
        <v>129</v>
      </c>
      <c r="C99" s="78" t="n">
        <v>4134301</v>
      </c>
      <c r="D99" s="90" t="s">
        <v>126</v>
      </c>
      <c r="E99" s="91" t="n">
        <v>37256</v>
      </c>
      <c r="F99" s="102"/>
      <c r="G99" s="107" t="n">
        <v>375319</v>
      </c>
      <c r="H99" s="107"/>
      <c r="I99" s="118" t="s">
        <v>553</v>
      </c>
      <c r="J99" s="103" t="str">
        <f aca="false">IF(ISNA(VLOOKUP(B99,cngdata,7,FALSE())),"na",VLOOKUP(B99,cngdata,7,FALSE()))</f>
        <v>GD</v>
      </c>
      <c r="K99" s="103" t="n">
        <f aca="false">IF(ISNA(VLOOKUP(B99,cngdata,13,FALSE())),"na",VLOOKUP(B99,cngdata,13,FALSE()))</f>
        <v>13</v>
      </c>
      <c r="L99" s="108" t="n">
        <f aca="false">+CNGPricing!$H$79</f>
        <v>5.8</v>
      </c>
      <c r="M99" s="103" t="n">
        <f aca="false">IF(ISNA(VLOOKUP(B99,cngdata,14,FALSE())),0,VLOOKUP(B99,cngdata,14,FALSE()))</f>
        <v>12</v>
      </c>
      <c r="O99" s="81" t="n">
        <v>0</v>
      </c>
      <c r="P99" s="82" t="n">
        <f aca="false">L99-O99</f>
        <v>5.8</v>
      </c>
      <c r="Q99" s="83" t="n">
        <f aca="false">M99*P99</f>
        <v>69.6</v>
      </c>
      <c r="R99" s="74"/>
      <c r="S99" s="79" t="n">
        <f aca="false">IF(ISNA(VLOOKUP(B99,SplitVol,5,FALSE())),0,VLOOKUP(B99,SplitVol,5,FALSE()))</f>
        <v>5</v>
      </c>
      <c r="T99" s="84" t="n">
        <f aca="false">+S99*L99</f>
        <v>29</v>
      </c>
      <c r="U99" s="79" t="n">
        <f aca="false">IF(ISNA(VLOOKUP(B99,SplitVol,6,FALSE())),0,VLOOKUP(B99,SplitVol,6,FALSE()))+1</f>
        <v>7</v>
      </c>
      <c r="V99" s="84" t="n">
        <f aca="false">+U99*L99</f>
        <v>40.6</v>
      </c>
      <c r="W99" s="85" t="n">
        <f aca="false">IF(ISBLANK(VLOOKUP(B99,EffDate,4,FALSE())),"na",VLOOKUP(B99,EffDate,4,FALSE()))</f>
        <v>37256</v>
      </c>
      <c r="X99" s="86" t="n">
        <f aca="false">+M99-S99-U99</f>
        <v>0</v>
      </c>
    </row>
    <row r="100" customFormat="false" ht="15" hidden="false" customHeight="true" outlineLevel="0" collapsed="false">
      <c r="A100" s="78" t="s">
        <v>94</v>
      </c>
      <c r="B100" s="78" t="s">
        <v>130</v>
      </c>
      <c r="C100" s="78" t="n">
        <v>4137901</v>
      </c>
      <c r="D100" s="90" t="s">
        <v>126</v>
      </c>
      <c r="E100" s="91" t="n">
        <v>37256</v>
      </c>
      <c r="F100" s="102"/>
      <c r="G100" s="107" t="n">
        <v>375319</v>
      </c>
      <c r="H100" s="107"/>
      <c r="I100" s="118" t="s">
        <v>553</v>
      </c>
      <c r="J100" s="103" t="str">
        <f aca="false">IF(ISNA(VLOOKUP(B100,cngdata,7,FALSE())),"na",VLOOKUP(B100,cngdata,7,FALSE()))</f>
        <v>GD</v>
      </c>
      <c r="K100" s="103" t="n">
        <f aca="false">IF(ISNA(VLOOKUP(B100,cngdata,13,FALSE())),"na",VLOOKUP(B100,cngdata,13,FALSE()))</f>
        <v>44</v>
      </c>
      <c r="L100" s="108" t="n">
        <f aca="false">+CNGPricing!$H$79</f>
        <v>5.8</v>
      </c>
      <c r="M100" s="103" t="n">
        <f aca="false">IF(ISNA(VLOOKUP(B100,cngdata,14,FALSE())),0,VLOOKUP(B100,cngdata,14,FALSE()))</f>
        <v>48</v>
      </c>
      <c r="O100" s="81" t="n">
        <v>0</v>
      </c>
      <c r="P100" s="82" t="n">
        <f aca="false">L100-O100</f>
        <v>5.8</v>
      </c>
      <c r="Q100" s="83" t="n">
        <f aca="false">M100*P100</f>
        <v>278.4</v>
      </c>
      <c r="R100" s="74"/>
      <c r="S100" s="79" t="n">
        <f aca="false">IF(ISNA(VLOOKUP(B100,SplitVol,5,FALSE())),0,VLOOKUP(B100,SplitVol,5,FALSE()))</f>
        <v>5</v>
      </c>
      <c r="T100" s="84" t="n">
        <f aca="false">+S100*L100</f>
        <v>29</v>
      </c>
      <c r="U100" s="79" t="n">
        <f aca="false">IF(ISNA(VLOOKUP(B100,SplitVol,6,FALSE())),0,VLOOKUP(B100,SplitVol,6,FALSE()))</f>
        <v>43</v>
      </c>
      <c r="V100" s="84" t="n">
        <f aca="false">+U100*L100</f>
        <v>249.4</v>
      </c>
      <c r="W100" s="85" t="n">
        <f aca="false">IF(ISBLANK(VLOOKUP(B100,EffDate,4,FALSE())),"na",VLOOKUP(B100,EffDate,4,FALSE()))</f>
        <v>37256</v>
      </c>
      <c r="X100" s="86" t="n">
        <f aca="false">+M100-S100-U100</f>
        <v>0</v>
      </c>
    </row>
    <row r="101" customFormat="false" ht="15" hidden="false" customHeight="true" outlineLevel="0" collapsed="false">
      <c r="A101" s="78" t="s">
        <v>94</v>
      </c>
      <c r="B101" s="78" t="s">
        <v>131</v>
      </c>
      <c r="C101" s="78" t="n">
        <v>4235001</v>
      </c>
      <c r="D101" s="90" t="s">
        <v>126</v>
      </c>
      <c r="E101" s="91" t="n">
        <v>37256</v>
      </c>
      <c r="F101" s="102"/>
      <c r="G101" s="107" t="n">
        <v>375319</v>
      </c>
      <c r="H101" s="107"/>
      <c r="I101" s="118" t="s">
        <v>553</v>
      </c>
      <c r="J101" s="103" t="str">
        <f aca="false">IF(ISNA(VLOOKUP(B101,cngdata,7,FALSE())),"na",VLOOKUP(B101,cngdata,7,FALSE()))</f>
        <v>GD</v>
      </c>
      <c r="K101" s="103" t="n">
        <f aca="false">IF(ISNA(VLOOKUP(B101,cngdata,13,FALSE())),"na",VLOOKUP(B101,cngdata,13,FALSE()))</f>
        <v>146</v>
      </c>
      <c r="L101" s="108" t="n">
        <f aca="false">+CNGPricing!$H$79</f>
        <v>5.8</v>
      </c>
      <c r="M101" s="103" t="n">
        <f aca="false">IF(ISNA(VLOOKUP(B101,cngdata,14,FALSE())),0,VLOOKUP(B101,cngdata,14,FALSE()))</f>
        <v>165</v>
      </c>
      <c r="O101" s="81" t="n">
        <v>0</v>
      </c>
      <c r="P101" s="82" t="n">
        <f aca="false">L101-O101</f>
        <v>5.8</v>
      </c>
      <c r="Q101" s="83" t="n">
        <f aca="false">M101*P101</f>
        <v>957</v>
      </c>
      <c r="R101" s="74"/>
      <c r="S101" s="79" t="n">
        <f aca="false">IF(ISNA(VLOOKUP(B101,SplitVol,5,FALSE())),0,VLOOKUP(B101,SplitVol,5,FALSE()))</f>
        <v>13</v>
      </c>
      <c r="T101" s="84" t="n">
        <f aca="false">+S101*L101</f>
        <v>75.4</v>
      </c>
      <c r="U101" s="79" t="n">
        <f aca="false">IF(ISNA(VLOOKUP(B101,SplitVol,6,FALSE())),0,VLOOKUP(B101,SplitVol,6,FALSE()))</f>
        <v>152</v>
      </c>
      <c r="V101" s="84" t="n">
        <f aca="false">+U101*L101</f>
        <v>881.6</v>
      </c>
      <c r="W101" s="85" t="n">
        <f aca="false">IF(ISBLANK(VLOOKUP(B101,EffDate,4,FALSE())),"na",VLOOKUP(B101,EffDate,4,FALSE()))</f>
        <v>37256</v>
      </c>
      <c r="X101" s="86" t="n">
        <f aca="false">+M101-S101-U101</f>
        <v>0</v>
      </c>
    </row>
    <row r="102" customFormat="false" ht="15" hidden="false" customHeight="true" outlineLevel="0" collapsed="false">
      <c r="A102" s="0" t="s">
        <v>94</v>
      </c>
      <c r="B102" s="0" t="s">
        <v>132</v>
      </c>
      <c r="C102" s="0" t="n">
        <v>4370801</v>
      </c>
      <c r="D102" s="90" t="s">
        <v>126</v>
      </c>
      <c r="E102" s="91" t="n">
        <v>37256</v>
      </c>
      <c r="F102" s="102"/>
      <c r="G102" s="107" t="n">
        <v>375319</v>
      </c>
      <c r="H102" s="107"/>
      <c r="I102" s="118" t="s">
        <v>553</v>
      </c>
      <c r="J102" s="103" t="str">
        <f aca="false">IF(ISNA(VLOOKUP(B102,cngdata,7,FALSE())),"na",VLOOKUP(B102,cngdata,7,FALSE()))</f>
        <v>GD</v>
      </c>
      <c r="K102" s="103" t="n">
        <f aca="false">IF(ISNA(VLOOKUP(B102,cngdata,13,FALSE())),"na",VLOOKUP(B102,cngdata,13,FALSE()))</f>
        <v>61</v>
      </c>
      <c r="L102" s="108" t="n">
        <f aca="false">+CNGPricing!$H$79</f>
        <v>5.8</v>
      </c>
      <c r="M102" s="103" t="n">
        <f aca="false">IF(ISNA(VLOOKUP(B102,cngdata,14,FALSE())),0,VLOOKUP(B102,cngdata,14,FALSE()))</f>
        <v>64</v>
      </c>
      <c r="O102" s="81" t="n">
        <v>0</v>
      </c>
      <c r="P102" s="82" t="n">
        <f aca="false">L102-O102</f>
        <v>5.8</v>
      </c>
      <c r="Q102" s="83" t="n">
        <f aca="false">M102*P102</f>
        <v>371.2</v>
      </c>
      <c r="R102" s="74"/>
      <c r="S102" s="79" t="n">
        <f aca="false">IF(ISNA(VLOOKUP(B102,SplitVol,5,FALSE())),0,VLOOKUP(B102,SplitVol,5,FALSE()))</f>
        <v>7</v>
      </c>
      <c r="T102" s="84" t="n">
        <f aca="false">+S102*L102</f>
        <v>40.6</v>
      </c>
      <c r="U102" s="79" t="n">
        <f aca="false">IF(ISNA(VLOOKUP(B102,SplitVol,6,FALSE())),0,VLOOKUP(B102,SplitVol,6,FALSE()))</f>
        <v>57</v>
      </c>
      <c r="V102" s="84" t="n">
        <f aca="false">+U102*L102</f>
        <v>330.6</v>
      </c>
      <c r="W102" s="85" t="n">
        <f aca="false">IF(ISBLANK(VLOOKUP(B102,EffDate,4,FALSE())),"na",VLOOKUP(B102,EffDate,4,FALSE()))</f>
        <v>37256</v>
      </c>
      <c r="X102" s="86" t="n">
        <f aca="false">+M102-S102-U102</f>
        <v>0</v>
      </c>
    </row>
    <row r="103" customFormat="false" ht="15" hidden="false" customHeight="true" outlineLevel="0" collapsed="false">
      <c r="A103" s="0" t="s">
        <v>91</v>
      </c>
      <c r="B103" s="0" t="s">
        <v>133</v>
      </c>
      <c r="C103" s="0" t="n">
        <v>4370901</v>
      </c>
      <c r="D103" s="90" t="s">
        <v>126</v>
      </c>
      <c r="E103" s="91" t="n">
        <v>37256</v>
      </c>
      <c r="F103" s="102"/>
      <c r="G103" s="107" t="n">
        <v>375319</v>
      </c>
      <c r="H103" s="107"/>
      <c r="I103" s="118" t="s">
        <v>553</v>
      </c>
      <c r="J103" s="103" t="str">
        <f aca="false">IF(ISNA(VLOOKUP(B103,cngdata,7,FALSE())),"na",VLOOKUP(B103,cngdata,7,FALSE()))</f>
        <v>GW</v>
      </c>
      <c r="K103" s="103" t="n">
        <f aca="false">IF(ISNA(VLOOKUP(B103,cngdata,13,FALSE())),"na",VLOOKUP(B103,cngdata,13,FALSE()))</f>
        <v>38</v>
      </c>
      <c r="L103" s="108" t="n">
        <f aca="false">+CNGPricing!$H$79</f>
        <v>5.8</v>
      </c>
      <c r="M103" s="103" t="n">
        <f aca="false">IF(ISNA(VLOOKUP(B103,cngdata,14,FALSE())),0,VLOOKUP(B103,cngdata,14,FALSE()))</f>
        <v>47</v>
      </c>
      <c r="O103" s="81" t="n">
        <v>0</v>
      </c>
      <c r="P103" s="82" t="n">
        <f aca="false">L103-O103</f>
        <v>5.8</v>
      </c>
      <c r="Q103" s="83" t="n">
        <f aca="false">M103*P103</f>
        <v>272.6</v>
      </c>
      <c r="R103" s="74"/>
      <c r="S103" s="79" t="n">
        <f aca="false">IF(ISNA(VLOOKUP(B103,SplitVol,5,FALSE())),0,VLOOKUP(B103,SplitVol,5,FALSE()))</f>
        <v>5</v>
      </c>
      <c r="T103" s="84" t="n">
        <f aca="false">+S103*L103</f>
        <v>29</v>
      </c>
      <c r="U103" s="79" t="n">
        <f aca="false">IF(ISNA(VLOOKUP(B103,SplitVol,6,FALSE())),0,VLOOKUP(B103,SplitVol,6,FALSE()))</f>
        <v>42</v>
      </c>
      <c r="V103" s="84" t="n">
        <f aca="false">+U103*L103</f>
        <v>243.6</v>
      </c>
      <c r="W103" s="85" t="n">
        <f aca="false">IF(ISBLANK(VLOOKUP(B103,EffDate,4,FALSE())),"na",VLOOKUP(B103,EffDate,4,FALSE()))</f>
        <v>37256</v>
      </c>
      <c r="X103" s="86" t="n">
        <f aca="false">+M103-S103-U103</f>
        <v>0</v>
      </c>
    </row>
    <row r="104" customFormat="false" ht="15" hidden="false" customHeight="true" outlineLevel="0" collapsed="false">
      <c r="A104" s="0" t="s">
        <v>94</v>
      </c>
      <c r="B104" s="0" t="s">
        <v>134</v>
      </c>
      <c r="C104" s="0" t="n">
        <v>4371201</v>
      </c>
      <c r="D104" s="90" t="s">
        <v>126</v>
      </c>
      <c r="E104" s="91" t="n">
        <v>37256</v>
      </c>
      <c r="F104" s="102"/>
      <c r="G104" s="107" t="n">
        <v>375319</v>
      </c>
      <c r="H104" s="107"/>
      <c r="I104" s="118" t="s">
        <v>553</v>
      </c>
      <c r="J104" s="103" t="str">
        <f aca="false">IF(ISNA(VLOOKUP(B104,cngdata,7,FALSE())),"na",VLOOKUP(B104,cngdata,7,FALSE()))</f>
        <v>GD</v>
      </c>
      <c r="K104" s="103" t="n">
        <f aca="false">IF(ISNA(VLOOKUP(B104,cngdata,13,FALSE())),"na",VLOOKUP(B104,cngdata,13,FALSE()))</f>
        <v>34</v>
      </c>
      <c r="L104" s="108" t="n">
        <f aca="false">+CNGPricing!$H$79</f>
        <v>5.8</v>
      </c>
      <c r="M104" s="103" t="n">
        <f aca="false">IF(ISNA(VLOOKUP(B104,cngdata,14,FALSE())),0,VLOOKUP(B104,cngdata,14,FALSE()))</f>
        <v>36</v>
      </c>
      <c r="O104" s="81" t="n">
        <v>0</v>
      </c>
      <c r="P104" s="82" t="n">
        <f aca="false">L104-O104</f>
        <v>5.8</v>
      </c>
      <c r="Q104" s="83" t="n">
        <f aca="false">M104*P104</f>
        <v>208.8</v>
      </c>
      <c r="R104" s="74"/>
      <c r="S104" s="79" t="n">
        <f aca="false">IF(ISNA(VLOOKUP(B104,SplitVol,5,FALSE())),0,VLOOKUP(B104,SplitVol,5,FALSE()))</f>
        <v>4</v>
      </c>
      <c r="T104" s="84" t="n">
        <f aca="false">+S104*L104</f>
        <v>23.2</v>
      </c>
      <c r="U104" s="79" t="n">
        <f aca="false">IF(ISNA(VLOOKUP(B104,SplitVol,6,FALSE())),0,VLOOKUP(B104,SplitVol,6,FALSE()))-1</f>
        <v>32</v>
      </c>
      <c r="V104" s="84" t="n">
        <f aca="false">+U104*L104</f>
        <v>185.6</v>
      </c>
      <c r="W104" s="85" t="n">
        <f aca="false">IF(ISBLANK(VLOOKUP(B104,EffDate,4,FALSE())),"na",VLOOKUP(B104,EffDate,4,FALSE()))</f>
        <v>37256</v>
      </c>
      <c r="X104" s="86" t="n">
        <f aca="false">+M104-S104-U104</f>
        <v>0</v>
      </c>
    </row>
    <row r="105" customFormat="false" ht="15" hidden="false" customHeight="true" outlineLevel="0" collapsed="false">
      <c r="A105" s="0" t="s">
        <v>94</v>
      </c>
      <c r="B105" s="0" t="s">
        <v>135</v>
      </c>
      <c r="C105" s="0" t="n">
        <v>4371701</v>
      </c>
      <c r="D105" s="90" t="s">
        <v>126</v>
      </c>
      <c r="E105" s="91" t="n">
        <v>37256</v>
      </c>
      <c r="F105" s="102"/>
      <c r="G105" s="107" t="n">
        <v>375319</v>
      </c>
      <c r="H105" s="107"/>
      <c r="I105" s="118" t="s">
        <v>553</v>
      </c>
      <c r="J105" s="103" t="str">
        <f aca="false">IF(ISNA(VLOOKUP(B105,cngdata,7,FALSE())),"na",VLOOKUP(B105,cngdata,7,FALSE()))</f>
        <v>GD</v>
      </c>
      <c r="K105" s="103" t="n">
        <f aca="false">IF(ISNA(VLOOKUP(B105,cngdata,13,FALSE())),"na",VLOOKUP(B105,cngdata,13,FALSE()))</f>
        <v>67</v>
      </c>
      <c r="L105" s="108" t="n">
        <f aca="false">+CNGPricing!$H$79</f>
        <v>5.8</v>
      </c>
      <c r="M105" s="103" t="n">
        <f aca="false">IF(ISNA(VLOOKUP(B105,cngdata,14,FALSE())),0,VLOOKUP(B105,cngdata,14,FALSE()))</f>
        <v>69</v>
      </c>
      <c r="O105" s="81" t="n">
        <v>0</v>
      </c>
      <c r="P105" s="82" t="n">
        <f aca="false">L105-O105</f>
        <v>5.8</v>
      </c>
      <c r="Q105" s="83" t="n">
        <f aca="false">M105*P105</f>
        <v>400.2</v>
      </c>
      <c r="R105" s="74"/>
      <c r="S105" s="79" t="n">
        <f aca="false">IF(ISNA(VLOOKUP(B105,SplitVol,5,FALSE())),0,VLOOKUP(B105,SplitVol,5,FALSE()))</f>
        <v>7</v>
      </c>
      <c r="T105" s="84" t="n">
        <f aca="false">+S105*L105</f>
        <v>40.6</v>
      </c>
      <c r="U105" s="79" t="n">
        <f aca="false">IF(ISNA(VLOOKUP(B105,SplitVol,6,FALSE())),0,VLOOKUP(B105,SplitVol,6,FALSE()))</f>
        <v>62</v>
      </c>
      <c r="V105" s="84" t="n">
        <f aca="false">+U105*L105</f>
        <v>359.6</v>
      </c>
      <c r="W105" s="85" t="n">
        <f aca="false">IF(ISBLANK(VLOOKUP(B105,EffDate,4,FALSE())),"na",VLOOKUP(B105,EffDate,4,FALSE()))</f>
        <v>37256</v>
      </c>
      <c r="X105" s="86" t="n">
        <f aca="false">+M105-S105-U105</f>
        <v>0</v>
      </c>
    </row>
    <row r="106" customFormat="false" ht="15" hidden="false" customHeight="true" outlineLevel="0" collapsed="false">
      <c r="A106" s="0" t="s">
        <v>136</v>
      </c>
      <c r="B106" s="0" t="s">
        <v>137</v>
      </c>
      <c r="C106" s="0" t="n">
        <v>4373001</v>
      </c>
      <c r="D106" s="90" t="s">
        <v>126</v>
      </c>
      <c r="E106" s="91" t="n">
        <v>37256</v>
      </c>
      <c r="F106" s="102"/>
      <c r="G106" s="107" t="n">
        <v>375319</v>
      </c>
      <c r="H106" s="107"/>
      <c r="I106" s="118" t="s">
        <v>553</v>
      </c>
      <c r="J106" s="103" t="str">
        <f aca="false">IF(ISNA(VLOOKUP(B106,cngdata,7,FALSE())),"na",VLOOKUP(B106,cngdata,7,FALSE()))</f>
        <v>GD</v>
      </c>
      <c r="K106" s="103" t="n">
        <f aca="false">IF(ISNA(VLOOKUP(B106,cngdata,13,FALSE())),"na",VLOOKUP(B106,cngdata,13,FALSE()))</f>
        <v>12</v>
      </c>
      <c r="L106" s="108" t="n">
        <f aca="false">+CNGPricing!$H$79</f>
        <v>5.8</v>
      </c>
      <c r="M106" s="103" t="n">
        <f aca="false">IF(ISNA(VLOOKUP(B106,cngdata,14,FALSE())),0,VLOOKUP(B106,cngdata,14,FALSE()))</f>
        <v>13</v>
      </c>
      <c r="O106" s="81" t="n">
        <v>0</v>
      </c>
      <c r="P106" s="82" t="n">
        <f aca="false">L106-O106</f>
        <v>5.8</v>
      </c>
      <c r="Q106" s="83" t="n">
        <f aca="false">M106*P106</f>
        <v>75.4</v>
      </c>
      <c r="R106" s="74"/>
      <c r="S106" s="79" t="n">
        <f aca="false">IF(ISNA(VLOOKUP(B106,SplitVol,5,FALSE())),0,VLOOKUP(B106,SplitVol,5,FALSE()))</f>
        <v>2</v>
      </c>
      <c r="T106" s="84" t="n">
        <f aca="false">+S106*L106</f>
        <v>11.6</v>
      </c>
      <c r="U106" s="79" t="n">
        <f aca="false">IF(ISNA(VLOOKUP(B106,SplitVol,6,FALSE())),0,VLOOKUP(B106,SplitVol,6,FALSE()))</f>
        <v>11</v>
      </c>
      <c r="V106" s="84" t="n">
        <f aca="false">+U106*L106</f>
        <v>63.8</v>
      </c>
      <c r="W106" s="85" t="n">
        <f aca="false">IF(ISBLANK(VLOOKUP(B106,EffDate,4,FALSE())),"na",VLOOKUP(B106,EffDate,4,FALSE()))</f>
        <v>37256</v>
      </c>
      <c r="X106" s="86" t="n">
        <f aca="false">+M106-S106-U106</f>
        <v>0</v>
      </c>
    </row>
    <row r="107" customFormat="false" ht="15" hidden="false" customHeight="true" outlineLevel="0" collapsed="false">
      <c r="A107" s="4" t="s">
        <v>5</v>
      </c>
      <c r="B107" s="77" t="s">
        <v>138</v>
      </c>
      <c r="C107" s="4" t="n">
        <v>3050201</v>
      </c>
      <c r="D107" s="90" t="s">
        <v>139</v>
      </c>
      <c r="E107" s="91" t="n">
        <v>37255</v>
      </c>
      <c r="F107" s="4"/>
      <c r="G107" s="78" t="n">
        <v>20934</v>
      </c>
      <c r="H107" s="78" t="s">
        <v>554</v>
      </c>
      <c r="I107" s="78" t="s">
        <v>555</v>
      </c>
      <c r="J107" s="79" t="str">
        <f aca="false">IF(ISNA(VLOOKUP(B107,cngdata,7,FALSE())),"na",VLOOKUP(B107,cngdata,7,FALSE()))</f>
        <v>GW</v>
      </c>
      <c r="K107" s="79" t="n">
        <f aca="false">IF(ISNA(VLOOKUP(B107,cngdata,13,FALSE())),"na",VLOOKUP(B107,cngdata,13,FALSE()))</f>
        <v>33</v>
      </c>
      <c r="L107" s="80" t="n">
        <f aca="false">L$3*99%</f>
        <v>2.376</v>
      </c>
      <c r="M107" s="79" t="n">
        <f aca="false">IF(ISNA(VLOOKUP(B107,cngdata,14,FALSE())),0,VLOOKUP(B107,cngdata,14,FALSE()))</f>
        <v>48</v>
      </c>
      <c r="O107" s="81" t="n">
        <v>0</v>
      </c>
      <c r="P107" s="82" t="n">
        <f aca="false">L107-O107</f>
        <v>2.376</v>
      </c>
      <c r="Q107" s="83" t="n">
        <f aca="false">M107*P107</f>
        <v>114.048</v>
      </c>
      <c r="R107" s="74"/>
      <c r="S107" s="79" t="n">
        <f aca="false">IF(ISNA(VLOOKUP(B107,SplitVol,5,FALSE())),0,VLOOKUP(B107,SplitVol,5,FALSE()))</f>
        <v>23</v>
      </c>
      <c r="T107" s="84" t="n">
        <f aca="false">+S107*L107</f>
        <v>54.648</v>
      </c>
      <c r="U107" s="79" t="n">
        <f aca="false">IF(ISNA(VLOOKUP(B107,SplitVol,6,FALSE())),0,VLOOKUP(B107,SplitVol,6,FALSE()))</f>
        <v>25</v>
      </c>
      <c r="V107" s="84" t="n">
        <f aca="false">+U107*L107</f>
        <v>59.4</v>
      </c>
      <c r="W107" s="85" t="n">
        <f aca="false">IF(ISBLANK(VLOOKUP(B107,EffDate,4,FALSE())),"na",VLOOKUP(B107,EffDate,4,FALSE()))</f>
        <v>37255</v>
      </c>
      <c r="X107" s="86" t="n">
        <f aca="false">+M107-S107-U107</f>
        <v>0</v>
      </c>
    </row>
    <row r="108" customFormat="false" ht="15" hidden="false" customHeight="true" outlineLevel="0" collapsed="false">
      <c r="A108" s="4" t="s">
        <v>5</v>
      </c>
      <c r="B108" s="77" t="s">
        <v>140</v>
      </c>
      <c r="C108" s="4" t="n">
        <v>3053201</v>
      </c>
      <c r="D108" s="90" t="s">
        <v>139</v>
      </c>
      <c r="E108" s="91" t="n">
        <v>37255</v>
      </c>
      <c r="F108" s="4"/>
      <c r="G108" s="78" t="n">
        <v>20934</v>
      </c>
      <c r="H108" s="78" t="s">
        <v>554</v>
      </c>
      <c r="I108" s="78" t="s">
        <v>555</v>
      </c>
      <c r="J108" s="79" t="str">
        <f aca="false">IF(ISNA(VLOOKUP(B108,cngdata,7,FALSE())),"na",VLOOKUP(B108,cngdata,7,FALSE()))</f>
        <v>GW</v>
      </c>
      <c r="K108" s="79" t="n">
        <f aca="false">IF(ISNA(VLOOKUP(B108,cngdata,13,FALSE())),"na",VLOOKUP(B108,cngdata,13,FALSE()))</f>
        <v>141</v>
      </c>
      <c r="L108" s="80" t="n">
        <f aca="false">L$3*99%</f>
        <v>2.376</v>
      </c>
      <c r="M108" s="79" t="n">
        <f aca="false">IF(ISNA(VLOOKUP(B108,cngdata,14,FALSE())),0,VLOOKUP(B108,cngdata,14,FALSE()))</f>
        <v>213</v>
      </c>
      <c r="O108" s="81" t="n">
        <v>0</v>
      </c>
      <c r="P108" s="82" t="n">
        <f aca="false">L108-O108</f>
        <v>2.376</v>
      </c>
      <c r="Q108" s="83" t="n">
        <f aca="false">M108*P108</f>
        <v>506.088</v>
      </c>
      <c r="R108" s="74"/>
      <c r="S108" s="79" t="n">
        <f aca="false">IF(ISNA(VLOOKUP(B108,SplitVol,5,FALSE())),0,VLOOKUP(B108,SplitVol,5,FALSE()))</f>
        <v>26</v>
      </c>
      <c r="T108" s="84" t="n">
        <f aca="false">+S108*L108</f>
        <v>61.776</v>
      </c>
      <c r="U108" s="79" t="n">
        <f aca="false">IF(ISNA(VLOOKUP(B108,SplitVol,6,FALSE())),0,VLOOKUP(B108,SplitVol,6,FALSE()))</f>
        <v>187</v>
      </c>
      <c r="V108" s="84" t="n">
        <f aca="false">+U108*L108</f>
        <v>444.312</v>
      </c>
      <c r="W108" s="85" t="n">
        <f aca="false">IF(ISBLANK(VLOOKUP(B108,EffDate,4,FALSE())),"na",VLOOKUP(B108,EffDate,4,FALSE()))</f>
        <v>37255</v>
      </c>
      <c r="X108" s="86" t="n">
        <f aca="false">+M108-S108-U108</f>
        <v>0</v>
      </c>
    </row>
    <row r="109" customFormat="false" ht="15" hidden="false" customHeight="true" outlineLevel="0" collapsed="false">
      <c r="A109" s="4" t="s">
        <v>5</v>
      </c>
      <c r="B109" s="77" t="s">
        <v>141</v>
      </c>
      <c r="C109" s="4" t="n">
        <v>3329801</v>
      </c>
      <c r="D109" s="90" t="s">
        <v>142</v>
      </c>
      <c r="E109" s="91" t="n">
        <v>37255</v>
      </c>
      <c r="F109" s="4"/>
      <c r="G109" s="78" t="n">
        <v>20934</v>
      </c>
      <c r="H109" s="78" t="s">
        <v>554</v>
      </c>
      <c r="I109" s="78" t="s">
        <v>555</v>
      </c>
      <c r="J109" s="79" t="str">
        <f aca="false">IF(ISNA(VLOOKUP(B109,cngdata,7,FALSE())),"na",VLOOKUP(B109,cngdata,7,FALSE()))</f>
        <v>GW</v>
      </c>
      <c r="K109" s="79" t="n">
        <f aca="false">IF(ISNA(VLOOKUP(B109,cngdata,13,FALSE())),"na",VLOOKUP(B109,cngdata,13,FALSE()))</f>
        <v>215</v>
      </c>
      <c r="L109" s="80" t="n">
        <f aca="false">L$3*99%</f>
        <v>2.376</v>
      </c>
      <c r="M109" s="79" t="n">
        <f aca="false">IF(ISNA(VLOOKUP(B109,cngdata,14,FALSE())),0,VLOOKUP(B109,cngdata,14,FALSE()))</f>
        <v>288</v>
      </c>
      <c r="O109" s="81" t="n">
        <v>0</v>
      </c>
      <c r="P109" s="82" t="n">
        <f aca="false">L109-O109</f>
        <v>2.376</v>
      </c>
      <c r="Q109" s="83" t="n">
        <f aca="false">M109*P109</f>
        <v>684.288</v>
      </c>
      <c r="R109" s="74"/>
      <c r="S109" s="79" t="n">
        <f aca="false">IF(ISNA(VLOOKUP(B109,SplitVol,5,FALSE())),0,VLOOKUP(B109,SplitVol,5,FALSE()))</f>
        <v>144</v>
      </c>
      <c r="T109" s="84" t="n">
        <f aca="false">+S109*L109</f>
        <v>342.144</v>
      </c>
      <c r="U109" s="79" t="n">
        <f aca="false">IF(ISNA(VLOOKUP(B109,SplitVol,6,FALSE())),0,VLOOKUP(B109,SplitVol,6,FALSE()))</f>
        <v>144</v>
      </c>
      <c r="V109" s="84" t="n">
        <f aca="false">+U109*L109</f>
        <v>342.144</v>
      </c>
      <c r="W109" s="85" t="n">
        <f aca="false">IF(ISBLANK(VLOOKUP(B109,EffDate,4,FALSE())),"na",VLOOKUP(B109,EffDate,4,FALSE()))</f>
        <v>37255</v>
      </c>
      <c r="X109" s="86" t="n">
        <f aca="false">+M109-S109-U109</f>
        <v>0</v>
      </c>
    </row>
    <row r="110" customFormat="false" ht="15" hidden="false" customHeight="true" outlineLevel="0" collapsed="false">
      <c r="A110" s="4" t="s">
        <v>26</v>
      </c>
      <c r="B110" s="77" t="s">
        <v>143</v>
      </c>
      <c r="C110" s="4" t="s">
        <v>26</v>
      </c>
      <c r="D110" s="4" t="s">
        <v>144</v>
      </c>
      <c r="E110" s="72" t="s">
        <v>517</v>
      </c>
      <c r="F110" s="4"/>
      <c r="G110" s="78" t="n">
        <v>21579</v>
      </c>
      <c r="H110" s="78" t="s">
        <v>556</v>
      </c>
      <c r="I110" s="78" t="s">
        <v>557</v>
      </c>
      <c r="J110" s="79" t="str">
        <f aca="false">IF(ISNA(VLOOKUP(B110,cngdata,7,FALSE())),"na",VLOOKUP(B110,cngdata,7,FALSE()))</f>
        <v>na</v>
      </c>
      <c r="K110" s="79" t="str">
        <f aca="false">IF(ISNA(VLOOKUP(B110,cngdata,13,FALSE())),"na",VLOOKUP(B110,cngdata,13,FALSE()))</f>
        <v>na</v>
      </c>
      <c r="L110" s="80" t="n">
        <f aca="false">L$2-0.08</f>
        <v>2.34</v>
      </c>
      <c r="M110" s="79" t="n">
        <f aca="false">IF(ISNA(VLOOKUP(B110,cngdata,14,FALSE())),0,VLOOKUP(B110,cngdata,14,FALSE()))</f>
        <v>0</v>
      </c>
      <c r="O110" s="81" t="n">
        <v>0</v>
      </c>
      <c r="P110" s="82" t="n">
        <f aca="false">L110-O110</f>
        <v>2.34</v>
      </c>
      <c r="Q110" s="83" t="n">
        <f aca="false">M110*P110</f>
        <v>0</v>
      </c>
      <c r="R110" s="74"/>
      <c r="S110" s="79" t="n">
        <f aca="false">IF(ISNA(VLOOKUP(B110,SplitVol,5,FALSE())),0,VLOOKUP(B110,SplitVol,5,FALSE()))</f>
        <v>0</v>
      </c>
      <c r="T110" s="84" t="n">
        <f aca="false">+S110*L110</f>
        <v>0</v>
      </c>
      <c r="U110" s="79" t="n">
        <f aca="false">IF(ISNA(VLOOKUP(B110,SplitVol,6,FALSE())),0,VLOOKUP(B110,SplitVol,6,FALSE()))</f>
        <v>0</v>
      </c>
      <c r="V110" s="84" t="n">
        <f aca="false">+U110*L110</f>
        <v>0</v>
      </c>
      <c r="W110" s="85" t="str">
        <f aca="false">IF(ISBLANK(VLOOKUP(B110,EffDate,4,FALSE())),"na",VLOOKUP(B110,EffDate,4,FALSE()))</f>
        <v>na</v>
      </c>
      <c r="X110" s="86" t="n">
        <f aca="false">+M110-S110-U110</f>
        <v>0</v>
      </c>
    </row>
    <row r="111" customFormat="false" ht="15" hidden="false" customHeight="true" outlineLevel="0" collapsed="false">
      <c r="A111" s="4" t="s">
        <v>26</v>
      </c>
      <c r="B111" s="77" t="s">
        <v>145</v>
      </c>
      <c r="C111" s="4" t="s">
        <v>26</v>
      </c>
      <c r="D111" s="4" t="s">
        <v>144</v>
      </c>
      <c r="E111" s="72" t="s">
        <v>517</v>
      </c>
      <c r="F111" s="4"/>
      <c r="G111" s="78" t="n">
        <v>21579</v>
      </c>
      <c r="H111" s="78" t="s">
        <v>556</v>
      </c>
      <c r="I111" s="78" t="s">
        <v>557</v>
      </c>
      <c r="J111" s="79" t="str">
        <f aca="false">IF(ISNA(VLOOKUP(B111,cngdata,7,FALSE())),"na",VLOOKUP(B111,cngdata,7,FALSE()))</f>
        <v>na</v>
      </c>
      <c r="K111" s="79" t="str">
        <f aca="false">IF(ISNA(VLOOKUP(B111,cngdata,13,FALSE())),"na",VLOOKUP(B111,cngdata,13,FALSE()))</f>
        <v>na</v>
      </c>
      <c r="L111" s="80" t="n">
        <f aca="false">L$2-0.08</f>
        <v>2.34</v>
      </c>
      <c r="M111" s="79" t="n">
        <f aca="false">IF(ISNA(VLOOKUP(B111,cngdata,14,FALSE())),0,VLOOKUP(B111,cngdata,14,FALSE()))</f>
        <v>0</v>
      </c>
      <c r="O111" s="81" t="n">
        <v>0</v>
      </c>
      <c r="P111" s="82" t="n">
        <f aca="false">L111-O111</f>
        <v>2.34</v>
      </c>
      <c r="Q111" s="83" t="n">
        <f aca="false">M111*P111</f>
        <v>0</v>
      </c>
      <c r="R111" s="74"/>
      <c r="S111" s="79" t="n">
        <f aca="false">IF(ISNA(VLOOKUP(B111,SplitVol,5,FALSE())),0,VLOOKUP(B111,SplitVol,5,FALSE()))</f>
        <v>0</v>
      </c>
      <c r="T111" s="84" t="n">
        <f aca="false">+S111*L111</f>
        <v>0</v>
      </c>
      <c r="U111" s="79" t="n">
        <f aca="false">IF(ISNA(VLOOKUP(B111,SplitVol,6,FALSE())),0,VLOOKUP(B111,SplitVol,6,FALSE()))</f>
        <v>0</v>
      </c>
      <c r="V111" s="84" t="n">
        <f aca="false">+U111*L111</f>
        <v>0</v>
      </c>
      <c r="W111" s="85" t="str">
        <f aca="false">IF(ISBLANK(VLOOKUP(B111,EffDate,4,FALSE())),"na",VLOOKUP(B111,EffDate,4,FALSE()))</f>
        <v>na</v>
      </c>
      <c r="X111" s="86" t="n">
        <f aca="false">+M111-S111-U111</f>
        <v>0</v>
      </c>
    </row>
    <row r="112" customFormat="false" ht="15" hidden="false" customHeight="true" outlineLevel="0" collapsed="false">
      <c r="A112" s="4" t="s">
        <v>5</v>
      </c>
      <c r="B112" s="77" t="s">
        <v>146</v>
      </c>
      <c r="C112" s="4" t="s">
        <v>147</v>
      </c>
      <c r="D112" s="4" t="s">
        <v>558</v>
      </c>
      <c r="E112" s="72" t="s">
        <v>517</v>
      </c>
      <c r="F112" s="4"/>
      <c r="G112" s="78" t="n">
        <v>22956</v>
      </c>
      <c r="H112" s="78" t="s">
        <v>559</v>
      </c>
      <c r="I112" s="78" t="s">
        <v>560</v>
      </c>
      <c r="J112" s="79" t="str">
        <f aca="false">IF(ISNA(VLOOKUP(B112,cngdata,7,FALSE())),"na",VLOOKUP(B112,cngdata,7,FALSE()))</f>
        <v>GW</v>
      </c>
      <c r="K112" s="79" t="n">
        <f aca="false">IF(ISNA(VLOOKUP(B112,cngdata,13,FALSE())),"na",VLOOKUP(B112,cngdata,13,FALSE()))</f>
        <v>62</v>
      </c>
      <c r="L112" s="80" t="n">
        <f aca="false">L$2*98%</f>
        <v>2.3716</v>
      </c>
      <c r="M112" s="79" t="n">
        <f aca="false">IF(ISNA(VLOOKUP(B112,cngdata,14,FALSE())),0,VLOOKUP(B112,cngdata,14,FALSE()))</f>
        <v>70</v>
      </c>
      <c r="O112" s="81" t="n">
        <v>0</v>
      </c>
      <c r="P112" s="82" t="n">
        <f aca="false">L112-O112</f>
        <v>2.3716</v>
      </c>
      <c r="Q112" s="83" t="n">
        <f aca="false">M112*P112</f>
        <v>166.012</v>
      </c>
      <c r="R112" s="74"/>
      <c r="S112" s="79" t="n">
        <f aca="false">IF(ISNA(VLOOKUP(B112,SplitVol,5,FALSE())),0,VLOOKUP(B112,SplitVol,5,FALSE()))</f>
        <v>5</v>
      </c>
      <c r="T112" s="84" t="n">
        <f aca="false">+S112*L112</f>
        <v>11.858</v>
      </c>
      <c r="U112" s="79" t="n">
        <f aca="false">IF(ISNA(VLOOKUP(B112,SplitVol,6,FALSE())),0,VLOOKUP(B112,SplitVol,6,FALSE()))</f>
        <v>65</v>
      </c>
      <c r="V112" s="84" t="n">
        <f aca="false">+U112*L112</f>
        <v>154.154</v>
      </c>
      <c r="W112" s="85" t="n">
        <f aca="false">IF(ISBLANK(VLOOKUP(B112,EffDate,4,FALSE())),"na",VLOOKUP(B112,EffDate,4,FALSE()))</f>
        <v>37256</v>
      </c>
      <c r="X112" s="86" t="n">
        <f aca="false">+M112-S112-U112</f>
        <v>0</v>
      </c>
    </row>
    <row r="113" customFormat="false" ht="15" hidden="false" customHeight="true" outlineLevel="0" collapsed="false">
      <c r="A113" s="78" t="s">
        <v>149</v>
      </c>
      <c r="B113" s="78" t="s">
        <v>154</v>
      </c>
      <c r="C113" s="88" t="n">
        <v>5105901</v>
      </c>
      <c r="D113" s="4" t="s">
        <v>151</v>
      </c>
      <c r="E113" s="72" t="s">
        <v>517</v>
      </c>
      <c r="F113" s="102" t="s">
        <v>151</v>
      </c>
      <c r="G113" s="107" t="n">
        <v>226742</v>
      </c>
      <c r="H113" s="107"/>
      <c r="I113" s="107" t="s">
        <v>561</v>
      </c>
      <c r="J113" s="103" t="str">
        <f aca="false">IF(ISNA(VLOOKUP(B113,cngdata,7,FALSE())),"na",VLOOKUP(B113,cngdata,7,FALSE()))</f>
        <v>na</v>
      </c>
      <c r="K113" s="79" t="str">
        <f aca="false">IF(ISNA(VLOOKUP(B113,cngdata,13,FALSE())),"na",VLOOKUP(B113,cngdata,13,FALSE()))</f>
        <v>na</v>
      </c>
      <c r="L113" s="119" t="n">
        <f aca="false">+CNGPricing!$H$88</f>
        <v>3.03</v>
      </c>
      <c r="M113" s="79" t="n">
        <f aca="false">IF(ISNA(VLOOKUP(B113,cngdata,14,FALSE())),0,VLOOKUP(B113,cngdata,14,FALSE()))</f>
        <v>0</v>
      </c>
      <c r="O113" s="81" t="n">
        <v>0</v>
      </c>
      <c r="P113" s="82" t="n">
        <f aca="false">L113-O113</f>
        <v>3.03</v>
      </c>
      <c r="Q113" s="83" t="n">
        <f aca="false">M113*P113</f>
        <v>0</v>
      </c>
      <c r="R113" s="74"/>
      <c r="S113" s="79" t="n">
        <f aca="false">IF(ISNA(VLOOKUP(B113,SplitVol,5,FALSE())),0,VLOOKUP(B113,SplitVol,5,FALSE()))</f>
        <v>0</v>
      </c>
      <c r="T113" s="84" t="n">
        <f aca="false">+S113*L113</f>
        <v>0</v>
      </c>
      <c r="U113" s="79" t="n">
        <f aca="false">IF(ISNA(VLOOKUP(B113,SplitVol,6,FALSE())),0,VLOOKUP(B113,SplitVol,6,FALSE()))</f>
        <v>0</v>
      </c>
      <c r="V113" s="84" t="n">
        <f aca="false">+U113*L113</f>
        <v>0</v>
      </c>
      <c r="W113" s="85" t="str">
        <f aca="false">IF(ISBLANK(VLOOKUP(B113,EffDate,4,FALSE())),"na",VLOOKUP(B113,EffDate,4,FALSE()))</f>
        <v>na</v>
      </c>
      <c r="X113" s="86" t="n">
        <f aca="false">+M113-S113-U113</f>
        <v>0</v>
      </c>
    </row>
    <row r="114" customFormat="false" ht="15" hidden="false" customHeight="true" outlineLevel="0" collapsed="false">
      <c r="A114" s="78" t="s">
        <v>149</v>
      </c>
      <c r="B114" s="78" t="s">
        <v>155</v>
      </c>
      <c r="C114" s="88" t="n">
        <v>5118301</v>
      </c>
      <c r="D114" s="4" t="s">
        <v>151</v>
      </c>
      <c r="E114" s="72" t="s">
        <v>517</v>
      </c>
      <c r="F114" s="102" t="s">
        <v>151</v>
      </c>
      <c r="G114" s="107" t="n">
        <v>226742</v>
      </c>
      <c r="H114" s="107"/>
      <c r="I114" s="107" t="s">
        <v>561</v>
      </c>
      <c r="J114" s="103" t="str">
        <f aca="false">IF(ISNA(VLOOKUP(B114,cngdata,7,FALSE())),"na",VLOOKUP(B114,cngdata,7,FALSE()))</f>
        <v>na</v>
      </c>
      <c r="K114" s="79" t="str">
        <f aca="false">IF(ISNA(VLOOKUP(B114,cngdata,13,FALSE())),"na",VLOOKUP(B114,cngdata,13,FALSE()))</f>
        <v>na</v>
      </c>
      <c r="L114" s="119" t="n">
        <f aca="false">+CNGPricing!$H$88</f>
        <v>3.03</v>
      </c>
      <c r="M114" s="79" t="n">
        <f aca="false">IF(ISNA(VLOOKUP(B114,cngdata,14,FALSE())),0,VLOOKUP(B114,cngdata,14,FALSE()))</f>
        <v>0</v>
      </c>
      <c r="O114" s="81" t="n">
        <v>0</v>
      </c>
      <c r="P114" s="82" t="n">
        <f aca="false">L114-O114</f>
        <v>3.03</v>
      </c>
      <c r="Q114" s="83" t="n">
        <f aca="false">M114*P114</f>
        <v>0</v>
      </c>
      <c r="R114" s="74"/>
      <c r="S114" s="79" t="n">
        <f aca="false">IF(ISNA(VLOOKUP(B114,SplitVol,5,FALSE())),0,VLOOKUP(B114,SplitVol,5,FALSE()))</f>
        <v>0</v>
      </c>
      <c r="T114" s="84" t="n">
        <f aca="false">+S114*L114</f>
        <v>0</v>
      </c>
      <c r="U114" s="79" t="n">
        <f aca="false">IF(ISNA(VLOOKUP(B114,SplitVol,6,FALSE())),0,VLOOKUP(B114,SplitVol,6,FALSE()))</f>
        <v>0</v>
      </c>
      <c r="V114" s="84" t="n">
        <f aca="false">+U114*L114</f>
        <v>0</v>
      </c>
      <c r="W114" s="85" t="str">
        <f aca="false">IF(ISBLANK(VLOOKUP(B114,EffDate,4,FALSE())),"na",VLOOKUP(B114,EffDate,4,FALSE()))</f>
        <v>na</v>
      </c>
      <c r="X114" s="86" t="n">
        <f aca="false">+M114-S114-U114</f>
        <v>0</v>
      </c>
    </row>
    <row r="115" customFormat="false" ht="15" hidden="false" customHeight="true" outlineLevel="0" collapsed="false">
      <c r="A115" s="78" t="s">
        <v>149</v>
      </c>
      <c r="B115" s="78" t="s">
        <v>150</v>
      </c>
      <c r="C115" s="88" t="n">
        <v>5089201</v>
      </c>
      <c r="D115" s="4" t="s">
        <v>151</v>
      </c>
      <c r="E115" s="72" t="s">
        <v>517</v>
      </c>
      <c r="F115" s="102" t="s">
        <v>151</v>
      </c>
      <c r="G115" s="107" t="n">
        <v>226742</v>
      </c>
      <c r="H115" s="107"/>
      <c r="I115" s="107" t="s">
        <v>561</v>
      </c>
      <c r="J115" s="103" t="str">
        <f aca="false">IF(ISNA(VLOOKUP(B115,cngdata,7,FALSE())),"na",VLOOKUP(B115,cngdata,7,FALSE()))</f>
        <v>na</v>
      </c>
      <c r="K115" s="79" t="str">
        <f aca="false">IF(ISNA(VLOOKUP(B115,cngdata,13,FALSE())),"na",VLOOKUP(B115,cngdata,13,FALSE()))</f>
        <v>na</v>
      </c>
      <c r="L115" s="119" t="n">
        <f aca="false">+CNGPricing!$H$88</f>
        <v>3.03</v>
      </c>
      <c r="M115" s="79" t="n">
        <f aca="false">IF(ISNA(VLOOKUP(B115,cngdata,14,FALSE())),0,VLOOKUP(B115,cngdata,14,FALSE()))</f>
        <v>0</v>
      </c>
      <c r="O115" s="81" t="n">
        <v>0</v>
      </c>
      <c r="P115" s="82" t="n">
        <f aca="false">L115-O115</f>
        <v>3.03</v>
      </c>
      <c r="Q115" s="83" t="n">
        <f aca="false">M115*P115</f>
        <v>0</v>
      </c>
      <c r="R115" s="74"/>
      <c r="S115" s="79" t="n">
        <f aca="false">IF(ISNA(VLOOKUP(B115,SplitVol,5,FALSE())),0,VLOOKUP(B115,SplitVol,5,FALSE()))</f>
        <v>0</v>
      </c>
      <c r="T115" s="84" t="n">
        <f aca="false">+S115*L115</f>
        <v>0</v>
      </c>
      <c r="U115" s="79" t="n">
        <f aca="false">IF(ISNA(VLOOKUP(B115,SplitVol,6,FALSE())),0,VLOOKUP(B115,SplitVol,6,FALSE()))</f>
        <v>0</v>
      </c>
      <c r="V115" s="84" t="n">
        <f aca="false">+U115*L115</f>
        <v>0</v>
      </c>
      <c r="W115" s="85" t="str">
        <f aca="false">IF(ISBLANK(VLOOKUP(B115,EffDate,4,FALSE())),"na",VLOOKUP(B115,EffDate,4,FALSE()))</f>
        <v>na</v>
      </c>
      <c r="X115" s="86" t="n">
        <f aca="false">+M115-S115-U115</f>
        <v>0</v>
      </c>
    </row>
    <row r="116" customFormat="false" ht="15" hidden="false" customHeight="true" outlineLevel="0" collapsed="false">
      <c r="A116" s="4" t="s">
        <v>152</v>
      </c>
      <c r="B116" s="77" t="s">
        <v>153</v>
      </c>
      <c r="C116" s="4" t="n">
        <v>5100601</v>
      </c>
      <c r="D116" s="4" t="s">
        <v>151</v>
      </c>
      <c r="E116" s="72" t="s">
        <v>517</v>
      </c>
      <c r="F116" s="4"/>
      <c r="G116" s="78" t="n">
        <v>22991</v>
      </c>
      <c r="H116" s="78" t="s">
        <v>562</v>
      </c>
      <c r="I116" s="78" t="s">
        <v>563</v>
      </c>
      <c r="J116" s="79" t="str">
        <f aca="false">IF(ISNA(VLOOKUP(B116,cngdata,7,FALSE())),"na",VLOOKUP(B116,cngdata,7,FALSE()))</f>
        <v>na</v>
      </c>
      <c r="K116" s="79" t="str">
        <f aca="false">IF(ISNA(VLOOKUP(B116,cngdata,13,FALSE())),"na",VLOOKUP(B116,cngdata,13,FALSE()))</f>
        <v>na</v>
      </c>
      <c r="L116" s="80" t="n">
        <f aca="false">L$2*99%</f>
        <v>2.3958</v>
      </c>
      <c r="M116" s="79" t="n">
        <f aca="false">IF(ISNA(VLOOKUP(B116,cngdata,14,FALSE())),0,VLOOKUP(B116,cngdata,14,FALSE()))</f>
        <v>0</v>
      </c>
      <c r="O116" s="81" t="n">
        <v>0</v>
      </c>
      <c r="P116" s="82" t="n">
        <f aca="false">L116-O116</f>
        <v>2.3958</v>
      </c>
      <c r="Q116" s="83" t="n">
        <f aca="false">M116*P116</f>
        <v>0</v>
      </c>
      <c r="R116" s="74"/>
      <c r="S116" s="79" t="n">
        <f aca="false">IF(ISNA(VLOOKUP(B116,SplitVol,5,FALSE())),0,VLOOKUP(B116,SplitVol,5,FALSE()))</f>
        <v>0</v>
      </c>
      <c r="T116" s="84" t="n">
        <f aca="false">+S116*L116</f>
        <v>0</v>
      </c>
      <c r="U116" s="79" t="n">
        <f aca="false">IF(ISNA(VLOOKUP(B116,SplitVol,6,FALSE())),0,VLOOKUP(B116,SplitVol,6,FALSE()))</f>
        <v>0</v>
      </c>
      <c r="V116" s="84" t="n">
        <f aca="false">+U116*L116</f>
        <v>0</v>
      </c>
      <c r="W116" s="85" t="str">
        <f aca="false">IF(ISBLANK(VLOOKUP(B116,EffDate,4,FALSE())),"na",VLOOKUP(B116,EffDate,4,FALSE()))</f>
        <v>na</v>
      </c>
      <c r="X116" s="86" t="n">
        <f aca="false">+M116-S116-U116</f>
        <v>0</v>
      </c>
    </row>
    <row r="117" customFormat="false" ht="15" hidden="false" customHeight="true" outlineLevel="0" collapsed="false">
      <c r="A117" s="4" t="s">
        <v>26</v>
      </c>
      <c r="B117" s="77" t="s">
        <v>156</v>
      </c>
      <c r="C117" s="4" t="s">
        <v>26</v>
      </c>
      <c r="D117" s="4" t="s">
        <v>151</v>
      </c>
      <c r="E117" s="72" t="s">
        <v>517</v>
      </c>
      <c r="F117" s="4"/>
      <c r="G117" s="78" t="n">
        <v>22991</v>
      </c>
      <c r="H117" s="78" t="s">
        <v>562</v>
      </c>
      <c r="I117" s="78" t="s">
        <v>563</v>
      </c>
      <c r="J117" s="79" t="str">
        <f aca="false">IF(ISNA(VLOOKUP(B117,cngdata,7,FALSE())),"na",VLOOKUP(B117,cngdata,7,FALSE()))</f>
        <v>na</v>
      </c>
      <c r="K117" s="79" t="str">
        <f aca="false">IF(ISNA(VLOOKUP(B117,cngdata,13,FALSE())),"na",VLOOKUP(B117,cngdata,13,FALSE()))</f>
        <v>na</v>
      </c>
      <c r="L117" s="80" t="n">
        <f aca="false">L$2*99%</f>
        <v>2.3958</v>
      </c>
      <c r="M117" s="79" t="n">
        <f aca="false">IF(ISNA(VLOOKUP(B117,cngdata,14,FALSE())),0,VLOOKUP(B117,cngdata,14,FALSE()))</f>
        <v>0</v>
      </c>
      <c r="O117" s="81" t="n">
        <v>0</v>
      </c>
      <c r="P117" s="82" t="n">
        <f aca="false">L117-O117</f>
        <v>2.3958</v>
      </c>
      <c r="Q117" s="83" t="n">
        <f aca="false">M117*P117</f>
        <v>0</v>
      </c>
      <c r="R117" s="74"/>
      <c r="S117" s="79" t="n">
        <f aca="false">IF(ISNA(VLOOKUP(B117,SplitVol,5,FALSE())),0,VLOOKUP(B117,SplitVol,5,FALSE()))</f>
        <v>0</v>
      </c>
      <c r="T117" s="84" t="n">
        <f aca="false">+S117*L117</f>
        <v>0</v>
      </c>
      <c r="U117" s="79" t="n">
        <f aca="false">IF(ISNA(VLOOKUP(B117,SplitVol,6,FALSE())),0,VLOOKUP(B117,SplitVol,6,FALSE()))</f>
        <v>0</v>
      </c>
      <c r="V117" s="84" t="n">
        <f aca="false">+U117*L117</f>
        <v>0</v>
      </c>
      <c r="W117" s="85" t="str">
        <f aca="false">IF(ISBLANK(VLOOKUP(B117,EffDate,4,FALSE())),"na",VLOOKUP(B117,EffDate,4,FALSE()))</f>
        <v>na</v>
      </c>
      <c r="X117" s="86" t="n">
        <f aca="false">+M117-S117-U117</f>
        <v>0</v>
      </c>
    </row>
    <row r="118" customFormat="false" ht="15" hidden="false" customHeight="true" outlineLevel="0" collapsed="false">
      <c r="A118" s="4" t="s">
        <v>26</v>
      </c>
      <c r="B118" s="77" t="s">
        <v>157</v>
      </c>
      <c r="C118" s="4" t="s">
        <v>26</v>
      </c>
      <c r="D118" s="4" t="s">
        <v>151</v>
      </c>
      <c r="E118" s="72" t="s">
        <v>517</v>
      </c>
      <c r="F118" s="4"/>
      <c r="G118" s="78" t="n">
        <v>22991</v>
      </c>
      <c r="H118" s="78" t="s">
        <v>562</v>
      </c>
      <c r="I118" s="78" t="s">
        <v>563</v>
      </c>
      <c r="J118" s="79" t="str">
        <f aca="false">IF(ISNA(VLOOKUP(B118,cngdata,7,FALSE())),"na",VLOOKUP(B118,cngdata,7,FALSE()))</f>
        <v>na</v>
      </c>
      <c r="K118" s="79" t="str">
        <f aca="false">IF(ISNA(VLOOKUP(B118,cngdata,13,FALSE())),"na",VLOOKUP(B118,cngdata,13,FALSE()))</f>
        <v>na</v>
      </c>
      <c r="L118" s="80" t="n">
        <f aca="false">L$2*99%</f>
        <v>2.3958</v>
      </c>
      <c r="M118" s="79" t="n">
        <f aca="false">IF(ISNA(VLOOKUP(B118,cngdata,14,FALSE())),0,VLOOKUP(B118,cngdata,14,FALSE()))</f>
        <v>0</v>
      </c>
      <c r="O118" s="81" t="n">
        <v>0</v>
      </c>
      <c r="P118" s="82" t="n">
        <f aca="false">L118-O118</f>
        <v>2.3958</v>
      </c>
      <c r="Q118" s="83" t="n">
        <f aca="false">M118*P118</f>
        <v>0</v>
      </c>
      <c r="R118" s="74"/>
      <c r="S118" s="79" t="n">
        <f aca="false">IF(ISNA(VLOOKUP(B118,SplitVol,5,FALSE())),0,VLOOKUP(B118,SplitVol,5,FALSE()))</f>
        <v>0</v>
      </c>
      <c r="T118" s="84" t="n">
        <f aca="false">+S118*L118</f>
        <v>0</v>
      </c>
      <c r="U118" s="79" t="n">
        <f aca="false">IF(ISNA(VLOOKUP(B118,SplitVol,6,FALSE())),0,VLOOKUP(B118,SplitVol,6,FALSE()))</f>
        <v>0</v>
      </c>
      <c r="V118" s="84" t="n">
        <f aca="false">+U118*L118</f>
        <v>0</v>
      </c>
      <c r="W118" s="85" t="str">
        <f aca="false">IF(ISBLANK(VLOOKUP(B118,EffDate,4,FALSE())),"na",VLOOKUP(B118,EffDate,4,FALSE()))</f>
        <v>na</v>
      </c>
      <c r="X118" s="86" t="n">
        <f aca="false">+M118-S118-U118</f>
        <v>0</v>
      </c>
    </row>
    <row r="119" customFormat="false" ht="15" hidden="false" customHeight="true" outlineLevel="0" collapsed="false">
      <c r="A119" s="4" t="s">
        <v>5</v>
      </c>
      <c r="B119" s="77" t="s">
        <v>158</v>
      </c>
      <c r="C119" s="4" t="n">
        <v>3120601</v>
      </c>
      <c r="D119" s="4" t="s">
        <v>159</v>
      </c>
      <c r="E119" s="72" t="s">
        <v>517</v>
      </c>
      <c r="F119" s="4"/>
      <c r="G119" s="78" t="n">
        <v>23124</v>
      </c>
      <c r="H119" s="78" t="s">
        <v>564</v>
      </c>
      <c r="I119" s="78" t="s">
        <v>560</v>
      </c>
      <c r="J119" s="79" t="str">
        <f aca="false">IF(ISNA(VLOOKUP(B119,cngdata,7,FALSE())),"na",VLOOKUP(B119,cngdata,7,FALSE()))</f>
        <v>GW</v>
      </c>
      <c r="K119" s="79" t="n">
        <f aca="false">IF(ISNA(VLOOKUP(B119,cngdata,13,FALSE())),"na",VLOOKUP(B119,cngdata,13,FALSE()))</f>
        <v>5</v>
      </c>
      <c r="L119" s="80" t="n">
        <f aca="false">L$2*98%</f>
        <v>2.3716</v>
      </c>
      <c r="M119" s="79" t="n">
        <f aca="false">IF(ISNA(VLOOKUP(B119,cngdata,14,FALSE())),0,VLOOKUP(B119,cngdata,14,FALSE()))</f>
        <v>9</v>
      </c>
      <c r="O119" s="81" t="n">
        <v>0</v>
      </c>
      <c r="P119" s="82" t="n">
        <f aca="false">L119-O119</f>
        <v>2.3716</v>
      </c>
      <c r="Q119" s="83" t="n">
        <f aca="false">M119*P119</f>
        <v>21.3444</v>
      </c>
      <c r="R119" s="74"/>
      <c r="S119" s="79" t="n">
        <f aca="false">IF(ISNA(VLOOKUP(B119,SplitVol,5,FALSE())),0,VLOOKUP(B119,SplitVol,5,FALSE()))</f>
        <v>9</v>
      </c>
      <c r="T119" s="84" t="n">
        <f aca="false">+S119*L119</f>
        <v>21.3444</v>
      </c>
      <c r="U119" s="79" t="n">
        <f aca="false">IF(ISNA(VLOOKUP(B119,SplitVol,6,FALSE())),0,VLOOKUP(B119,SplitVol,6,FALSE()))</f>
        <v>0</v>
      </c>
      <c r="V119" s="84" t="n">
        <f aca="false">+U119*L119</f>
        <v>0</v>
      </c>
      <c r="W119" s="85" t="n">
        <f aca="false">IF(ISBLANK(VLOOKUP(B119,EffDate,4,FALSE())),"na",VLOOKUP(B119,EffDate,4,FALSE()))</f>
        <v>37228</v>
      </c>
      <c r="X119" s="86" t="n">
        <f aca="false">+M119-S119-U119</f>
        <v>0</v>
      </c>
    </row>
    <row r="120" customFormat="false" ht="15" hidden="false" customHeight="true" outlineLevel="0" collapsed="false">
      <c r="A120" s="78" t="s">
        <v>160</v>
      </c>
      <c r="B120" s="78" t="s">
        <v>161</v>
      </c>
      <c r="C120" s="88" t="s">
        <v>162</v>
      </c>
      <c r="D120" s="4" t="s">
        <v>163</v>
      </c>
      <c r="E120" s="72" t="s">
        <v>517</v>
      </c>
      <c r="F120" s="87" t="s">
        <v>565</v>
      </c>
      <c r="G120" s="88" t="n">
        <v>211284</v>
      </c>
      <c r="H120" s="88"/>
      <c r="I120" s="89" t="s">
        <v>523</v>
      </c>
      <c r="J120" s="79" t="str">
        <f aca="false">IF(ISNA(VLOOKUP(B120,cngdata,7,FALSE())),"na",VLOOKUP(B120,cngdata,7,FALSE()))</f>
        <v>na</v>
      </c>
      <c r="K120" s="79" t="str">
        <f aca="false">IF(ISNA(VLOOKUP(B120,cngdata,13,FALSE())),"na",VLOOKUP(B120,cngdata,13,FALSE()))</f>
        <v>na</v>
      </c>
      <c r="L120" s="80" t="n">
        <f aca="false">$L$2</f>
        <v>2.42</v>
      </c>
      <c r="M120" s="79" t="n">
        <f aca="false">IF(ISNA(VLOOKUP(B120,cngdata,14,FALSE())),0,VLOOKUP(B120,cngdata,14,FALSE()))</f>
        <v>0</v>
      </c>
      <c r="O120" s="81" t="n">
        <v>0</v>
      </c>
      <c r="P120" s="82" t="n">
        <f aca="false">L120-O120</f>
        <v>2.42</v>
      </c>
      <c r="Q120" s="83" t="n">
        <f aca="false">M120*P120</f>
        <v>0</v>
      </c>
      <c r="R120" s="74"/>
      <c r="S120" s="79" t="n">
        <f aca="false">IF(ISNA(VLOOKUP(B120,SplitVol,5,FALSE())),0,VLOOKUP(B120,SplitVol,5,FALSE()))</f>
        <v>0</v>
      </c>
      <c r="T120" s="84" t="n">
        <f aca="false">+S120*L120</f>
        <v>0</v>
      </c>
      <c r="U120" s="79" t="n">
        <f aca="false">IF(ISNA(VLOOKUP(B120,SplitVol,6,FALSE())),0,VLOOKUP(B120,SplitVol,6,FALSE()))</f>
        <v>0</v>
      </c>
      <c r="V120" s="84" t="n">
        <f aca="false">+U120*L120</f>
        <v>0</v>
      </c>
      <c r="W120" s="85" t="str">
        <f aca="false">IF(ISBLANK(VLOOKUP(B120,EffDate,4,FALSE())),"na",VLOOKUP(B120,EffDate,4,FALSE()))</f>
        <v>na</v>
      </c>
      <c r="X120" s="86" t="n">
        <f aca="false">+M120-S120-U120</f>
        <v>0</v>
      </c>
    </row>
    <row r="121" customFormat="false" ht="15" hidden="false" customHeight="true" outlineLevel="0" collapsed="false">
      <c r="A121" s="78" t="s">
        <v>51</v>
      </c>
      <c r="B121" s="78" t="s">
        <v>164</v>
      </c>
      <c r="C121" s="88" t="s">
        <v>165</v>
      </c>
      <c r="D121" s="4" t="s">
        <v>163</v>
      </c>
      <c r="E121" s="72" t="s">
        <v>517</v>
      </c>
      <c r="F121" s="87" t="s">
        <v>565</v>
      </c>
      <c r="G121" s="88" t="n">
        <v>211284</v>
      </c>
      <c r="H121" s="88"/>
      <c r="I121" s="89" t="s">
        <v>523</v>
      </c>
      <c r="J121" s="79" t="str">
        <f aca="false">IF(ISNA(VLOOKUP(B121,cngdata,7,FALSE())),"na",VLOOKUP(B121,cngdata,7,FALSE()))</f>
        <v>na</v>
      </c>
      <c r="K121" s="79" t="str">
        <f aca="false">IF(ISNA(VLOOKUP(B121,cngdata,13,FALSE())),"na",VLOOKUP(B121,cngdata,13,FALSE()))</f>
        <v>na</v>
      </c>
      <c r="L121" s="80" t="n">
        <f aca="false">$L$2</f>
        <v>2.42</v>
      </c>
      <c r="M121" s="79" t="n">
        <f aca="false">IF(ISNA(VLOOKUP(B121,cngdata,14,FALSE())),0,VLOOKUP(B121,cngdata,14,FALSE()))</f>
        <v>0</v>
      </c>
      <c r="O121" s="81" t="n">
        <v>0</v>
      </c>
      <c r="P121" s="82" t="n">
        <f aca="false">L121-O121</f>
        <v>2.42</v>
      </c>
      <c r="Q121" s="83" t="n">
        <f aca="false">M121*P121</f>
        <v>0</v>
      </c>
      <c r="R121" s="74"/>
      <c r="S121" s="79" t="n">
        <f aca="false">IF(ISNA(VLOOKUP(B121,SplitVol,5,FALSE())),0,VLOOKUP(B121,SplitVol,5,FALSE()))</f>
        <v>0</v>
      </c>
      <c r="T121" s="84" t="n">
        <f aca="false">+S121*L121</f>
        <v>0</v>
      </c>
      <c r="U121" s="79" t="n">
        <f aca="false">IF(ISNA(VLOOKUP(B121,SplitVol,6,FALSE())),0,VLOOKUP(B121,SplitVol,6,FALSE()))</f>
        <v>0</v>
      </c>
      <c r="V121" s="84" t="n">
        <f aca="false">+U121*L121</f>
        <v>0</v>
      </c>
      <c r="W121" s="85" t="str">
        <f aca="false">IF(ISBLANK(VLOOKUP(B121,EffDate,4,FALSE())),"na",VLOOKUP(B121,EffDate,4,FALSE()))</f>
        <v>na</v>
      </c>
      <c r="X121" s="86" t="n">
        <f aca="false">+M121-S121-U121</f>
        <v>0</v>
      </c>
    </row>
    <row r="122" customFormat="false" ht="15" hidden="false" customHeight="true" outlineLevel="0" collapsed="false">
      <c r="A122" s="4" t="s">
        <v>5</v>
      </c>
      <c r="B122" s="77" t="s">
        <v>168</v>
      </c>
      <c r="C122" s="4" t="n">
        <v>3294701</v>
      </c>
      <c r="D122" s="4" t="s">
        <v>167</v>
      </c>
      <c r="E122" s="72" t="s">
        <v>517</v>
      </c>
      <c r="F122" s="4"/>
      <c r="G122" s="78" t="n">
        <v>26784</v>
      </c>
      <c r="H122" s="78" t="s">
        <v>566</v>
      </c>
      <c r="I122" s="78" t="s">
        <v>567</v>
      </c>
      <c r="J122" s="79" t="str">
        <f aca="false">IF(ISNA(VLOOKUP(B122,cngdata,7,FALSE())),"na",VLOOKUP(B122,cngdata,7,FALSE()))</f>
        <v>GW</v>
      </c>
      <c r="K122" s="79" t="n">
        <f aca="false">IF(ISNA(VLOOKUP(B122,cngdata,13,FALSE())),"na",VLOOKUP(B122,cngdata,13,FALSE()))</f>
        <v>95</v>
      </c>
      <c r="L122" s="80" t="n">
        <f aca="false">L$2*95%</f>
        <v>2.299</v>
      </c>
      <c r="M122" s="79" t="n">
        <f aca="false">IF(ISNA(VLOOKUP(B122,cngdata,14,FALSE())),0,VLOOKUP(B122,cngdata,14,FALSE()))</f>
        <v>110</v>
      </c>
      <c r="O122" s="81" t="n">
        <v>0</v>
      </c>
      <c r="P122" s="82" t="n">
        <f aca="false">L122-O122</f>
        <v>2.299</v>
      </c>
      <c r="Q122" s="83" t="n">
        <f aca="false">M122*P122</f>
        <v>252.89</v>
      </c>
      <c r="R122" s="74"/>
      <c r="S122" s="79" t="n">
        <f aca="false">IF(ISNA(VLOOKUP(B122,SplitVol,5,FALSE())),0,VLOOKUP(B122,SplitVol,5,FALSE()))</f>
        <v>9</v>
      </c>
      <c r="T122" s="84" t="n">
        <f aca="false">+S122*L122</f>
        <v>20.691</v>
      </c>
      <c r="U122" s="79" t="n">
        <f aca="false">IF(ISNA(VLOOKUP(B122,SplitVol,6,FALSE())),0,VLOOKUP(B122,SplitVol,6,FALSE()))</f>
        <v>101</v>
      </c>
      <c r="V122" s="84" t="n">
        <f aca="false">+U122*L122</f>
        <v>232.199</v>
      </c>
      <c r="W122" s="85" t="n">
        <f aca="false">IF(ISBLANK(VLOOKUP(B122,EffDate,4,FALSE())),"na",VLOOKUP(B122,EffDate,4,FALSE()))</f>
        <v>37228</v>
      </c>
      <c r="X122" s="86" t="n">
        <f aca="false">+M122-S122-U122</f>
        <v>0</v>
      </c>
    </row>
    <row r="123" customFormat="false" ht="15" hidden="false" customHeight="true" outlineLevel="0" collapsed="false">
      <c r="A123" s="4" t="s">
        <v>5</v>
      </c>
      <c r="B123" s="77" t="s">
        <v>166</v>
      </c>
      <c r="C123" s="4" t="n">
        <v>2041001</v>
      </c>
      <c r="D123" s="4" t="s">
        <v>167</v>
      </c>
      <c r="E123" s="72" t="s">
        <v>517</v>
      </c>
      <c r="F123" s="4"/>
      <c r="G123" s="78" t="n">
        <v>26784</v>
      </c>
      <c r="H123" s="78" t="s">
        <v>566</v>
      </c>
      <c r="I123" s="78" t="s">
        <v>567</v>
      </c>
      <c r="J123" s="79" t="str">
        <f aca="false">IF(ISNA(VLOOKUP(B123,cngdata,7,FALSE())),"na",VLOOKUP(B123,cngdata,7,FALSE()))</f>
        <v>GW</v>
      </c>
      <c r="K123" s="79" t="n">
        <f aca="false">IF(ISNA(VLOOKUP(B123,cngdata,13,FALSE())),"na",VLOOKUP(B123,cngdata,13,FALSE()))</f>
        <v>0</v>
      </c>
      <c r="L123" s="80" t="n">
        <f aca="false">L$2*95%</f>
        <v>2.299</v>
      </c>
      <c r="M123" s="79" t="n">
        <f aca="false">IF(ISNA(VLOOKUP(B123,cngdata,14,FALSE())),0,VLOOKUP(B123,cngdata,14,FALSE()))</f>
        <v>554</v>
      </c>
      <c r="O123" s="81" t="n">
        <v>0</v>
      </c>
      <c r="P123" s="82" t="n">
        <f aca="false">L123-O123</f>
        <v>2.299</v>
      </c>
      <c r="Q123" s="83" t="n">
        <f aca="false">M123*P123</f>
        <v>1273.646</v>
      </c>
      <c r="R123" s="74"/>
      <c r="S123" s="79" t="n">
        <f aca="false">IF(ISNA(VLOOKUP(B123,SplitVol,5,FALSE())),0,VLOOKUP(B123,SplitVol,5,FALSE()))</f>
        <v>35</v>
      </c>
      <c r="T123" s="84" t="n">
        <f aca="false">+S123*L123</f>
        <v>80.465</v>
      </c>
      <c r="U123" s="79" t="n">
        <f aca="false">IF(ISNA(VLOOKUP(B123,SplitVol,6,FALSE())),0,VLOOKUP(B123,SplitVol,6,FALSE()))-1</f>
        <v>519</v>
      </c>
      <c r="V123" s="84" t="n">
        <f aca="false">+U123*L123</f>
        <v>1193.181</v>
      </c>
      <c r="W123" s="85" t="n">
        <f aca="false">IF(ISBLANK(VLOOKUP(B123,EffDate,4,FALSE())),"na",VLOOKUP(B123,EffDate,4,FALSE()))</f>
        <v>37228</v>
      </c>
      <c r="X123" s="86" t="n">
        <f aca="false">+M123-S123-U123</f>
        <v>0</v>
      </c>
    </row>
    <row r="124" customFormat="false" ht="15" hidden="false" customHeight="true" outlineLevel="0" collapsed="false">
      <c r="A124" s="78" t="s">
        <v>94</v>
      </c>
      <c r="B124" s="78" t="s">
        <v>169</v>
      </c>
      <c r="C124" s="78" t="n">
        <v>4281001</v>
      </c>
      <c r="D124" s="120" t="s">
        <v>170</v>
      </c>
      <c r="E124" s="72" t="n">
        <v>37288</v>
      </c>
      <c r="F124" s="121"/>
      <c r="G124" s="122"/>
      <c r="H124" s="78"/>
      <c r="I124" s="89" t="s">
        <v>568</v>
      </c>
      <c r="J124" s="79" t="str">
        <f aca="false">IF(ISNA(VLOOKUP(B124,cngdata,7,FALSE())),"na",VLOOKUP(B124,cngdata,7,FALSE()))</f>
        <v>GD</v>
      </c>
      <c r="K124" s="79" t="n">
        <f aca="false">IF(ISNA(VLOOKUP(B124,cngdata,13,FALSE())),"na",VLOOKUP(B124,cngdata,13,FALSE()))</f>
        <v>0</v>
      </c>
      <c r="L124" s="80" t="n">
        <f aca="false">L$2-0.02</f>
        <v>2.4</v>
      </c>
      <c r="M124" s="79" t="n">
        <f aca="false">IF(ISNA(VLOOKUP(B124,cngdata,14,FALSE())),0,VLOOKUP(B124,cngdata,14,FALSE()))</f>
        <v>0</v>
      </c>
      <c r="O124" s="81" t="n">
        <v>0</v>
      </c>
      <c r="P124" s="82" t="n">
        <f aca="false">L124-O124</f>
        <v>2.4</v>
      </c>
      <c r="Q124" s="83" t="n">
        <f aca="false">M124*P124</f>
        <v>0</v>
      </c>
      <c r="R124" s="74"/>
      <c r="S124" s="79" t="n">
        <f aca="false">IF(ISNA(VLOOKUP(B124,SplitVol,5,FALSE())),0,VLOOKUP(B124,SplitVol,5,FALSE()))</f>
        <v>0</v>
      </c>
      <c r="T124" s="84" t="n">
        <f aca="false">+S124*L124</f>
        <v>0</v>
      </c>
      <c r="U124" s="79" t="n">
        <f aca="false">IF(ISNA(VLOOKUP(B124,SplitVol,6,FALSE())),0,VLOOKUP(B124,SplitVol,6,FALSE()))</f>
        <v>0</v>
      </c>
      <c r="V124" s="84" t="n">
        <f aca="false">+U124*L124</f>
        <v>0</v>
      </c>
      <c r="W124" s="85" t="n">
        <f aca="false">IF(ISBLANK(VLOOKUP(B124,EffDate,4,FALSE())),"na",VLOOKUP(B124,EffDate,4,FALSE()))</f>
        <v>37228</v>
      </c>
      <c r="X124" s="86" t="n">
        <f aca="false">+M124-S124-U124</f>
        <v>0</v>
      </c>
    </row>
    <row r="125" customFormat="false" ht="15" hidden="false" customHeight="true" outlineLevel="0" collapsed="false">
      <c r="A125" s="78" t="s">
        <v>136</v>
      </c>
      <c r="B125" s="78" t="s">
        <v>172</v>
      </c>
      <c r="C125" s="78" t="n">
        <v>4371101</v>
      </c>
      <c r="D125" s="120" t="s">
        <v>170</v>
      </c>
      <c r="E125" s="123" t="n">
        <v>37288</v>
      </c>
      <c r="F125" s="121"/>
      <c r="G125" s="122"/>
      <c r="H125" s="78"/>
      <c r="I125" s="89" t="s">
        <v>568</v>
      </c>
      <c r="J125" s="79" t="str">
        <f aca="false">IF(ISNA(VLOOKUP(B125,cngdata,7,FALSE())),"na",VLOOKUP(B125,cngdata,7,FALSE()))</f>
        <v>GD</v>
      </c>
      <c r="K125" s="79" t="n">
        <f aca="false">IF(ISNA(VLOOKUP(B125,cngdata,13,FALSE())),"na",VLOOKUP(B125,cngdata,13,FALSE()))</f>
        <v>132</v>
      </c>
      <c r="L125" s="80" t="n">
        <f aca="false">L$2-0.02</f>
        <v>2.4</v>
      </c>
      <c r="M125" s="79" t="n">
        <f aca="false">IF(ISNA(VLOOKUP(B125,cngdata,14,FALSE())),0,VLOOKUP(B125,cngdata,14,FALSE()))</f>
        <v>141</v>
      </c>
      <c r="O125" s="81" t="n">
        <v>0</v>
      </c>
      <c r="P125" s="82" t="n">
        <f aca="false">L125-O125</f>
        <v>2.4</v>
      </c>
      <c r="Q125" s="83" t="n">
        <f aca="false">M125*P125</f>
        <v>338.4</v>
      </c>
      <c r="R125" s="74"/>
      <c r="S125" s="79" t="n">
        <f aca="false">IF(ISNA(VLOOKUP(B125,SplitVol,5,FALSE())),0,VLOOKUP(B125,SplitVol,5,FALSE()))</f>
        <v>9</v>
      </c>
      <c r="T125" s="84" t="n">
        <f aca="false">+S125*L125</f>
        <v>21.6</v>
      </c>
      <c r="U125" s="79" t="n">
        <f aca="false">IF(ISNA(VLOOKUP(B125,SplitVol,6,FALSE())),0,VLOOKUP(B125,SplitVol,6,FALSE()))+1</f>
        <v>132</v>
      </c>
      <c r="V125" s="84" t="n">
        <f aca="false">+U125*L125</f>
        <v>316.8</v>
      </c>
      <c r="W125" s="85" t="n">
        <f aca="false">IF(ISBLANK(VLOOKUP(B125,EffDate,4,FALSE())),"na",VLOOKUP(B125,EffDate,4,FALSE()))</f>
        <v>37228</v>
      </c>
      <c r="X125" s="86" t="n">
        <f aca="false">+M125-S125-U125</f>
        <v>0</v>
      </c>
    </row>
    <row r="126" customFormat="false" ht="15" hidden="false" customHeight="true" outlineLevel="0" collapsed="false">
      <c r="A126" s="124" t="s">
        <v>136</v>
      </c>
      <c r="B126" s="124" t="s">
        <v>173</v>
      </c>
      <c r="C126" s="124" t="n">
        <v>1062901</v>
      </c>
      <c r="D126" s="4" t="s">
        <v>174</v>
      </c>
      <c r="E126" s="72" t="s">
        <v>517</v>
      </c>
      <c r="F126" s="124"/>
      <c r="G126" s="124"/>
      <c r="H126" s="124"/>
      <c r="I126" s="124" t="s">
        <v>537</v>
      </c>
      <c r="J126" s="125" t="str">
        <f aca="false">IF(ISNA(VLOOKUP(B126,cngdata,7,FALSE())),"na",VLOOKUP(B126,cngdata,7,FALSE()))</f>
        <v>GD</v>
      </c>
      <c r="K126" s="79" t="n">
        <f aca="false">IF(ISNA(VLOOKUP(B126,cngdata,13,FALSE())),"na",VLOOKUP(B126,cngdata,13,FALSE()))</f>
        <v>119</v>
      </c>
      <c r="L126" s="119" t="n">
        <f aca="false">$L$2</f>
        <v>2.42</v>
      </c>
      <c r="M126" s="79" t="n">
        <f aca="false">IF(ISNA(VLOOKUP(B126,cngdata,14,FALSE())),0,VLOOKUP(B126,cngdata,14,FALSE()))</f>
        <v>121</v>
      </c>
      <c r="O126" s="81" t="n">
        <v>0</v>
      </c>
      <c r="P126" s="82" t="n">
        <f aca="false">L126-O126</f>
        <v>2.42</v>
      </c>
      <c r="Q126" s="83" t="n">
        <f aca="false">M126*P126</f>
        <v>292.82</v>
      </c>
      <c r="R126" s="74"/>
      <c r="S126" s="79" t="n">
        <f aca="false">IF(ISNA(VLOOKUP(B126,SplitVol,5,FALSE())),0,VLOOKUP(B126,SplitVol,5,FALSE()))</f>
        <v>121</v>
      </c>
      <c r="T126" s="84" t="n">
        <f aca="false">+S126*L126</f>
        <v>292.82</v>
      </c>
      <c r="U126" s="79" t="n">
        <f aca="false">IF(ISNA(VLOOKUP(B126,SplitVol,6,FALSE())),0,VLOOKUP(B126,SplitVol,6,FALSE()))</f>
        <v>0</v>
      </c>
      <c r="V126" s="84" t="n">
        <f aca="false">+U126*L126</f>
        <v>0</v>
      </c>
      <c r="W126" s="85" t="str">
        <f aca="false">IF(ISBLANK(VLOOKUP(B126,EffDate,4,FALSE())),"na",VLOOKUP(B126,EffDate,4,FALSE()))</f>
        <v>na</v>
      </c>
      <c r="X126" s="86" t="n">
        <f aca="false">+M126-S126-U126</f>
        <v>0</v>
      </c>
    </row>
    <row r="127" customFormat="false" ht="15" hidden="false" customHeight="true" outlineLevel="0" collapsed="false">
      <c r="A127" s="124" t="s">
        <v>136</v>
      </c>
      <c r="B127" s="124" t="s">
        <v>175</v>
      </c>
      <c r="C127" s="124" t="n">
        <v>1063001</v>
      </c>
      <c r="D127" s="4" t="s">
        <v>174</v>
      </c>
      <c r="E127" s="72" t="s">
        <v>517</v>
      </c>
      <c r="F127" s="124"/>
      <c r="G127" s="124"/>
      <c r="H127" s="124"/>
      <c r="I127" s="124" t="s">
        <v>537</v>
      </c>
      <c r="J127" s="125" t="str">
        <f aca="false">IF(ISNA(VLOOKUP(B127,cngdata,7,FALSE())),"na",VLOOKUP(B127,cngdata,7,FALSE()))</f>
        <v>GD</v>
      </c>
      <c r="K127" s="79" t="n">
        <f aca="false">IF(ISNA(VLOOKUP(B127,cngdata,13,FALSE())),"na",VLOOKUP(B127,cngdata,13,FALSE()))</f>
        <v>24</v>
      </c>
      <c r="L127" s="119" t="n">
        <f aca="false">$L$2</f>
        <v>2.42</v>
      </c>
      <c r="M127" s="79" t="n">
        <f aca="false">IF(ISNA(VLOOKUP(B127,cngdata,14,FALSE())),0,VLOOKUP(B127,cngdata,14,FALSE()))</f>
        <v>24</v>
      </c>
      <c r="O127" s="81" t="n">
        <v>0</v>
      </c>
      <c r="P127" s="82" t="n">
        <f aca="false">L127-O127</f>
        <v>2.42</v>
      </c>
      <c r="Q127" s="83" t="n">
        <f aca="false">M127*P127</f>
        <v>58.08</v>
      </c>
      <c r="R127" s="74"/>
      <c r="S127" s="79" t="n">
        <f aca="false">IF(ISNA(VLOOKUP(B127,SplitVol,5,FALSE())),0,VLOOKUP(B127,SplitVol,5,FALSE()))</f>
        <v>24</v>
      </c>
      <c r="T127" s="84" t="n">
        <f aca="false">+S127*L127</f>
        <v>58.08</v>
      </c>
      <c r="U127" s="79" t="n">
        <f aca="false">IF(ISNA(VLOOKUP(B127,SplitVol,6,FALSE())),0,VLOOKUP(B127,SplitVol,6,FALSE()))</f>
        <v>0</v>
      </c>
      <c r="V127" s="84" t="n">
        <f aca="false">+U127*L127</f>
        <v>0</v>
      </c>
      <c r="W127" s="85" t="str">
        <f aca="false">IF(ISBLANK(VLOOKUP(B127,EffDate,4,FALSE())),"na",VLOOKUP(B127,EffDate,4,FALSE()))</f>
        <v>na</v>
      </c>
      <c r="X127" s="86" t="n">
        <f aca="false">+M127-S127-U127</f>
        <v>0</v>
      </c>
    </row>
    <row r="128" customFormat="false" ht="15" hidden="false" customHeight="true" outlineLevel="0" collapsed="false">
      <c r="A128" s="124" t="s">
        <v>136</v>
      </c>
      <c r="B128" s="124" t="s">
        <v>178</v>
      </c>
      <c r="C128" s="124" t="n">
        <v>2151401</v>
      </c>
      <c r="D128" s="4" t="s">
        <v>174</v>
      </c>
      <c r="E128" s="72" t="s">
        <v>517</v>
      </c>
      <c r="F128" s="124"/>
      <c r="G128" s="124"/>
      <c r="H128" s="124"/>
      <c r="I128" s="124" t="s">
        <v>537</v>
      </c>
      <c r="J128" s="125" t="str">
        <f aca="false">IF(ISNA(VLOOKUP(B128,cngdata,7,FALSE())),"na",VLOOKUP(B128,cngdata,7,FALSE()))</f>
        <v>GD</v>
      </c>
      <c r="K128" s="79" t="n">
        <f aca="false">IF(ISNA(VLOOKUP(B128,cngdata,13,FALSE())),"na",VLOOKUP(B128,cngdata,13,FALSE()))</f>
        <v>0</v>
      </c>
      <c r="L128" s="119" t="n">
        <f aca="false">$L$2</f>
        <v>2.42</v>
      </c>
      <c r="M128" s="79" t="n">
        <f aca="false">IF(ISNA(VLOOKUP(B128,cngdata,14,FALSE())),0,VLOOKUP(B128,cngdata,14,FALSE()))</f>
        <v>568</v>
      </c>
      <c r="O128" s="81" t="n">
        <v>0</v>
      </c>
      <c r="P128" s="82" t="n">
        <f aca="false">L128-O128</f>
        <v>2.42</v>
      </c>
      <c r="Q128" s="83" t="n">
        <f aca="false">M128*P128</f>
        <v>1374.56</v>
      </c>
      <c r="R128" s="74"/>
      <c r="S128" s="79" t="n">
        <f aca="false">IF(ISNA(VLOOKUP(B128,SplitVol,5,FALSE())),0,VLOOKUP(B128,SplitVol,5,FALSE()))</f>
        <v>568</v>
      </c>
      <c r="T128" s="84" t="n">
        <f aca="false">+S128*L128</f>
        <v>1374.56</v>
      </c>
      <c r="U128" s="79" t="n">
        <f aca="false">IF(ISNA(VLOOKUP(B128,SplitVol,6,FALSE())),0,VLOOKUP(B128,SplitVol,6,FALSE()))</f>
        <v>0</v>
      </c>
      <c r="V128" s="84" t="n">
        <f aca="false">+U128*L128</f>
        <v>0</v>
      </c>
      <c r="W128" s="85" t="str">
        <f aca="false">IF(ISBLANK(VLOOKUP(B128,EffDate,4,FALSE())),"na",VLOOKUP(B128,EffDate,4,FALSE()))</f>
        <v>na</v>
      </c>
      <c r="X128" s="86" t="n">
        <f aca="false">+M128-S128-U128</f>
        <v>0</v>
      </c>
    </row>
    <row r="129" customFormat="false" ht="15" hidden="false" customHeight="true" outlineLevel="0" collapsed="false">
      <c r="A129" s="124" t="s">
        <v>136</v>
      </c>
      <c r="B129" s="124" t="s">
        <v>177</v>
      </c>
      <c r="C129" s="124" t="n">
        <v>2053201</v>
      </c>
      <c r="D129" s="4" t="s">
        <v>174</v>
      </c>
      <c r="E129" s="72" t="s">
        <v>517</v>
      </c>
      <c r="F129" s="124"/>
      <c r="G129" s="124"/>
      <c r="H129" s="124"/>
      <c r="I129" s="124" t="s">
        <v>537</v>
      </c>
      <c r="J129" s="125" t="str">
        <f aca="false">IF(ISNA(VLOOKUP(B129,cngdata,7,FALSE())),"na",VLOOKUP(B129,cngdata,7,FALSE()))</f>
        <v>GD</v>
      </c>
      <c r="K129" s="79" t="n">
        <f aca="false">IF(ISNA(VLOOKUP(B129,cngdata,13,FALSE())),"na",VLOOKUP(B129,cngdata,13,FALSE()))</f>
        <v>0</v>
      </c>
      <c r="L129" s="119" t="n">
        <f aca="false">$L$2</f>
        <v>2.42</v>
      </c>
      <c r="M129" s="79" t="n">
        <f aca="false">IF(ISNA(VLOOKUP(B129,cngdata,14,FALSE())),0,VLOOKUP(B129,cngdata,14,FALSE()))</f>
        <v>0</v>
      </c>
      <c r="O129" s="81" t="n">
        <v>0</v>
      </c>
      <c r="P129" s="82" t="n">
        <f aca="false">L129-O129</f>
        <v>2.42</v>
      </c>
      <c r="Q129" s="83" t="n">
        <f aca="false">M129*P129</f>
        <v>0</v>
      </c>
      <c r="R129" s="74"/>
      <c r="S129" s="79" t="n">
        <f aca="false">IF(ISNA(VLOOKUP(B129,SplitVol,5,FALSE())),0,VLOOKUP(B129,SplitVol,5,FALSE()))</f>
        <v>0</v>
      </c>
      <c r="T129" s="84" t="n">
        <f aca="false">+S129*L129</f>
        <v>0</v>
      </c>
      <c r="U129" s="79" t="n">
        <f aca="false">IF(ISNA(VLOOKUP(B129,SplitVol,6,FALSE())),0,VLOOKUP(B129,SplitVol,6,FALSE()))</f>
        <v>0</v>
      </c>
      <c r="V129" s="84" t="n">
        <f aca="false">+U129*L129</f>
        <v>0</v>
      </c>
      <c r="W129" s="85" t="str">
        <f aca="false">IF(ISBLANK(VLOOKUP(B129,EffDate,4,FALSE())),"na",VLOOKUP(B129,EffDate,4,FALSE()))</f>
        <v>na</v>
      </c>
      <c r="X129" s="86" t="n">
        <f aca="false">+M129-S129-U129</f>
        <v>0</v>
      </c>
    </row>
    <row r="130" customFormat="false" ht="15" hidden="false" customHeight="true" outlineLevel="0" collapsed="false">
      <c r="A130" s="124" t="s">
        <v>136</v>
      </c>
      <c r="B130" s="124" t="s">
        <v>176</v>
      </c>
      <c r="C130" s="124" t="n">
        <v>2052901</v>
      </c>
      <c r="D130" s="4" t="s">
        <v>174</v>
      </c>
      <c r="E130" s="72" t="s">
        <v>517</v>
      </c>
      <c r="F130" s="124"/>
      <c r="G130" s="124"/>
      <c r="H130" s="124"/>
      <c r="I130" s="124" t="s">
        <v>537</v>
      </c>
      <c r="J130" s="125" t="str">
        <f aca="false">IF(ISNA(VLOOKUP(B130,cngdata,7,FALSE())),"na",VLOOKUP(B130,cngdata,7,FALSE()))</f>
        <v>GD</v>
      </c>
      <c r="K130" s="79" t="n">
        <f aca="false">IF(ISNA(VLOOKUP(B130,cngdata,13,FALSE())),"na",VLOOKUP(B130,cngdata,13,FALSE()))</f>
        <v>0</v>
      </c>
      <c r="L130" s="119" t="n">
        <f aca="false">$L$2</f>
        <v>2.42</v>
      </c>
      <c r="M130" s="79" t="n">
        <f aca="false">IF(ISNA(VLOOKUP(B130,cngdata,14,FALSE())),0,VLOOKUP(B130,cngdata,14,FALSE()))</f>
        <v>0</v>
      </c>
      <c r="O130" s="81" t="n">
        <v>0</v>
      </c>
      <c r="P130" s="82" t="n">
        <f aca="false">L130-O130</f>
        <v>2.42</v>
      </c>
      <c r="Q130" s="83" t="n">
        <f aca="false">M130*P130</f>
        <v>0</v>
      </c>
      <c r="R130" s="74"/>
      <c r="S130" s="79" t="n">
        <f aca="false">IF(ISNA(VLOOKUP(B130,SplitVol,5,FALSE())),0,VLOOKUP(B130,SplitVol,5,FALSE()))</f>
        <v>0</v>
      </c>
      <c r="T130" s="84" t="n">
        <f aca="false">+S130*L130</f>
        <v>0</v>
      </c>
      <c r="U130" s="79" t="n">
        <f aca="false">IF(ISNA(VLOOKUP(B130,SplitVol,6,FALSE())),0,VLOOKUP(B130,SplitVol,6,FALSE()))</f>
        <v>0</v>
      </c>
      <c r="V130" s="84" t="n">
        <f aca="false">+U130*L130</f>
        <v>0</v>
      </c>
      <c r="W130" s="85" t="str">
        <f aca="false">IF(ISBLANK(VLOOKUP(B130,EffDate,4,FALSE())),"na",VLOOKUP(B130,EffDate,4,FALSE()))</f>
        <v>na</v>
      </c>
      <c r="X130" s="86" t="n">
        <f aca="false">+M130-S130-U130</f>
        <v>0</v>
      </c>
    </row>
    <row r="131" customFormat="false" ht="15" hidden="false" customHeight="true" outlineLevel="0" collapsed="false">
      <c r="A131" s="4" t="s">
        <v>104</v>
      </c>
      <c r="B131" s="77" t="s">
        <v>181</v>
      </c>
      <c r="C131" s="4" t="s">
        <v>182</v>
      </c>
      <c r="D131" s="4" t="s">
        <v>180</v>
      </c>
      <c r="E131" s="72" t="s">
        <v>517</v>
      </c>
      <c r="F131" s="4"/>
      <c r="G131" s="78"/>
      <c r="H131" s="78"/>
      <c r="I131" s="78"/>
      <c r="J131" s="79" t="str">
        <f aca="false">IF(ISNA(VLOOKUP(B131,cngdata,7,FALSE())),"na",VLOOKUP(B131,cngdata,7,FALSE()))</f>
        <v>TW</v>
      </c>
      <c r="K131" s="79" t="n">
        <f aca="false">IF(ISNA(VLOOKUP(B131,cngdata,13,FALSE())),"na",VLOOKUP(B131,cngdata,13,FALSE()))</f>
        <v>1239</v>
      </c>
      <c r="L131" s="80"/>
      <c r="M131" s="79" t="n">
        <f aca="false">IF(ISNA(VLOOKUP(B131,cngdata,14,FALSE())),0,VLOOKUP(B131,cngdata,14,FALSE()))</f>
        <v>1507</v>
      </c>
      <c r="O131" s="81" t="n">
        <v>0</v>
      </c>
      <c r="P131" s="82" t="n">
        <f aca="false">L131-O131</f>
        <v>0</v>
      </c>
      <c r="Q131" s="83" t="n">
        <f aca="false">M131*P131</f>
        <v>0</v>
      </c>
      <c r="R131" s="74"/>
      <c r="S131" s="79" t="n">
        <f aca="false">IF(ISNA(VLOOKUP(B131,SplitVol,5,FALSE())),0,VLOOKUP(B131,SplitVol,5,FALSE()))</f>
        <v>98</v>
      </c>
      <c r="T131" s="84" t="n">
        <f aca="false">+S131*L131</f>
        <v>0</v>
      </c>
      <c r="U131" s="79" t="n">
        <f aca="false">IF(ISNA(VLOOKUP(B131,SplitVol,6,FALSE())),0,VLOOKUP(B131,SplitVol,6,FALSE()))</f>
        <v>1409</v>
      </c>
      <c r="V131" s="84" t="n">
        <f aca="false">+U131*L131</f>
        <v>0</v>
      </c>
      <c r="W131" s="85" t="str">
        <f aca="false">IF(ISBLANK(VLOOKUP(B131,EffDate,4,FALSE())),"na",VLOOKUP(B131,EffDate,4,FALSE()))</f>
        <v>na</v>
      </c>
      <c r="X131" s="86" t="n">
        <f aca="false">+M131-S131-U131</f>
        <v>0</v>
      </c>
    </row>
    <row r="132" customFormat="false" ht="15" hidden="false" customHeight="true" outlineLevel="0" collapsed="false">
      <c r="A132" s="4" t="s">
        <v>183</v>
      </c>
      <c r="B132" s="77" t="s">
        <v>184</v>
      </c>
      <c r="C132" s="4" t="s">
        <v>185</v>
      </c>
      <c r="D132" s="4" t="s">
        <v>180</v>
      </c>
      <c r="E132" s="72" t="s">
        <v>517</v>
      </c>
      <c r="F132" s="4"/>
      <c r="G132" s="78"/>
      <c r="H132" s="78"/>
      <c r="I132" s="78"/>
      <c r="J132" s="79" t="str">
        <f aca="false">IF(ISNA(VLOOKUP(B132,cngdata,7,FALSE())),"na",VLOOKUP(B132,cngdata,7,FALSE()))</f>
        <v>TD</v>
      </c>
      <c r="K132" s="79" t="n">
        <f aca="false">IF(ISNA(VLOOKUP(B132,cngdata,13,FALSE())),"na",VLOOKUP(B132,cngdata,13,FALSE()))</f>
        <v>85</v>
      </c>
      <c r="L132" s="80"/>
      <c r="M132" s="79" t="n">
        <f aca="false">IF(ISNA(VLOOKUP(B132,cngdata,14,FALSE())),0,VLOOKUP(B132,cngdata,14,FALSE()))</f>
        <v>94</v>
      </c>
      <c r="O132" s="81" t="n">
        <v>0</v>
      </c>
      <c r="P132" s="82" t="n">
        <f aca="false">L132-O132</f>
        <v>0</v>
      </c>
      <c r="Q132" s="83" t="n">
        <f aca="false">M132*P132</f>
        <v>0</v>
      </c>
      <c r="R132" s="74"/>
      <c r="S132" s="79" t="n">
        <f aca="false">IF(ISNA(VLOOKUP(B132,SplitVol,5,FALSE())),0,VLOOKUP(B132,SplitVol,5,FALSE()))</f>
        <v>7</v>
      </c>
      <c r="T132" s="84" t="n">
        <f aca="false">+S132*L132</f>
        <v>0</v>
      </c>
      <c r="U132" s="79" t="n">
        <f aca="false">IF(ISNA(VLOOKUP(B132,SplitVol,6,FALSE())),0,VLOOKUP(B132,SplitVol,6,FALSE()))</f>
        <v>87</v>
      </c>
      <c r="V132" s="84" t="n">
        <f aca="false">+U132*L132</f>
        <v>0</v>
      </c>
      <c r="W132" s="85" t="str">
        <f aca="false">IF(ISBLANK(VLOOKUP(B132,EffDate,4,FALSE())),"na",VLOOKUP(B132,EffDate,4,FALSE()))</f>
        <v>na</v>
      </c>
      <c r="X132" s="86" t="n">
        <f aca="false">+M132-S132-U132</f>
        <v>0</v>
      </c>
    </row>
    <row r="133" customFormat="false" ht="15" hidden="false" customHeight="true" outlineLevel="0" collapsed="false">
      <c r="A133" s="4" t="s">
        <v>26</v>
      </c>
      <c r="B133" s="77" t="s">
        <v>179</v>
      </c>
      <c r="C133" s="4" t="s">
        <v>26</v>
      </c>
      <c r="D133" s="4" t="s">
        <v>180</v>
      </c>
      <c r="E133" s="72" t="s">
        <v>517</v>
      </c>
      <c r="F133" s="4"/>
      <c r="G133" s="78"/>
      <c r="H133" s="78"/>
      <c r="I133" s="78"/>
      <c r="J133" s="79" t="str">
        <f aca="false">IF(ISNA(VLOOKUP(B133,cngdata,7,FALSE())),"na",VLOOKUP(B133,cngdata,7,FALSE()))</f>
        <v>na</v>
      </c>
      <c r="K133" s="79" t="str">
        <f aca="false">IF(ISNA(VLOOKUP(B133,cngdata,13,FALSE())),"na",VLOOKUP(B133,cngdata,13,FALSE()))</f>
        <v>na</v>
      </c>
      <c r="L133" s="80"/>
      <c r="M133" s="79" t="n">
        <f aca="false">IF(ISNA(VLOOKUP(B133,cngdata,14,FALSE())),0,VLOOKUP(B133,cngdata,14,FALSE()))</f>
        <v>0</v>
      </c>
      <c r="O133" s="81" t="n">
        <v>0</v>
      </c>
      <c r="P133" s="82" t="n">
        <f aca="false">L133-O133</f>
        <v>0</v>
      </c>
      <c r="Q133" s="83" t="n">
        <f aca="false">M133*P133</f>
        <v>0</v>
      </c>
      <c r="R133" s="74"/>
      <c r="S133" s="79" t="n">
        <f aca="false">IF(ISNA(VLOOKUP(B133,SplitVol,5,FALSE())),0,VLOOKUP(B133,SplitVol,5,FALSE()))</f>
        <v>0</v>
      </c>
      <c r="T133" s="84" t="n">
        <f aca="false">+S133*L133</f>
        <v>0</v>
      </c>
      <c r="U133" s="79" t="n">
        <f aca="false">IF(ISNA(VLOOKUP(B133,SplitVol,6,FALSE())),0,VLOOKUP(B133,SplitVol,6,FALSE()))</f>
        <v>0</v>
      </c>
      <c r="V133" s="84" t="n">
        <f aca="false">+U133*L133</f>
        <v>0</v>
      </c>
      <c r="W133" s="85" t="str">
        <f aca="false">IF(ISBLANK(VLOOKUP(B133,EffDate,4,FALSE())),"na",VLOOKUP(B133,EffDate,4,FALSE()))</f>
        <v>na</v>
      </c>
      <c r="X133" s="86" t="n">
        <f aca="false">+M133-S133-U133</f>
        <v>0</v>
      </c>
    </row>
    <row r="134" customFormat="false" ht="15" hidden="false" customHeight="true" outlineLevel="0" collapsed="false">
      <c r="A134" s="4" t="s">
        <v>26</v>
      </c>
      <c r="B134" s="77" t="s">
        <v>186</v>
      </c>
      <c r="C134" s="4" t="s">
        <v>26</v>
      </c>
      <c r="D134" s="4" t="s">
        <v>187</v>
      </c>
      <c r="E134" s="72" t="s">
        <v>517</v>
      </c>
      <c r="F134" s="4"/>
      <c r="G134" s="78"/>
      <c r="H134" s="78"/>
      <c r="I134" s="78"/>
      <c r="J134" s="79" t="str">
        <f aca="false">IF(ISNA(VLOOKUP(B134,cngdata,7,FALSE())),"na",VLOOKUP(B134,cngdata,7,FALSE()))</f>
        <v>TW</v>
      </c>
      <c r="K134" s="79" t="n">
        <f aca="false">IF(ISNA(VLOOKUP(B134,cngdata,13,FALSE())),"na",VLOOKUP(B134,cngdata,13,FALSE()))</f>
        <v>135</v>
      </c>
      <c r="L134" s="80"/>
      <c r="M134" s="79" t="n">
        <f aca="false">IF(ISNA(VLOOKUP(B134,cngdata,14,FALSE())),0,VLOOKUP(B134,cngdata,14,FALSE()))</f>
        <v>156</v>
      </c>
      <c r="O134" s="81" t="n">
        <v>0</v>
      </c>
      <c r="P134" s="82" t="n">
        <f aca="false">L134-O134</f>
        <v>0</v>
      </c>
      <c r="Q134" s="83" t="n">
        <f aca="false">M134*P134</f>
        <v>0</v>
      </c>
      <c r="R134" s="74"/>
      <c r="S134" s="79" t="n">
        <f aca="false">IF(ISNA(VLOOKUP(B134,SplitVol,5,FALSE())),0,VLOOKUP(B134,SplitVol,5,FALSE()))</f>
        <v>12</v>
      </c>
      <c r="T134" s="84" t="n">
        <f aca="false">+S134*L134</f>
        <v>0</v>
      </c>
      <c r="U134" s="79" t="n">
        <f aca="false">IF(ISNA(VLOOKUP(B134,SplitVol,6,FALSE())),0,VLOOKUP(B134,SplitVol,6,FALSE()))</f>
        <v>144</v>
      </c>
      <c r="V134" s="84" t="n">
        <f aca="false">+U134*L134</f>
        <v>0</v>
      </c>
      <c r="W134" s="85" t="str">
        <f aca="false">IF(ISBLANK(VLOOKUP(B134,EffDate,4,FALSE())),"na",VLOOKUP(B134,EffDate,4,FALSE()))</f>
        <v>na</v>
      </c>
      <c r="X134" s="86" t="n">
        <f aca="false">+M134-S134-U134</f>
        <v>0</v>
      </c>
    </row>
    <row r="135" customFormat="false" ht="15" hidden="false" customHeight="true" outlineLevel="0" collapsed="false">
      <c r="A135" s="4" t="s">
        <v>26</v>
      </c>
      <c r="B135" s="8" t="s">
        <v>188</v>
      </c>
      <c r="C135" s="4" t="s">
        <v>26</v>
      </c>
      <c r="D135" s="8" t="s">
        <v>189</v>
      </c>
      <c r="E135" s="72" t="s">
        <v>517</v>
      </c>
      <c r="F135" s="8"/>
      <c r="G135" s="8" t="n">
        <v>27274</v>
      </c>
      <c r="H135" s="8" t="s">
        <v>569</v>
      </c>
      <c r="I135" s="8" t="s">
        <v>570</v>
      </c>
      <c r="J135" s="79" t="str">
        <f aca="false">IF(ISNA(VLOOKUP(B135,cngdata,7,FALSE())),"na",VLOOKUP(B135,cngdata,7,FALSE()))</f>
        <v>na</v>
      </c>
      <c r="K135" s="79" t="str">
        <f aca="false">IF(ISNA(VLOOKUP(B135,cngdata,13,FALSE())),"na",VLOOKUP(B135,cngdata,13,FALSE()))</f>
        <v>na</v>
      </c>
      <c r="L135" s="80" t="n">
        <f aca="false">L$2</f>
        <v>2.42</v>
      </c>
      <c r="M135" s="79" t="n">
        <f aca="false">IF(ISNA(VLOOKUP(B135,cngdata,14,FALSE())),0,VLOOKUP(B135,cngdata,14,FALSE()))</f>
        <v>0</v>
      </c>
      <c r="O135" s="81" t="n">
        <v>0</v>
      </c>
      <c r="P135" s="126" t="n">
        <f aca="false">L135-O135</f>
        <v>2.42</v>
      </c>
      <c r="Q135" s="127" t="n">
        <f aca="false">M135*P135</f>
        <v>0</v>
      </c>
      <c r="R135" s="98"/>
      <c r="S135" s="79" t="n">
        <f aca="false">IF(ISNA(VLOOKUP(B135,SplitVol,5,FALSE())),0,VLOOKUP(B135,SplitVol,5,FALSE()))</f>
        <v>0</v>
      </c>
      <c r="T135" s="84" t="n">
        <f aca="false">+S135*L135</f>
        <v>0</v>
      </c>
      <c r="U135" s="79" t="n">
        <f aca="false">IF(ISNA(VLOOKUP(B135,SplitVol,6,FALSE())),0,VLOOKUP(B135,SplitVol,6,FALSE()))</f>
        <v>0</v>
      </c>
      <c r="V135" s="84" t="n">
        <f aca="false">+U135*L135</f>
        <v>0</v>
      </c>
      <c r="W135" s="85" t="str">
        <f aca="false">IF(ISBLANK(VLOOKUP(B135,EffDate,4,FALSE())),"na",VLOOKUP(B135,EffDate,4,FALSE()))</f>
        <v>na</v>
      </c>
      <c r="X135" s="86" t="n">
        <f aca="false">+M135-S135-U135</f>
        <v>0</v>
      </c>
    </row>
    <row r="136" customFormat="false" ht="15" hidden="false" customHeight="true" outlineLevel="0" collapsed="false">
      <c r="A136" s="4" t="s">
        <v>26</v>
      </c>
      <c r="B136" s="8" t="s">
        <v>190</v>
      </c>
      <c r="C136" s="4" t="s">
        <v>26</v>
      </c>
      <c r="D136" s="8" t="s">
        <v>189</v>
      </c>
      <c r="E136" s="72" t="s">
        <v>517</v>
      </c>
      <c r="F136" s="8"/>
      <c r="G136" s="8" t="n">
        <v>27274</v>
      </c>
      <c r="H136" s="8" t="s">
        <v>569</v>
      </c>
      <c r="I136" s="8" t="s">
        <v>570</v>
      </c>
      <c r="J136" s="79" t="str">
        <f aca="false">IF(ISNA(VLOOKUP(B136,cngdata,7,FALSE())),"na",VLOOKUP(B136,cngdata,7,FALSE()))</f>
        <v>na</v>
      </c>
      <c r="K136" s="79" t="str">
        <f aca="false">IF(ISNA(VLOOKUP(B136,cngdata,13,FALSE())),"na",VLOOKUP(B136,cngdata,13,FALSE()))</f>
        <v>na</v>
      </c>
      <c r="L136" s="80" t="n">
        <f aca="false">L$2</f>
        <v>2.42</v>
      </c>
      <c r="M136" s="79" t="n">
        <f aca="false">IF(ISNA(VLOOKUP(B136,cngdata,14,FALSE())),0,VLOOKUP(B136,cngdata,14,FALSE()))</f>
        <v>0</v>
      </c>
      <c r="O136" s="81" t="n">
        <v>0</v>
      </c>
      <c r="P136" s="126" t="n">
        <f aca="false">L136-O136</f>
        <v>2.42</v>
      </c>
      <c r="Q136" s="127" t="n">
        <f aca="false">M136*P136</f>
        <v>0</v>
      </c>
      <c r="R136" s="98"/>
      <c r="S136" s="79" t="n">
        <f aca="false">IF(ISNA(VLOOKUP(B136,SplitVol,5,FALSE())),0,VLOOKUP(B136,SplitVol,5,FALSE()))</f>
        <v>0</v>
      </c>
      <c r="T136" s="84" t="n">
        <f aca="false">+S136*L136</f>
        <v>0</v>
      </c>
      <c r="U136" s="79" t="n">
        <f aca="false">IF(ISNA(VLOOKUP(B136,SplitVol,6,FALSE())),0,VLOOKUP(B136,SplitVol,6,FALSE()))</f>
        <v>0</v>
      </c>
      <c r="V136" s="84" t="n">
        <f aca="false">+U136*L136</f>
        <v>0</v>
      </c>
      <c r="W136" s="85" t="str">
        <f aca="false">IF(ISBLANK(VLOOKUP(B136,EffDate,4,FALSE())),"na",VLOOKUP(B136,EffDate,4,FALSE()))</f>
        <v>na</v>
      </c>
      <c r="X136" s="86" t="n">
        <f aca="false">+M136-S136-U136</f>
        <v>0</v>
      </c>
    </row>
    <row r="137" customFormat="false" ht="15" hidden="false" customHeight="true" outlineLevel="0" collapsed="false">
      <c r="A137" s="4" t="s">
        <v>5</v>
      </c>
      <c r="B137" s="77" t="s">
        <v>208</v>
      </c>
      <c r="C137" s="4" t="n">
        <v>4362901</v>
      </c>
      <c r="D137" s="128" t="s">
        <v>192</v>
      </c>
      <c r="E137" s="91" t="n">
        <v>37254</v>
      </c>
      <c r="F137" s="129"/>
      <c r="G137" s="102" t="n">
        <v>27292</v>
      </c>
      <c r="H137" s="102" t="s">
        <v>571</v>
      </c>
      <c r="I137" s="105" t="s">
        <v>570</v>
      </c>
      <c r="J137" s="103" t="str">
        <f aca="false">IF(ISNA(VLOOKUP(B137,cngdata,7,FALSE())),"na",VLOOKUP(B137,cngdata,7,FALSE()))</f>
        <v>GW</v>
      </c>
      <c r="K137" s="79" t="n">
        <f aca="false">IF(ISNA(VLOOKUP(B137,cngdata,13,FALSE())),"na",VLOOKUP(B137,cngdata,13,FALSE()))</f>
        <v>164</v>
      </c>
      <c r="L137" s="130" t="n">
        <f aca="false">+CNGPricing!$H$102</f>
        <v>2.42</v>
      </c>
      <c r="M137" s="79" t="n">
        <f aca="false">IF(ISNA(VLOOKUP(B137,cngdata,14,FALSE())),0,VLOOKUP(B137,cngdata,14,FALSE()))</f>
        <v>190</v>
      </c>
      <c r="O137" s="81" t="n">
        <v>0</v>
      </c>
      <c r="P137" s="82" t="n">
        <f aca="false">L137-O137</f>
        <v>2.42</v>
      </c>
      <c r="Q137" s="131" t="n">
        <f aca="false">M137*P137</f>
        <v>459.8</v>
      </c>
      <c r="R137" s="74"/>
      <c r="S137" s="79" t="n">
        <f aca="false">IF(ISNA(VLOOKUP(B137,SplitVol,5,FALSE())),0,VLOOKUP(B137,SplitVol,5,FALSE()))</f>
        <v>0</v>
      </c>
      <c r="T137" s="84" t="n">
        <f aca="false">+S137*L137</f>
        <v>0</v>
      </c>
      <c r="U137" s="79" t="n">
        <f aca="false">IF(ISNA(VLOOKUP(B137,SplitVol,6,FALSE())),0,VLOOKUP(B137,SplitVol,6,FALSE()))</f>
        <v>190</v>
      </c>
      <c r="V137" s="84" t="n">
        <f aca="false">+U137*L137</f>
        <v>459.8</v>
      </c>
      <c r="W137" s="85" t="n">
        <f aca="false">IF(ISBLANK(VLOOKUP(B137,EffDate,4,FALSE())),"na",VLOOKUP(B137,EffDate,4,FALSE()))</f>
        <v>37254</v>
      </c>
      <c r="X137" s="86" t="n">
        <f aca="false">+M137-S137-U137</f>
        <v>0</v>
      </c>
    </row>
    <row r="138" customFormat="false" ht="15" hidden="false" customHeight="true" outlineLevel="0" collapsed="false">
      <c r="A138" s="4" t="s">
        <v>5</v>
      </c>
      <c r="B138" s="77" t="s">
        <v>196</v>
      </c>
      <c r="C138" s="4" t="n">
        <v>3553701</v>
      </c>
      <c r="D138" s="128" t="s">
        <v>192</v>
      </c>
      <c r="E138" s="91" t="n">
        <v>37254</v>
      </c>
      <c r="F138" s="129"/>
      <c r="G138" s="102" t="n">
        <v>27292</v>
      </c>
      <c r="H138" s="102" t="s">
        <v>525</v>
      </c>
      <c r="I138" s="105" t="s">
        <v>570</v>
      </c>
      <c r="J138" s="103" t="str">
        <f aca="false">IF(ISNA(VLOOKUP(B138,cngdata,7,FALSE())),"na",VLOOKUP(B138,cngdata,7,FALSE()))</f>
        <v>GW</v>
      </c>
      <c r="K138" s="79" t="n">
        <f aca="false">IF(ISNA(VLOOKUP(B138,cngdata,13,FALSE())),"na",VLOOKUP(B138,cngdata,13,FALSE()))</f>
        <v>0</v>
      </c>
      <c r="L138" s="130" t="n">
        <f aca="false">+CNGPricing!$H$102</f>
        <v>2.42</v>
      </c>
      <c r="M138" s="79" t="n">
        <f aca="false">IF(ISNA(VLOOKUP(B138,cngdata,14,FALSE())),0,VLOOKUP(B138,cngdata,14,FALSE()))</f>
        <v>0</v>
      </c>
      <c r="O138" s="81" t="n">
        <v>0</v>
      </c>
      <c r="P138" s="82" t="n">
        <f aca="false">L138-O138</f>
        <v>2.42</v>
      </c>
      <c r="Q138" s="131" t="n">
        <f aca="false">M138*P138</f>
        <v>0</v>
      </c>
      <c r="R138" s="74"/>
      <c r="S138" s="79" t="n">
        <f aca="false">IF(ISNA(VLOOKUP(B138,SplitVol,5,FALSE())),0,VLOOKUP(B138,SplitVol,5,FALSE()))</f>
        <v>0</v>
      </c>
      <c r="T138" s="84" t="n">
        <f aca="false">+S138*L138</f>
        <v>0</v>
      </c>
      <c r="U138" s="79" t="n">
        <f aca="false">IF(ISNA(VLOOKUP(B138,SplitVol,6,FALSE())),0,VLOOKUP(B138,SplitVol,6,FALSE()))</f>
        <v>0</v>
      </c>
      <c r="V138" s="84" t="n">
        <f aca="false">+U138*L138</f>
        <v>0</v>
      </c>
      <c r="W138" s="85" t="n">
        <f aca="false">IF(ISBLANK(VLOOKUP(B138,EffDate,4,FALSE())),"na",VLOOKUP(B138,EffDate,4,FALSE()))</f>
        <v>37254</v>
      </c>
      <c r="X138" s="86" t="n">
        <f aca="false">+M138-S138-U138</f>
        <v>0</v>
      </c>
    </row>
    <row r="139" customFormat="false" ht="15" hidden="false" customHeight="true" outlineLevel="0" collapsed="false">
      <c r="A139" s="4" t="s">
        <v>5</v>
      </c>
      <c r="B139" s="77" t="s">
        <v>197</v>
      </c>
      <c r="C139" s="4" t="n">
        <v>3558301</v>
      </c>
      <c r="D139" s="128" t="s">
        <v>192</v>
      </c>
      <c r="E139" s="91" t="n">
        <v>37254</v>
      </c>
      <c r="F139" s="129"/>
      <c r="G139" s="102" t="n">
        <v>27292</v>
      </c>
      <c r="H139" s="102" t="s">
        <v>525</v>
      </c>
      <c r="I139" s="105" t="s">
        <v>570</v>
      </c>
      <c r="J139" s="103" t="str">
        <f aca="false">IF(ISNA(VLOOKUP(B139,cngdata,7,FALSE())),"na",VLOOKUP(B139,cngdata,7,FALSE()))</f>
        <v>GW</v>
      </c>
      <c r="K139" s="79" t="n">
        <f aca="false">IF(ISNA(VLOOKUP(B139,cngdata,13,FALSE())),"na",VLOOKUP(B139,cngdata,13,FALSE()))</f>
        <v>224</v>
      </c>
      <c r="L139" s="130" t="n">
        <f aca="false">+CNGPricing!$H$102</f>
        <v>2.42</v>
      </c>
      <c r="M139" s="79" t="n">
        <f aca="false">IF(ISNA(VLOOKUP(B139,cngdata,14,FALSE())),0,VLOOKUP(B139,cngdata,14,FALSE()))</f>
        <v>248</v>
      </c>
      <c r="O139" s="81" t="n">
        <v>0</v>
      </c>
      <c r="P139" s="82" t="n">
        <f aca="false">L139-O139</f>
        <v>2.42</v>
      </c>
      <c r="Q139" s="131" t="n">
        <f aca="false">M139*P139</f>
        <v>600.16</v>
      </c>
      <c r="R139" s="74"/>
      <c r="S139" s="79" t="n">
        <f aca="false">IF(ISNA(VLOOKUP(B139,SplitVol,5,FALSE())),0,VLOOKUP(B139,SplitVol,5,FALSE()))</f>
        <v>0</v>
      </c>
      <c r="T139" s="84" t="n">
        <f aca="false">+S139*L139</f>
        <v>0</v>
      </c>
      <c r="U139" s="79" t="n">
        <f aca="false">IF(ISNA(VLOOKUP(B139,SplitVol,6,FALSE())),0,VLOOKUP(B139,SplitVol,6,FALSE()))</f>
        <v>248</v>
      </c>
      <c r="V139" s="84" t="n">
        <f aca="false">+U139*L139</f>
        <v>600.16</v>
      </c>
      <c r="W139" s="85" t="n">
        <f aca="false">IF(ISBLANK(VLOOKUP(B139,EffDate,4,FALSE())),"na",VLOOKUP(B139,EffDate,4,FALSE()))</f>
        <v>37254</v>
      </c>
      <c r="X139" s="86" t="n">
        <f aca="false">+M139-S139-U139</f>
        <v>0</v>
      </c>
    </row>
    <row r="140" customFormat="false" ht="15" hidden="false" customHeight="true" outlineLevel="0" collapsed="false">
      <c r="A140" s="4" t="s">
        <v>5</v>
      </c>
      <c r="B140" s="77" t="s">
        <v>199</v>
      </c>
      <c r="C140" s="4" t="n">
        <v>4333501</v>
      </c>
      <c r="D140" s="128" t="s">
        <v>192</v>
      </c>
      <c r="E140" s="91" t="n">
        <v>37254</v>
      </c>
      <c r="F140" s="129"/>
      <c r="G140" s="102" t="n">
        <v>27292</v>
      </c>
      <c r="H140" s="102" t="s">
        <v>525</v>
      </c>
      <c r="I140" s="105" t="s">
        <v>570</v>
      </c>
      <c r="J140" s="103" t="str">
        <f aca="false">IF(ISNA(VLOOKUP(B140,cngdata,7,FALSE())),"na",VLOOKUP(B140,cngdata,7,FALSE()))</f>
        <v>GW</v>
      </c>
      <c r="K140" s="79" t="n">
        <f aca="false">IF(ISNA(VLOOKUP(B140,cngdata,13,FALSE())),"na",VLOOKUP(B140,cngdata,13,FALSE()))</f>
        <v>0</v>
      </c>
      <c r="L140" s="130" t="n">
        <f aca="false">+CNGPricing!$H$102</f>
        <v>2.42</v>
      </c>
      <c r="M140" s="79" t="n">
        <f aca="false">IF(ISNA(VLOOKUP(B140,cngdata,14,FALSE())),0,VLOOKUP(B140,cngdata,14,FALSE()))</f>
        <v>0</v>
      </c>
      <c r="O140" s="81" t="n">
        <v>0</v>
      </c>
      <c r="P140" s="82" t="n">
        <f aca="false">L140-O140</f>
        <v>2.42</v>
      </c>
      <c r="Q140" s="131" t="n">
        <f aca="false">M140*P140</f>
        <v>0</v>
      </c>
      <c r="R140" s="74"/>
      <c r="S140" s="79" t="n">
        <f aca="false">IF(ISNA(VLOOKUP(B140,SplitVol,5,FALSE())),0,VLOOKUP(B140,SplitVol,5,FALSE()))</f>
        <v>0</v>
      </c>
      <c r="T140" s="84" t="n">
        <f aca="false">+S140*L140</f>
        <v>0</v>
      </c>
      <c r="U140" s="79" t="n">
        <f aca="false">IF(ISNA(VLOOKUP(B140,SplitVol,6,FALSE())),0,VLOOKUP(B140,SplitVol,6,FALSE()))</f>
        <v>0</v>
      </c>
      <c r="V140" s="84" t="n">
        <f aca="false">+U140*L140</f>
        <v>0</v>
      </c>
      <c r="W140" s="85" t="n">
        <f aca="false">IF(ISBLANK(VLOOKUP(B140,EffDate,4,FALSE())),"na",VLOOKUP(B140,EffDate,4,FALSE()))</f>
        <v>37254</v>
      </c>
      <c r="X140" s="86" t="n">
        <f aca="false">+M140-S140-U140</f>
        <v>0</v>
      </c>
    </row>
    <row r="141" customFormat="false" ht="15" hidden="false" customHeight="true" outlineLevel="0" collapsed="false">
      <c r="A141" s="4" t="s">
        <v>5</v>
      </c>
      <c r="B141" s="77" t="s">
        <v>201</v>
      </c>
      <c r="C141" s="4" t="n">
        <v>4336901</v>
      </c>
      <c r="D141" s="128" t="s">
        <v>192</v>
      </c>
      <c r="E141" s="91" t="n">
        <v>37254</v>
      </c>
      <c r="F141" s="129"/>
      <c r="G141" s="102" t="n">
        <v>27292</v>
      </c>
      <c r="H141" s="102" t="s">
        <v>525</v>
      </c>
      <c r="I141" s="105" t="s">
        <v>570</v>
      </c>
      <c r="J141" s="103" t="str">
        <f aca="false">IF(ISNA(VLOOKUP(B141,cngdata,7,FALSE())),"na",VLOOKUP(B141,cngdata,7,FALSE()))</f>
        <v>GW</v>
      </c>
      <c r="K141" s="79" t="n">
        <f aca="false">IF(ISNA(VLOOKUP(B141,cngdata,13,FALSE())),"na",VLOOKUP(B141,cngdata,13,FALSE()))</f>
        <v>92</v>
      </c>
      <c r="L141" s="130" t="n">
        <f aca="false">+CNGPricing!$H$102</f>
        <v>2.42</v>
      </c>
      <c r="M141" s="79" t="n">
        <f aca="false">IF(ISNA(VLOOKUP(B141,cngdata,14,FALSE())),0,VLOOKUP(B141,cngdata,14,FALSE()))</f>
        <v>104</v>
      </c>
      <c r="O141" s="81" t="n">
        <v>0</v>
      </c>
      <c r="P141" s="82" t="n">
        <f aca="false">L141-O141</f>
        <v>2.42</v>
      </c>
      <c r="Q141" s="131" t="n">
        <f aca="false">M141*P141</f>
        <v>251.68</v>
      </c>
      <c r="R141" s="74"/>
      <c r="S141" s="79" t="n">
        <f aca="false">IF(ISNA(VLOOKUP(B141,SplitVol,5,FALSE())),0,VLOOKUP(B141,SplitVol,5,FALSE()))</f>
        <v>0</v>
      </c>
      <c r="T141" s="84" t="n">
        <f aca="false">+S141*L141</f>
        <v>0</v>
      </c>
      <c r="U141" s="79" t="n">
        <f aca="false">IF(ISNA(VLOOKUP(B141,SplitVol,6,FALSE())),0,VLOOKUP(B141,SplitVol,6,FALSE()))</f>
        <v>104</v>
      </c>
      <c r="V141" s="84" t="n">
        <f aca="false">+U141*L141</f>
        <v>251.68</v>
      </c>
      <c r="W141" s="85" t="n">
        <f aca="false">IF(ISBLANK(VLOOKUP(B141,EffDate,4,FALSE())),"na",VLOOKUP(B141,EffDate,4,FALSE()))</f>
        <v>37254</v>
      </c>
      <c r="X141" s="86" t="n">
        <f aca="false">+M141-S141-U141</f>
        <v>0</v>
      </c>
    </row>
    <row r="142" customFormat="false" ht="15" hidden="false" customHeight="true" outlineLevel="0" collapsed="false">
      <c r="A142" s="4" t="s">
        <v>5</v>
      </c>
      <c r="B142" s="77" t="s">
        <v>202</v>
      </c>
      <c r="C142" s="4" t="n">
        <v>4341201</v>
      </c>
      <c r="D142" s="128" t="s">
        <v>192</v>
      </c>
      <c r="E142" s="91" t="n">
        <v>37254</v>
      </c>
      <c r="F142" s="129"/>
      <c r="G142" s="102" t="n">
        <v>27292</v>
      </c>
      <c r="H142" s="102" t="s">
        <v>525</v>
      </c>
      <c r="I142" s="105" t="s">
        <v>570</v>
      </c>
      <c r="J142" s="103" t="str">
        <f aca="false">IF(ISNA(VLOOKUP(B142,cngdata,7,FALSE())),"na",VLOOKUP(B142,cngdata,7,FALSE()))</f>
        <v>GW</v>
      </c>
      <c r="K142" s="79" t="n">
        <f aca="false">IF(ISNA(VLOOKUP(B142,cngdata,13,FALSE())),"na",VLOOKUP(B142,cngdata,13,FALSE()))</f>
        <v>38</v>
      </c>
      <c r="L142" s="130" t="n">
        <f aca="false">+CNGPricing!$H$102</f>
        <v>2.42</v>
      </c>
      <c r="M142" s="79" t="n">
        <f aca="false">IF(ISNA(VLOOKUP(B142,cngdata,14,FALSE())),0,VLOOKUP(B142,cngdata,14,FALSE()))</f>
        <v>43</v>
      </c>
      <c r="O142" s="81" t="n">
        <v>0</v>
      </c>
      <c r="P142" s="82" t="n">
        <f aca="false">L142-O142</f>
        <v>2.42</v>
      </c>
      <c r="Q142" s="131" t="n">
        <f aca="false">M142*P142</f>
        <v>104.06</v>
      </c>
      <c r="R142" s="74"/>
      <c r="S142" s="79" t="n">
        <f aca="false">IF(ISNA(VLOOKUP(B142,SplitVol,5,FALSE())),0,VLOOKUP(B142,SplitVol,5,FALSE()))</f>
        <v>0</v>
      </c>
      <c r="T142" s="84" t="n">
        <f aca="false">+S142*L142</f>
        <v>0</v>
      </c>
      <c r="U142" s="79" t="n">
        <f aca="false">IF(ISNA(VLOOKUP(B142,SplitVol,6,FALSE())),0,VLOOKUP(B142,SplitVol,6,FALSE()))</f>
        <v>43</v>
      </c>
      <c r="V142" s="84" t="n">
        <f aca="false">+U142*L142</f>
        <v>104.06</v>
      </c>
      <c r="W142" s="85" t="n">
        <f aca="false">IF(ISBLANK(VLOOKUP(B142,EffDate,4,FALSE())),"na",VLOOKUP(B142,EffDate,4,FALSE()))</f>
        <v>37254</v>
      </c>
      <c r="X142" s="86" t="n">
        <f aca="false">+M142-S142-U142</f>
        <v>0</v>
      </c>
    </row>
    <row r="143" customFormat="false" ht="15" hidden="false" customHeight="true" outlineLevel="0" collapsed="false">
      <c r="A143" s="4" t="s">
        <v>5</v>
      </c>
      <c r="B143" s="77" t="s">
        <v>203</v>
      </c>
      <c r="C143" s="4" t="n">
        <v>4343301</v>
      </c>
      <c r="D143" s="128" t="s">
        <v>192</v>
      </c>
      <c r="E143" s="91" t="n">
        <v>37254</v>
      </c>
      <c r="F143" s="129"/>
      <c r="G143" s="102" t="n">
        <v>27292</v>
      </c>
      <c r="H143" s="102" t="s">
        <v>525</v>
      </c>
      <c r="I143" s="105" t="s">
        <v>570</v>
      </c>
      <c r="J143" s="103" t="str">
        <f aca="false">IF(ISNA(VLOOKUP(B143,cngdata,7,FALSE())),"na",VLOOKUP(B143,cngdata,7,FALSE()))</f>
        <v>GW</v>
      </c>
      <c r="K143" s="79" t="n">
        <f aca="false">IF(ISNA(VLOOKUP(B143,cngdata,13,FALSE())),"na",VLOOKUP(B143,cngdata,13,FALSE()))</f>
        <v>191</v>
      </c>
      <c r="L143" s="130" t="n">
        <f aca="false">+CNGPricing!$H$102</f>
        <v>2.42</v>
      </c>
      <c r="M143" s="79" t="n">
        <f aca="false">IF(ISNA(VLOOKUP(B143,cngdata,14,FALSE())),0,VLOOKUP(B143,cngdata,14,FALSE()))</f>
        <v>238</v>
      </c>
      <c r="O143" s="81" t="n">
        <v>0</v>
      </c>
      <c r="P143" s="82" t="n">
        <f aca="false">L143-O143</f>
        <v>2.42</v>
      </c>
      <c r="Q143" s="131" t="n">
        <f aca="false">M143*P143</f>
        <v>575.96</v>
      </c>
      <c r="R143" s="74"/>
      <c r="S143" s="79" t="n">
        <f aca="false">IF(ISNA(VLOOKUP(B143,SplitVol,5,FALSE())),0,VLOOKUP(B143,SplitVol,5,FALSE()))</f>
        <v>0</v>
      </c>
      <c r="T143" s="84" t="n">
        <f aca="false">+S143*L143</f>
        <v>0</v>
      </c>
      <c r="U143" s="79" t="n">
        <f aca="false">IF(ISNA(VLOOKUP(B143,SplitVol,6,FALSE())),0,VLOOKUP(B143,SplitVol,6,FALSE()))</f>
        <v>238</v>
      </c>
      <c r="V143" s="84" t="n">
        <f aca="false">+U143*L143</f>
        <v>575.96</v>
      </c>
      <c r="W143" s="85" t="n">
        <f aca="false">IF(ISBLANK(VLOOKUP(B143,EffDate,4,FALSE())),"na",VLOOKUP(B143,EffDate,4,FALSE()))</f>
        <v>37254</v>
      </c>
      <c r="X143" s="86" t="n">
        <f aca="false">+M143-S143-U143</f>
        <v>0</v>
      </c>
    </row>
    <row r="144" customFormat="false" ht="15" hidden="false" customHeight="true" outlineLevel="0" collapsed="false">
      <c r="A144" s="4" t="s">
        <v>5</v>
      </c>
      <c r="B144" s="77" t="s">
        <v>204</v>
      </c>
      <c r="C144" s="4" t="n">
        <v>4345701</v>
      </c>
      <c r="D144" s="128" t="s">
        <v>192</v>
      </c>
      <c r="E144" s="91" t="n">
        <v>37254</v>
      </c>
      <c r="F144" s="129"/>
      <c r="G144" s="102" t="n">
        <v>27292</v>
      </c>
      <c r="H144" s="102" t="s">
        <v>525</v>
      </c>
      <c r="I144" s="105" t="s">
        <v>570</v>
      </c>
      <c r="J144" s="103" t="str">
        <f aca="false">IF(ISNA(VLOOKUP(B144,cngdata,7,FALSE())),"na",VLOOKUP(B144,cngdata,7,FALSE()))</f>
        <v>GW</v>
      </c>
      <c r="K144" s="79" t="n">
        <f aca="false">IF(ISNA(VLOOKUP(B144,cngdata,13,FALSE())),"na",VLOOKUP(B144,cngdata,13,FALSE()))</f>
        <v>136</v>
      </c>
      <c r="L144" s="130" t="n">
        <f aca="false">+CNGPricing!$H$102</f>
        <v>2.42</v>
      </c>
      <c r="M144" s="79" t="n">
        <f aca="false">IF(ISNA(VLOOKUP(B144,cngdata,14,FALSE())),0,VLOOKUP(B144,cngdata,14,FALSE()))</f>
        <v>151</v>
      </c>
      <c r="O144" s="81" t="n">
        <v>0</v>
      </c>
      <c r="P144" s="82" t="n">
        <f aca="false">L144-O144</f>
        <v>2.42</v>
      </c>
      <c r="Q144" s="131" t="n">
        <f aca="false">M144*P144</f>
        <v>365.42</v>
      </c>
      <c r="R144" s="74"/>
      <c r="S144" s="79" t="n">
        <f aca="false">IF(ISNA(VLOOKUP(B144,SplitVol,5,FALSE())),0,VLOOKUP(B144,SplitVol,5,FALSE()))</f>
        <v>0</v>
      </c>
      <c r="T144" s="84" t="n">
        <f aca="false">+S144*L144</f>
        <v>0</v>
      </c>
      <c r="U144" s="79" t="n">
        <f aca="false">IF(ISNA(VLOOKUP(B144,SplitVol,6,FALSE())),0,VLOOKUP(B144,SplitVol,6,FALSE()))</f>
        <v>151</v>
      </c>
      <c r="V144" s="84" t="n">
        <f aca="false">+U144*L144</f>
        <v>365.42</v>
      </c>
      <c r="W144" s="85" t="n">
        <f aca="false">IF(ISBLANK(VLOOKUP(B144,EffDate,4,FALSE())),"na",VLOOKUP(B144,EffDate,4,FALSE()))</f>
        <v>37254</v>
      </c>
      <c r="X144" s="86" t="n">
        <f aca="false">+M144-S144-U144</f>
        <v>0</v>
      </c>
    </row>
    <row r="145" customFormat="false" ht="15" hidden="false" customHeight="true" outlineLevel="0" collapsed="false">
      <c r="A145" s="4" t="s">
        <v>5</v>
      </c>
      <c r="B145" s="77" t="s">
        <v>205</v>
      </c>
      <c r="C145" s="4" t="n">
        <v>4345801</v>
      </c>
      <c r="D145" s="128" t="s">
        <v>192</v>
      </c>
      <c r="E145" s="91" t="n">
        <v>37254</v>
      </c>
      <c r="F145" s="129"/>
      <c r="G145" s="102" t="n">
        <v>27292</v>
      </c>
      <c r="H145" s="102" t="s">
        <v>525</v>
      </c>
      <c r="I145" s="105" t="s">
        <v>570</v>
      </c>
      <c r="J145" s="103" t="str">
        <f aca="false">IF(ISNA(VLOOKUP(B145,cngdata,7,FALSE())),"na",VLOOKUP(B145,cngdata,7,FALSE()))</f>
        <v>GW</v>
      </c>
      <c r="K145" s="79" t="n">
        <f aca="false">IF(ISNA(VLOOKUP(B145,cngdata,13,FALSE())),"na",VLOOKUP(B145,cngdata,13,FALSE()))</f>
        <v>20</v>
      </c>
      <c r="L145" s="130" t="n">
        <f aca="false">+CNGPricing!$H$102</f>
        <v>2.42</v>
      </c>
      <c r="M145" s="79" t="n">
        <f aca="false">IF(ISNA(VLOOKUP(B145,cngdata,14,FALSE())),0,VLOOKUP(B145,cngdata,14,FALSE()))</f>
        <v>23</v>
      </c>
      <c r="O145" s="81" t="n">
        <v>0</v>
      </c>
      <c r="P145" s="82" t="n">
        <f aca="false">L145-O145</f>
        <v>2.42</v>
      </c>
      <c r="Q145" s="131" t="n">
        <f aca="false">M145*P145</f>
        <v>55.66</v>
      </c>
      <c r="R145" s="74"/>
      <c r="S145" s="79" t="n">
        <f aca="false">IF(ISNA(VLOOKUP(B145,SplitVol,5,FALSE())),0,VLOOKUP(B145,SplitVol,5,FALSE()))</f>
        <v>0</v>
      </c>
      <c r="T145" s="84" t="n">
        <f aca="false">+S145*L145</f>
        <v>0</v>
      </c>
      <c r="U145" s="79" t="n">
        <f aca="false">IF(ISNA(VLOOKUP(B145,SplitVol,6,FALSE())),0,VLOOKUP(B145,SplitVol,6,FALSE()))</f>
        <v>23</v>
      </c>
      <c r="V145" s="84" t="n">
        <f aca="false">+U145*L145</f>
        <v>55.66</v>
      </c>
      <c r="W145" s="85" t="n">
        <f aca="false">IF(ISBLANK(VLOOKUP(B145,EffDate,4,FALSE())),"na",VLOOKUP(B145,EffDate,4,FALSE()))</f>
        <v>37254</v>
      </c>
      <c r="X145" s="86" t="n">
        <f aca="false">+M145-S145-U145</f>
        <v>0</v>
      </c>
    </row>
    <row r="146" customFormat="false" ht="15" hidden="false" customHeight="true" outlineLevel="0" collapsed="false">
      <c r="A146" s="4" t="s">
        <v>5</v>
      </c>
      <c r="B146" s="77" t="s">
        <v>206</v>
      </c>
      <c r="C146" s="4" t="n">
        <v>4349401</v>
      </c>
      <c r="D146" s="128" t="s">
        <v>192</v>
      </c>
      <c r="E146" s="91" t="n">
        <v>37254</v>
      </c>
      <c r="F146" s="129"/>
      <c r="G146" s="102" t="n">
        <v>27292</v>
      </c>
      <c r="H146" s="102" t="s">
        <v>525</v>
      </c>
      <c r="I146" s="105" t="s">
        <v>570</v>
      </c>
      <c r="J146" s="103" t="str">
        <f aca="false">IF(ISNA(VLOOKUP(B146,cngdata,7,FALSE())),"na",VLOOKUP(B146,cngdata,7,FALSE()))</f>
        <v>GW</v>
      </c>
      <c r="K146" s="79" t="n">
        <f aca="false">IF(ISNA(VLOOKUP(B146,cngdata,13,FALSE())),"na",VLOOKUP(B146,cngdata,13,FALSE()))</f>
        <v>176</v>
      </c>
      <c r="L146" s="130" t="n">
        <f aca="false">+CNGPricing!$H$102</f>
        <v>2.42</v>
      </c>
      <c r="M146" s="79" t="n">
        <f aca="false">IF(ISNA(VLOOKUP(B146,cngdata,14,FALSE())),0,VLOOKUP(B146,cngdata,14,FALSE()))</f>
        <v>204</v>
      </c>
      <c r="O146" s="81" t="n">
        <v>0</v>
      </c>
      <c r="P146" s="82" t="n">
        <f aca="false">L146-O146</f>
        <v>2.42</v>
      </c>
      <c r="Q146" s="131" t="n">
        <f aca="false">M146*P146</f>
        <v>493.68</v>
      </c>
      <c r="R146" s="74"/>
      <c r="S146" s="79" t="n">
        <f aca="false">IF(ISNA(VLOOKUP(B146,SplitVol,5,FALSE())),0,VLOOKUP(B146,SplitVol,5,FALSE()))</f>
        <v>0</v>
      </c>
      <c r="T146" s="84" t="n">
        <f aca="false">+S146*L146</f>
        <v>0</v>
      </c>
      <c r="U146" s="79" t="n">
        <f aca="false">IF(ISNA(VLOOKUP(B146,SplitVol,6,FALSE())),0,VLOOKUP(B146,SplitVol,6,FALSE()))</f>
        <v>204</v>
      </c>
      <c r="V146" s="84" t="n">
        <f aca="false">+U146*L146</f>
        <v>493.68</v>
      </c>
      <c r="W146" s="85" t="n">
        <f aca="false">IF(ISBLANK(VLOOKUP(B146,EffDate,4,FALSE())),"na",VLOOKUP(B146,EffDate,4,FALSE()))</f>
        <v>37254</v>
      </c>
      <c r="X146" s="86" t="n">
        <f aca="false">+M146-S146-U146</f>
        <v>0</v>
      </c>
    </row>
    <row r="147" customFormat="false" ht="15" hidden="false" customHeight="true" outlineLevel="0" collapsed="false">
      <c r="A147" s="4" t="s">
        <v>5</v>
      </c>
      <c r="B147" s="77" t="s">
        <v>207</v>
      </c>
      <c r="C147" s="4" t="n">
        <v>4362801</v>
      </c>
      <c r="D147" s="128" t="s">
        <v>192</v>
      </c>
      <c r="E147" s="91" t="n">
        <v>37254</v>
      </c>
      <c r="F147" s="129"/>
      <c r="G147" s="102" t="n">
        <v>27292</v>
      </c>
      <c r="H147" s="102" t="s">
        <v>525</v>
      </c>
      <c r="I147" s="105" t="s">
        <v>570</v>
      </c>
      <c r="J147" s="103" t="str">
        <f aca="false">IF(ISNA(VLOOKUP(B147,cngdata,7,FALSE())),"na",VLOOKUP(B147,cngdata,7,FALSE()))</f>
        <v>GW</v>
      </c>
      <c r="K147" s="79" t="n">
        <f aca="false">IF(ISNA(VLOOKUP(B147,cngdata,13,FALSE())),"na",VLOOKUP(B147,cngdata,13,FALSE()))</f>
        <v>174</v>
      </c>
      <c r="L147" s="130" t="n">
        <f aca="false">+CNGPricing!$H$102</f>
        <v>2.42</v>
      </c>
      <c r="M147" s="79" t="n">
        <f aca="false">IF(ISNA(VLOOKUP(B147,cngdata,14,FALSE())),0,VLOOKUP(B147,cngdata,14,FALSE()))</f>
        <v>201</v>
      </c>
      <c r="O147" s="81" t="n">
        <v>0</v>
      </c>
      <c r="P147" s="82" t="n">
        <f aca="false">L147-O147</f>
        <v>2.42</v>
      </c>
      <c r="Q147" s="131" t="n">
        <f aca="false">M147*P147</f>
        <v>486.42</v>
      </c>
      <c r="R147" s="74"/>
      <c r="S147" s="79" t="n">
        <f aca="false">IF(ISNA(VLOOKUP(B147,SplitVol,5,FALSE())),0,VLOOKUP(B147,SplitVol,5,FALSE()))</f>
        <v>0</v>
      </c>
      <c r="T147" s="84" t="n">
        <f aca="false">+S147*L147</f>
        <v>0</v>
      </c>
      <c r="U147" s="79" t="n">
        <f aca="false">IF(ISNA(VLOOKUP(B147,SplitVol,6,FALSE())),0,VLOOKUP(B147,SplitVol,6,FALSE()))</f>
        <v>201</v>
      </c>
      <c r="V147" s="84" t="n">
        <f aca="false">+U147*L147</f>
        <v>486.42</v>
      </c>
      <c r="W147" s="85" t="n">
        <f aca="false">IF(ISBLANK(VLOOKUP(B147,EffDate,4,FALSE())),"na",VLOOKUP(B147,EffDate,4,FALSE()))</f>
        <v>37254</v>
      </c>
      <c r="X147" s="86" t="n">
        <f aca="false">+M147-S147-U147</f>
        <v>0</v>
      </c>
    </row>
    <row r="148" customFormat="false" ht="15" hidden="false" customHeight="true" outlineLevel="0" collapsed="false">
      <c r="A148" s="4" t="s">
        <v>5</v>
      </c>
      <c r="B148" s="8" t="s">
        <v>209</v>
      </c>
      <c r="C148" s="4" t="n">
        <v>4364001</v>
      </c>
      <c r="D148" s="128" t="s">
        <v>192</v>
      </c>
      <c r="E148" s="91" t="n">
        <v>37254</v>
      </c>
      <c r="F148" s="129"/>
      <c r="G148" s="102" t="n">
        <v>27292</v>
      </c>
      <c r="H148" s="102" t="s">
        <v>571</v>
      </c>
      <c r="I148" s="105" t="s">
        <v>570</v>
      </c>
      <c r="J148" s="103" t="str">
        <f aca="false">IF(ISNA(VLOOKUP(B148,cngdata,7,FALSE())),"na",VLOOKUP(B148,cngdata,7,FALSE()))</f>
        <v>GW</v>
      </c>
      <c r="K148" s="79" t="n">
        <f aca="false">IF(ISNA(VLOOKUP(B148,cngdata,13,FALSE())),"na",VLOOKUP(B148,cngdata,13,FALSE()))</f>
        <v>348</v>
      </c>
      <c r="L148" s="130" t="n">
        <f aca="false">+CNGPricing!$H$102</f>
        <v>2.42</v>
      </c>
      <c r="M148" s="79" t="n">
        <f aca="false">IF(ISNA(VLOOKUP(B148,cngdata,14,FALSE())),0,VLOOKUP(B148,cngdata,14,FALSE()))</f>
        <v>386</v>
      </c>
      <c r="O148" s="81" t="n">
        <v>0</v>
      </c>
      <c r="P148" s="132" t="n">
        <f aca="false">L148-O148</f>
        <v>2.42</v>
      </c>
      <c r="Q148" s="131" t="n">
        <f aca="false">M148*P148</f>
        <v>934.12</v>
      </c>
      <c r="R148" s="74"/>
      <c r="S148" s="79" t="n">
        <f aca="false">IF(ISNA(VLOOKUP(B148,SplitVol,5,FALSE())),0,VLOOKUP(B148,SplitVol,5,FALSE()))</f>
        <v>0</v>
      </c>
      <c r="T148" s="84" t="n">
        <f aca="false">+S148*L148</f>
        <v>0</v>
      </c>
      <c r="U148" s="79" t="n">
        <f aca="false">IF(ISNA(VLOOKUP(B148,SplitVol,6,FALSE())),0,VLOOKUP(B148,SplitVol,6,FALSE()))</f>
        <v>386</v>
      </c>
      <c r="V148" s="84" t="n">
        <f aca="false">+U148*L148</f>
        <v>934.12</v>
      </c>
      <c r="W148" s="85" t="n">
        <f aca="false">IF(ISBLANK(VLOOKUP(B148,EffDate,4,FALSE())),"na",VLOOKUP(B148,EffDate,4,FALSE()))</f>
        <v>37254</v>
      </c>
      <c r="X148" s="86" t="n">
        <f aca="false">+M148-S148-U148</f>
        <v>0</v>
      </c>
    </row>
    <row r="149" customFormat="false" ht="15" hidden="false" customHeight="true" outlineLevel="0" collapsed="false">
      <c r="A149" s="4" t="s">
        <v>5</v>
      </c>
      <c r="B149" s="77" t="s">
        <v>198</v>
      </c>
      <c r="C149" s="4" t="n">
        <v>4023601</v>
      </c>
      <c r="D149" s="128" t="s">
        <v>192</v>
      </c>
      <c r="E149" s="91" t="n">
        <v>37254</v>
      </c>
      <c r="F149" s="129"/>
      <c r="G149" s="102" t="n">
        <v>27292</v>
      </c>
      <c r="H149" s="102" t="s">
        <v>525</v>
      </c>
      <c r="I149" s="105" t="s">
        <v>570</v>
      </c>
      <c r="J149" s="103" t="str">
        <f aca="false">IF(ISNA(VLOOKUP(B149,cngdata,7,FALSE())),"na",VLOOKUP(B149,cngdata,7,FALSE()))</f>
        <v>GW</v>
      </c>
      <c r="K149" s="79" t="n">
        <f aca="false">IF(ISNA(VLOOKUP(B149,cngdata,13,FALSE())),"na",VLOOKUP(B149,cngdata,13,FALSE()))</f>
        <v>52</v>
      </c>
      <c r="L149" s="130" t="n">
        <f aca="false">+CNGPricing!$H$102</f>
        <v>2.42</v>
      </c>
      <c r="M149" s="79" t="n">
        <f aca="false">IF(ISNA(VLOOKUP(B149,cngdata,14,FALSE())),0,VLOOKUP(B149,cngdata,14,FALSE()))</f>
        <v>60</v>
      </c>
      <c r="O149" s="81" t="n">
        <v>0</v>
      </c>
      <c r="P149" s="82" t="n">
        <f aca="false">L149-O149</f>
        <v>2.42</v>
      </c>
      <c r="Q149" s="131" t="n">
        <f aca="false">M149*P149</f>
        <v>145.2</v>
      </c>
      <c r="R149" s="74"/>
      <c r="S149" s="79" t="n">
        <f aca="false">IF(ISNA(VLOOKUP(B149,SplitVol,5,FALSE())),0,VLOOKUP(B149,SplitVol,5,FALSE()))</f>
        <v>7</v>
      </c>
      <c r="T149" s="84" t="n">
        <f aca="false">+S149*L149</f>
        <v>16.94</v>
      </c>
      <c r="U149" s="79" t="n">
        <f aca="false">IF(ISNA(VLOOKUP(B149,SplitVol,6,FALSE())),0,VLOOKUP(B149,SplitVol,6,FALSE()))</f>
        <v>53</v>
      </c>
      <c r="V149" s="84" t="n">
        <f aca="false">+U149*L149</f>
        <v>128.26</v>
      </c>
      <c r="W149" s="85" t="n">
        <f aca="false">IF(ISBLANK(VLOOKUP(B149,EffDate,4,FALSE())),"na",VLOOKUP(B149,EffDate,4,FALSE()))</f>
        <v>37254</v>
      </c>
      <c r="X149" s="86" t="n">
        <f aca="false">+M149-S149-U149</f>
        <v>0</v>
      </c>
    </row>
    <row r="150" customFormat="false" ht="15" hidden="false" customHeight="true" outlineLevel="0" collapsed="false">
      <c r="A150" s="4" t="s">
        <v>5</v>
      </c>
      <c r="B150" s="77" t="s">
        <v>200</v>
      </c>
      <c r="C150" s="4" t="n">
        <v>4336801</v>
      </c>
      <c r="D150" s="128" t="s">
        <v>192</v>
      </c>
      <c r="E150" s="91" t="n">
        <v>37254</v>
      </c>
      <c r="F150" s="129"/>
      <c r="G150" s="102" t="n">
        <v>27292</v>
      </c>
      <c r="H150" s="102" t="s">
        <v>525</v>
      </c>
      <c r="I150" s="105" t="s">
        <v>570</v>
      </c>
      <c r="J150" s="103" t="str">
        <f aca="false">IF(ISNA(VLOOKUP(B150,cngdata,7,FALSE())),"na",VLOOKUP(B150,cngdata,7,FALSE()))</f>
        <v>GW</v>
      </c>
      <c r="K150" s="79" t="n">
        <f aca="false">IF(ISNA(VLOOKUP(B150,cngdata,13,FALSE())),"na",VLOOKUP(B150,cngdata,13,FALSE()))</f>
        <v>382</v>
      </c>
      <c r="L150" s="130" t="n">
        <f aca="false">+CNGPricing!$H$102</f>
        <v>2.42</v>
      </c>
      <c r="M150" s="79" t="n">
        <f aca="false">IF(ISNA(VLOOKUP(B150,cngdata,14,FALSE())),0,VLOOKUP(B150,cngdata,14,FALSE()))</f>
        <v>456</v>
      </c>
      <c r="O150" s="81" t="n">
        <v>0</v>
      </c>
      <c r="P150" s="82" t="n">
        <f aca="false">L150-O150</f>
        <v>2.42</v>
      </c>
      <c r="Q150" s="131" t="n">
        <f aca="false">M150*P150</f>
        <v>1103.52</v>
      </c>
      <c r="R150" s="74"/>
      <c r="S150" s="79" t="n">
        <f aca="false">IF(ISNA(VLOOKUP(B150,SplitVol,5,FALSE())),0,VLOOKUP(B150,SplitVol,5,FALSE()))</f>
        <v>0</v>
      </c>
      <c r="T150" s="84" t="n">
        <f aca="false">+S150*L150</f>
        <v>0</v>
      </c>
      <c r="U150" s="79" t="n">
        <f aca="false">IF(ISNA(VLOOKUP(B150,SplitVol,6,FALSE())),0,VLOOKUP(B150,SplitVol,6,FALSE()))</f>
        <v>456</v>
      </c>
      <c r="V150" s="84" t="n">
        <f aca="false">+U150*L150</f>
        <v>1103.52</v>
      </c>
      <c r="W150" s="85" t="n">
        <f aca="false">IF(ISBLANK(VLOOKUP(B150,EffDate,4,FALSE())),"na",VLOOKUP(B150,EffDate,4,FALSE()))</f>
        <v>37254</v>
      </c>
      <c r="X150" s="86" t="n">
        <f aca="false">+M150-S150-U150</f>
        <v>0</v>
      </c>
    </row>
    <row r="151" customFormat="false" ht="15" hidden="false" customHeight="true" outlineLevel="0" collapsed="false">
      <c r="A151" s="4" t="s">
        <v>5</v>
      </c>
      <c r="B151" s="77" t="s">
        <v>195</v>
      </c>
      <c r="C151" s="4" t="n">
        <v>3552801</v>
      </c>
      <c r="D151" s="128" t="s">
        <v>192</v>
      </c>
      <c r="E151" s="91" t="n">
        <v>37254</v>
      </c>
      <c r="F151" s="129"/>
      <c r="G151" s="102" t="n">
        <v>27292</v>
      </c>
      <c r="H151" s="102" t="s">
        <v>571</v>
      </c>
      <c r="I151" s="105" t="s">
        <v>570</v>
      </c>
      <c r="J151" s="103" t="str">
        <f aca="false">IF(ISNA(VLOOKUP(B151,cngdata,7,FALSE())),"na",VLOOKUP(B151,cngdata,7,FALSE()))</f>
        <v>GW</v>
      </c>
      <c r="K151" s="79" t="n">
        <f aca="false">IF(ISNA(VLOOKUP(B151,cngdata,13,FALSE())),"na",VLOOKUP(B151,cngdata,13,FALSE()))</f>
        <v>0</v>
      </c>
      <c r="L151" s="130" t="n">
        <f aca="false">+CNGPricing!$H$102</f>
        <v>2.42</v>
      </c>
      <c r="M151" s="79" t="n">
        <f aca="false">IF(ISNA(VLOOKUP(B151,cngdata,14,FALSE())),0,VLOOKUP(B151,cngdata,14,FALSE()))</f>
        <v>0</v>
      </c>
      <c r="O151" s="81" t="n">
        <v>0</v>
      </c>
      <c r="P151" s="82" t="n">
        <f aca="false">L151-O151</f>
        <v>2.42</v>
      </c>
      <c r="Q151" s="131" t="n">
        <f aca="false">M151*P151</f>
        <v>0</v>
      </c>
      <c r="R151" s="74"/>
      <c r="S151" s="79" t="n">
        <f aca="false">IF(ISNA(VLOOKUP(B151,SplitVol,5,FALSE())),0,VLOOKUP(B151,SplitVol,5,FALSE()))</f>
        <v>0</v>
      </c>
      <c r="T151" s="84" t="n">
        <f aca="false">+S151*L151</f>
        <v>0</v>
      </c>
      <c r="U151" s="79" t="n">
        <f aca="false">IF(ISNA(VLOOKUP(B151,SplitVol,6,FALSE())),0,VLOOKUP(B151,SplitVol,6,FALSE()))</f>
        <v>0</v>
      </c>
      <c r="V151" s="84" t="n">
        <f aca="false">+U151*L151</f>
        <v>0</v>
      </c>
      <c r="W151" s="85" t="n">
        <f aca="false">IF(ISBLANK(VLOOKUP(B151,EffDate,4,FALSE())),"na",VLOOKUP(B151,EffDate,4,FALSE()))</f>
        <v>37254</v>
      </c>
      <c r="X151" s="86" t="n">
        <f aca="false">+M151-S151-U151</f>
        <v>0</v>
      </c>
    </row>
    <row r="152" customFormat="false" ht="15" hidden="false" customHeight="true" outlineLevel="0" collapsed="false">
      <c r="A152" s="4" t="s">
        <v>5</v>
      </c>
      <c r="B152" s="77" t="s">
        <v>193</v>
      </c>
      <c r="C152" s="4" t="n">
        <v>1091301</v>
      </c>
      <c r="D152" s="128" t="s">
        <v>192</v>
      </c>
      <c r="E152" s="91" t="n">
        <v>37254</v>
      </c>
      <c r="F152" s="129"/>
      <c r="G152" s="102" t="n">
        <v>27292</v>
      </c>
      <c r="H152" s="102" t="s">
        <v>571</v>
      </c>
      <c r="I152" s="105" t="s">
        <v>570</v>
      </c>
      <c r="J152" s="103" t="str">
        <f aca="false">IF(ISNA(VLOOKUP(B152,cngdata,7,FALSE())),"na",VLOOKUP(B152,cngdata,7,FALSE()))</f>
        <v>GW</v>
      </c>
      <c r="K152" s="79" t="n">
        <f aca="false">IF(ISNA(VLOOKUP(B152,cngdata,13,FALSE())),"na",VLOOKUP(B152,cngdata,13,FALSE()))</f>
        <v>0</v>
      </c>
      <c r="L152" s="130" t="n">
        <f aca="false">+CNGPricing!$H$102</f>
        <v>2.42</v>
      </c>
      <c r="M152" s="79" t="n">
        <f aca="false">IF(ISNA(VLOOKUP(B152,cngdata,14,FALSE())),0,VLOOKUP(B152,cngdata,14,FALSE()))</f>
        <v>4</v>
      </c>
      <c r="O152" s="81" t="n">
        <v>0</v>
      </c>
      <c r="P152" s="82" t="n">
        <f aca="false">L152-O152</f>
        <v>2.42</v>
      </c>
      <c r="Q152" s="131" t="n">
        <f aca="false">M152*P152</f>
        <v>9.68</v>
      </c>
      <c r="R152" s="74"/>
      <c r="S152" s="79" t="n">
        <f aca="false">IF(ISNA(VLOOKUP(B152,SplitVol,5,FALSE())),0,VLOOKUP(B152,SplitVol,5,FALSE()))</f>
        <v>0</v>
      </c>
      <c r="T152" s="84" t="n">
        <f aca="false">+S152*L152</f>
        <v>0</v>
      </c>
      <c r="U152" s="79" t="n">
        <f aca="false">IF(ISNA(VLOOKUP(B152,SplitVol,6,FALSE())),0,VLOOKUP(B152,SplitVol,6,FALSE()))</f>
        <v>4</v>
      </c>
      <c r="V152" s="84" t="n">
        <f aca="false">+U152*L152</f>
        <v>9.68</v>
      </c>
      <c r="W152" s="85" t="n">
        <f aca="false">IF(ISBLANK(VLOOKUP(B152,EffDate,4,FALSE())),"na",VLOOKUP(B152,EffDate,4,FALSE()))</f>
        <v>37254</v>
      </c>
      <c r="X152" s="86" t="n">
        <f aca="false">+M152-S152-U152</f>
        <v>0</v>
      </c>
    </row>
    <row r="153" customFormat="false" ht="15" hidden="false" customHeight="true" outlineLevel="0" collapsed="false">
      <c r="A153" s="4" t="s">
        <v>5</v>
      </c>
      <c r="B153" s="77" t="s">
        <v>191</v>
      </c>
      <c r="C153" s="4" t="n">
        <v>1078001</v>
      </c>
      <c r="D153" s="128" t="s">
        <v>192</v>
      </c>
      <c r="E153" s="91" t="n">
        <v>37254</v>
      </c>
      <c r="F153" s="129"/>
      <c r="G153" s="102" t="n">
        <v>27292</v>
      </c>
      <c r="H153" s="102" t="s">
        <v>571</v>
      </c>
      <c r="I153" s="105" t="s">
        <v>570</v>
      </c>
      <c r="J153" s="103" t="str">
        <f aca="false">IF(ISNA(VLOOKUP(B153,cngdata,7,FALSE())),"na",VLOOKUP(B153,cngdata,7,FALSE()))</f>
        <v>GW</v>
      </c>
      <c r="K153" s="79" t="n">
        <f aca="false">IF(ISNA(VLOOKUP(B153,cngdata,13,FALSE())),"na",VLOOKUP(B153,cngdata,13,FALSE()))</f>
        <v>0</v>
      </c>
      <c r="L153" s="130" t="n">
        <f aca="false">+CNGPricing!$H$102</f>
        <v>2.42</v>
      </c>
      <c r="M153" s="79" t="n">
        <f aca="false">IF(ISNA(VLOOKUP(B153,cngdata,14,FALSE())),0,VLOOKUP(B153,cngdata,14,FALSE()))</f>
        <v>0</v>
      </c>
      <c r="O153" s="81" t="n">
        <v>0</v>
      </c>
      <c r="P153" s="82" t="n">
        <f aca="false">L153-O153</f>
        <v>2.42</v>
      </c>
      <c r="Q153" s="131" t="n">
        <f aca="false">M153*P153</f>
        <v>0</v>
      </c>
      <c r="R153" s="74"/>
      <c r="S153" s="79" t="n">
        <f aca="false">IF(ISNA(VLOOKUP(B153,SplitVol,5,FALSE())),0,VLOOKUP(B153,SplitVol,5,FALSE()))</f>
        <v>0</v>
      </c>
      <c r="T153" s="84" t="n">
        <f aca="false">+S153*L153</f>
        <v>0</v>
      </c>
      <c r="U153" s="79" t="n">
        <f aca="false">IF(ISNA(VLOOKUP(B153,SplitVol,6,FALSE())),0,VLOOKUP(B153,SplitVol,6,FALSE()))</f>
        <v>0</v>
      </c>
      <c r="V153" s="84" t="n">
        <f aca="false">+U153*L153</f>
        <v>0</v>
      </c>
      <c r="W153" s="85" t="n">
        <f aca="false">IF(ISBLANK(VLOOKUP(B153,EffDate,4,FALSE())),"na",VLOOKUP(B153,EffDate,4,FALSE()))</f>
        <v>37254</v>
      </c>
      <c r="X153" s="86" t="n">
        <f aca="false">+M153-S153-U153</f>
        <v>0</v>
      </c>
    </row>
    <row r="154" customFormat="false" ht="15" hidden="false" customHeight="true" outlineLevel="0" collapsed="false">
      <c r="A154" s="4" t="s">
        <v>5</v>
      </c>
      <c r="B154" s="77" t="s">
        <v>210</v>
      </c>
      <c r="C154" s="4" t="n">
        <v>4354501</v>
      </c>
      <c r="D154" s="128" t="s">
        <v>192</v>
      </c>
      <c r="E154" s="91" t="n">
        <v>37254</v>
      </c>
      <c r="F154" s="129"/>
      <c r="G154" s="102" t="n">
        <v>27292</v>
      </c>
      <c r="H154" s="102" t="s">
        <v>571</v>
      </c>
      <c r="I154" s="105" t="s">
        <v>570</v>
      </c>
      <c r="J154" s="103" t="str">
        <f aca="false">IF(ISNA(VLOOKUP(B154,cngdata,7,FALSE())),"na",VLOOKUP(B154,cngdata,7,FALSE()))</f>
        <v>GW</v>
      </c>
      <c r="K154" s="79" t="n">
        <f aca="false">IF(ISNA(VLOOKUP(B154,cngdata,13,FALSE())),"na",VLOOKUP(B154,cngdata,13,FALSE()))</f>
        <v>272</v>
      </c>
      <c r="L154" s="130" t="n">
        <f aca="false">+CNGPricing!$H$102</f>
        <v>2.42</v>
      </c>
      <c r="M154" s="79" t="n">
        <f aca="false">IF(ISNA(VLOOKUP(B154,cngdata,14,FALSE())),0,VLOOKUP(B154,cngdata,14,FALSE()))</f>
        <v>304</v>
      </c>
      <c r="O154" s="81" t="n">
        <v>0</v>
      </c>
      <c r="P154" s="82" t="n">
        <f aca="false">L154-O154</f>
        <v>2.42</v>
      </c>
      <c r="Q154" s="131" t="n">
        <f aca="false">M154*P154</f>
        <v>735.68</v>
      </c>
      <c r="R154" s="74"/>
      <c r="S154" s="79" t="n">
        <f aca="false">IF(ISNA(VLOOKUP(B154,SplitVol,5,FALSE())),0,VLOOKUP(B154,SplitVol,5,FALSE()))</f>
        <v>0</v>
      </c>
      <c r="T154" s="84" t="n">
        <f aca="false">+S154*L154</f>
        <v>0</v>
      </c>
      <c r="U154" s="79" t="n">
        <f aca="false">IF(ISNA(VLOOKUP(B154,SplitVol,6,FALSE())),0,VLOOKUP(B154,SplitVol,6,FALSE()))</f>
        <v>304</v>
      </c>
      <c r="V154" s="84" t="n">
        <f aca="false">+U154*L154</f>
        <v>735.68</v>
      </c>
      <c r="W154" s="85" t="n">
        <f aca="false">IF(ISBLANK(VLOOKUP(B154,EffDate,4,FALSE())),"na",VLOOKUP(B154,EffDate,4,FALSE()))</f>
        <v>37257</v>
      </c>
      <c r="X154" s="86" t="n">
        <f aca="false">+M154-S154-U154</f>
        <v>0</v>
      </c>
    </row>
    <row r="155" customFormat="false" ht="15" hidden="false" customHeight="true" outlineLevel="0" collapsed="false">
      <c r="A155" s="4" t="s">
        <v>5</v>
      </c>
      <c r="B155" s="77" t="s">
        <v>194</v>
      </c>
      <c r="C155" s="4" t="n">
        <v>3129101</v>
      </c>
      <c r="D155" s="128" t="s">
        <v>192</v>
      </c>
      <c r="E155" s="91" t="n">
        <v>37254</v>
      </c>
      <c r="F155" s="4"/>
      <c r="G155" s="78" t="n">
        <v>31420</v>
      </c>
      <c r="H155" s="78" t="s">
        <v>572</v>
      </c>
      <c r="I155" s="105" t="s">
        <v>573</v>
      </c>
      <c r="J155" s="79" t="str">
        <f aca="false">IF(ISNA(VLOOKUP(B155,cngdata,7,FALSE())),"na",VLOOKUP(B155,cngdata,7,FALSE()))</f>
        <v>GW</v>
      </c>
      <c r="K155" s="79" t="n">
        <f aca="false">IF(ISNA(VLOOKUP(B155,cngdata,13,FALSE())),"na",VLOOKUP(B155,cngdata,13,FALSE()))</f>
        <v>54</v>
      </c>
      <c r="L155" s="95" t="n">
        <f aca="false">L$2</f>
        <v>2.42</v>
      </c>
      <c r="M155" s="79" t="n">
        <f aca="false">IF(ISNA(VLOOKUP(B155,cngdata,14,FALSE())),0,VLOOKUP(B155,cngdata,14,FALSE()))</f>
        <v>75</v>
      </c>
      <c r="O155" s="81" t="n">
        <v>0</v>
      </c>
      <c r="P155" s="82" t="n">
        <f aca="false">L155-O155</f>
        <v>2.42</v>
      </c>
      <c r="Q155" s="83" t="n">
        <f aca="false">M155*P155</f>
        <v>181.5</v>
      </c>
      <c r="R155" s="74"/>
      <c r="S155" s="79" t="n">
        <f aca="false">IF(ISNA(VLOOKUP(B155,SplitVol,5,FALSE())),0,VLOOKUP(B155,SplitVol,5,FALSE()))</f>
        <v>75</v>
      </c>
      <c r="T155" s="84" t="n">
        <f aca="false">+S155*L155</f>
        <v>181.5</v>
      </c>
      <c r="U155" s="79" t="n">
        <f aca="false">IF(ISNA(VLOOKUP(B155,SplitVol,6,FALSE())),0,VLOOKUP(B155,SplitVol,6,FALSE()))</f>
        <v>0</v>
      </c>
      <c r="V155" s="84" t="n">
        <f aca="false">+U155*L155</f>
        <v>0</v>
      </c>
      <c r="W155" s="85" t="str">
        <f aca="false">IF(ISBLANK(VLOOKUP(B155,EffDate,4,FALSE())),"na",VLOOKUP(B155,EffDate,4,FALSE()))</f>
        <v>na</v>
      </c>
      <c r="X155" s="86" t="n">
        <f aca="false">+M155-S155-U155</f>
        <v>0</v>
      </c>
    </row>
    <row r="156" customFormat="false" ht="15" hidden="false" customHeight="true" outlineLevel="0" collapsed="false">
      <c r="A156" s="4" t="s">
        <v>213</v>
      </c>
      <c r="B156" s="77" t="s">
        <v>214</v>
      </c>
      <c r="C156" s="4" t="n">
        <v>2026901</v>
      </c>
      <c r="D156" s="105" t="s">
        <v>215</v>
      </c>
      <c r="E156" s="106" t="n">
        <v>37228</v>
      </c>
      <c r="F156" s="4"/>
      <c r="G156" s="78" t="n">
        <v>35823</v>
      </c>
      <c r="H156" s="78" t="s">
        <v>574</v>
      </c>
      <c r="I156" s="78" t="s">
        <v>575</v>
      </c>
      <c r="J156" s="79" t="str">
        <f aca="false">IF(ISNA(VLOOKUP(B156,cngdata,7,FALSE())),"na",VLOOKUP(B156,cngdata,7,FALSE()))</f>
        <v>GD</v>
      </c>
      <c r="K156" s="79" t="n">
        <f aca="false">IF(ISNA(VLOOKUP(B156,cngdata,13,FALSE())),"na",VLOOKUP(B156,cngdata,13,FALSE()))</f>
        <v>0</v>
      </c>
      <c r="L156" s="80" t="n">
        <v>2</v>
      </c>
      <c r="M156" s="79" t="n">
        <f aca="false">IF(ISNA(VLOOKUP(B156,cngdata,14,FALSE())),0,VLOOKUP(B156,cngdata,14,FALSE()))</f>
        <v>427</v>
      </c>
      <c r="O156" s="81" t="n">
        <v>0</v>
      </c>
      <c r="P156" s="82" t="n">
        <f aca="false">L156-O156</f>
        <v>2</v>
      </c>
      <c r="Q156" s="83" t="n">
        <f aca="false">M156*P156</f>
        <v>854</v>
      </c>
      <c r="R156" s="74"/>
      <c r="S156" s="79" t="n">
        <f aca="false">IF(ISNA(VLOOKUP(B156,SplitVol,5,FALSE())),0,VLOOKUP(B156,SplitVol,5,FALSE()))</f>
        <v>29</v>
      </c>
      <c r="T156" s="84" t="n">
        <f aca="false">+S156*L156</f>
        <v>58</v>
      </c>
      <c r="U156" s="79" t="n">
        <f aca="false">IF(ISNA(VLOOKUP(B156,SplitVol,6,FALSE())),0,VLOOKUP(B156,SplitVol,6,FALSE()))</f>
        <v>398</v>
      </c>
      <c r="V156" s="84" t="n">
        <f aca="false">+U156*L156</f>
        <v>796</v>
      </c>
      <c r="W156" s="85" t="n">
        <f aca="false">IF(ISBLANK(VLOOKUP(B156,EffDate,4,FALSE())),"na",VLOOKUP(B156,EffDate,4,FALSE()))</f>
        <v>37228</v>
      </c>
      <c r="X156" s="86" t="n">
        <f aca="false">+M156-S156-U156</f>
        <v>0</v>
      </c>
    </row>
    <row r="157" customFormat="false" ht="15" hidden="false" customHeight="true" outlineLevel="0" collapsed="false">
      <c r="A157" s="4" t="s">
        <v>5</v>
      </c>
      <c r="B157" s="77" t="s">
        <v>224</v>
      </c>
      <c r="C157" s="4" t="n">
        <v>3512101</v>
      </c>
      <c r="D157" s="90" t="s">
        <v>217</v>
      </c>
      <c r="E157" s="91" t="n">
        <v>37256</v>
      </c>
      <c r="F157" s="4"/>
      <c r="G157" s="4" t="n">
        <v>37148</v>
      </c>
      <c r="H157" s="4" t="s">
        <v>559</v>
      </c>
      <c r="I157" s="4" t="s">
        <v>537</v>
      </c>
      <c r="J157" s="79" t="str">
        <f aca="false">IF(ISNA(VLOOKUP(B157,cngdata,7,FALSE())),"na",VLOOKUP(B157,cngdata,7,FALSE()))</f>
        <v>GW</v>
      </c>
      <c r="K157" s="79" t="n">
        <f aca="false">IF(ISNA(VLOOKUP(B157,cngdata,13,FALSE())),"na",VLOOKUP(B157,cngdata,13,FALSE()))</f>
        <v>0</v>
      </c>
      <c r="L157" s="80" t="n">
        <f aca="false">L$2*100%</f>
        <v>2.42</v>
      </c>
      <c r="M157" s="79" t="n">
        <f aca="false">IF(ISNA(VLOOKUP(B157,cngdata,14,FALSE())),0,VLOOKUP(B157,cngdata,14,FALSE()))</f>
        <v>0</v>
      </c>
      <c r="O157" s="81" t="n">
        <v>0</v>
      </c>
      <c r="P157" s="82" t="n">
        <f aca="false">L157-O157</f>
        <v>2.42</v>
      </c>
      <c r="Q157" s="83" t="n">
        <f aca="false">M157*P157</f>
        <v>0</v>
      </c>
      <c r="R157" s="74"/>
      <c r="S157" s="79" t="n">
        <f aca="false">IF(ISNA(VLOOKUP(B157,SplitVol,5,FALSE())),0,VLOOKUP(B157,SplitVol,5,FALSE()))</f>
        <v>0</v>
      </c>
      <c r="T157" s="84" t="n">
        <f aca="false">+S157*L157</f>
        <v>0</v>
      </c>
      <c r="U157" s="79" t="n">
        <f aca="false">IF(ISNA(VLOOKUP(B157,SplitVol,6,FALSE())),0,VLOOKUP(B157,SplitVol,6,FALSE()))</f>
        <v>0</v>
      </c>
      <c r="V157" s="84" t="n">
        <f aca="false">+U157*L157</f>
        <v>0</v>
      </c>
      <c r="W157" s="85" t="n">
        <f aca="false">IF(ISBLANK(VLOOKUP(B157,EffDate,4,FALSE())),"na",VLOOKUP(B157,EffDate,4,FALSE()))</f>
        <v>37256</v>
      </c>
      <c r="X157" s="86" t="n">
        <f aca="false">+M157-S157-U157</f>
        <v>0</v>
      </c>
    </row>
    <row r="158" customFormat="false" ht="15" hidden="false" customHeight="true" outlineLevel="0" collapsed="false">
      <c r="A158" s="4" t="s">
        <v>5</v>
      </c>
      <c r="B158" s="77" t="s">
        <v>226</v>
      </c>
      <c r="C158" s="4" t="n">
        <v>3524201</v>
      </c>
      <c r="D158" s="90" t="s">
        <v>217</v>
      </c>
      <c r="E158" s="91" t="n">
        <v>37256</v>
      </c>
      <c r="F158" s="4"/>
      <c r="G158" s="4" t="n">
        <v>37148</v>
      </c>
      <c r="H158" s="4" t="s">
        <v>559</v>
      </c>
      <c r="I158" s="4" t="s">
        <v>537</v>
      </c>
      <c r="J158" s="79" t="str">
        <f aca="false">IF(ISNA(VLOOKUP(B158,cngdata,7,FALSE())),"na",VLOOKUP(B158,cngdata,7,FALSE()))</f>
        <v>GW</v>
      </c>
      <c r="K158" s="79" t="n">
        <f aca="false">IF(ISNA(VLOOKUP(B158,cngdata,13,FALSE())),"na",VLOOKUP(B158,cngdata,13,FALSE()))</f>
        <v>49</v>
      </c>
      <c r="L158" s="80" t="n">
        <f aca="false">L$2*100%</f>
        <v>2.42</v>
      </c>
      <c r="M158" s="79" t="n">
        <f aca="false">IF(ISNA(VLOOKUP(B158,cngdata,14,FALSE())),0,VLOOKUP(B158,cngdata,14,FALSE()))</f>
        <v>57</v>
      </c>
      <c r="O158" s="81" t="n">
        <v>0</v>
      </c>
      <c r="P158" s="82" t="n">
        <f aca="false">L158-O158</f>
        <v>2.42</v>
      </c>
      <c r="Q158" s="83" t="n">
        <f aca="false">M158*P158</f>
        <v>137.94</v>
      </c>
      <c r="R158" s="74"/>
      <c r="S158" s="79" t="n">
        <f aca="false">IF(ISNA(VLOOKUP(B158,SplitVol,5,FALSE())),0,VLOOKUP(B158,SplitVol,5,FALSE()))</f>
        <v>50</v>
      </c>
      <c r="T158" s="84" t="n">
        <f aca="false">+S158*L158</f>
        <v>121</v>
      </c>
      <c r="U158" s="79" t="n">
        <f aca="false">IF(ISNA(VLOOKUP(B158,SplitVol,6,FALSE())),0,VLOOKUP(B158,SplitVol,6,FALSE()))</f>
        <v>7</v>
      </c>
      <c r="V158" s="84" t="n">
        <f aca="false">+U158*L158</f>
        <v>16.94</v>
      </c>
      <c r="W158" s="85" t="n">
        <f aca="false">IF(ISBLANK(VLOOKUP(B158,EffDate,4,FALSE())),"na",VLOOKUP(B158,EffDate,4,FALSE()))</f>
        <v>37256</v>
      </c>
      <c r="X158" s="86" t="n">
        <f aca="false">+M158-S158-U158</f>
        <v>0</v>
      </c>
    </row>
    <row r="159" customFormat="false" ht="15" hidden="false" customHeight="true" outlineLevel="0" collapsed="false">
      <c r="A159" s="4" t="s">
        <v>5</v>
      </c>
      <c r="B159" s="77" t="s">
        <v>230</v>
      </c>
      <c r="C159" s="4" t="n">
        <v>3541601</v>
      </c>
      <c r="D159" s="90" t="s">
        <v>217</v>
      </c>
      <c r="E159" s="91" t="n">
        <v>37256</v>
      </c>
      <c r="F159" s="4"/>
      <c r="G159" s="4" t="n">
        <v>37148</v>
      </c>
      <c r="H159" s="4" t="s">
        <v>559</v>
      </c>
      <c r="I159" s="4" t="s">
        <v>537</v>
      </c>
      <c r="J159" s="79" t="str">
        <f aca="false">IF(ISNA(VLOOKUP(B159,cngdata,7,FALSE())),"na",VLOOKUP(B159,cngdata,7,FALSE()))</f>
        <v>GW</v>
      </c>
      <c r="K159" s="79" t="n">
        <f aca="false">IF(ISNA(VLOOKUP(B159,cngdata,13,FALSE())),"na",VLOOKUP(B159,cngdata,13,FALSE()))</f>
        <v>45</v>
      </c>
      <c r="L159" s="80" t="n">
        <f aca="false">L$2*100%</f>
        <v>2.42</v>
      </c>
      <c r="M159" s="79" t="n">
        <f aca="false">IF(ISNA(VLOOKUP(B159,cngdata,14,FALSE())),0,VLOOKUP(B159,cngdata,14,FALSE()))</f>
        <v>53</v>
      </c>
      <c r="O159" s="81" t="n">
        <v>0</v>
      </c>
      <c r="P159" s="82" t="n">
        <f aca="false">L159-O159</f>
        <v>2.42</v>
      </c>
      <c r="Q159" s="83" t="n">
        <f aca="false">M159*P159</f>
        <v>128.26</v>
      </c>
      <c r="R159" s="74"/>
      <c r="S159" s="79" t="n">
        <f aca="false">IF(ISNA(VLOOKUP(B159,SplitVol,5,FALSE())),0,VLOOKUP(B159,SplitVol,5,FALSE()))</f>
        <v>35</v>
      </c>
      <c r="T159" s="84" t="n">
        <f aca="false">+S159*L159</f>
        <v>84.7</v>
      </c>
      <c r="U159" s="79" t="n">
        <f aca="false">IF(ISNA(VLOOKUP(B159,SplitVol,6,FALSE())),0,VLOOKUP(B159,SplitVol,6,FALSE()))</f>
        <v>18</v>
      </c>
      <c r="V159" s="84" t="n">
        <f aca="false">+U159*L159</f>
        <v>43.56</v>
      </c>
      <c r="W159" s="85" t="n">
        <f aca="false">IF(ISBLANK(VLOOKUP(B159,EffDate,4,FALSE())),"na",VLOOKUP(B159,EffDate,4,FALSE()))</f>
        <v>37256</v>
      </c>
      <c r="X159" s="86" t="n">
        <f aca="false">+M159-S159-U159</f>
        <v>0</v>
      </c>
    </row>
    <row r="160" customFormat="false" ht="15" hidden="false" customHeight="true" outlineLevel="0" collapsed="false">
      <c r="A160" s="4" t="s">
        <v>5</v>
      </c>
      <c r="B160" s="77" t="s">
        <v>219</v>
      </c>
      <c r="C160" s="4" t="n">
        <v>3178601</v>
      </c>
      <c r="D160" s="90" t="s">
        <v>217</v>
      </c>
      <c r="E160" s="91" t="n">
        <v>37256</v>
      </c>
      <c r="F160" s="4"/>
      <c r="G160" s="4" t="n">
        <v>37148</v>
      </c>
      <c r="H160" s="4" t="s">
        <v>559</v>
      </c>
      <c r="I160" s="4" t="s">
        <v>537</v>
      </c>
      <c r="J160" s="79" t="str">
        <f aca="false">IF(ISNA(VLOOKUP(B160,cngdata,7,FALSE())),"na",VLOOKUP(B160,cngdata,7,FALSE()))</f>
        <v>GW</v>
      </c>
      <c r="K160" s="79" t="n">
        <f aca="false">IF(ISNA(VLOOKUP(B160,cngdata,13,FALSE())),"na",VLOOKUP(B160,cngdata,13,FALSE()))</f>
        <v>917</v>
      </c>
      <c r="L160" s="80" t="n">
        <f aca="false">L$2*100%</f>
        <v>2.42</v>
      </c>
      <c r="M160" s="79" t="n">
        <f aca="false">IF(ISNA(VLOOKUP(B160,cngdata,14,FALSE())),0,VLOOKUP(B160,cngdata,14,FALSE()))</f>
        <v>1111</v>
      </c>
      <c r="O160" s="81" t="n">
        <v>0</v>
      </c>
      <c r="P160" s="82" t="n">
        <f aca="false">L160-O160</f>
        <v>2.42</v>
      </c>
      <c r="Q160" s="83" t="n">
        <f aca="false">M160*P160</f>
        <v>2688.62</v>
      </c>
      <c r="R160" s="74"/>
      <c r="S160" s="79" t="n">
        <f aca="false">IF(ISNA(VLOOKUP(B160,SplitVol,5,FALSE())),0,VLOOKUP(B160,SplitVol,5,FALSE()))</f>
        <v>210</v>
      </c>
      <c r="T160" s="84" t="n">
        <f aca="false">+S160*L160</f>
        <v>508.2</v>
      </c>
      <c r="U160" s="79" t="n">
        <f aca="false">IF(ISNA(VLOOKUP(B160,SplitVol,6,FALSE())),0,VLOOKUP(B160,SplitVol,6,FALSE()))</f>
        <v>901</v>
      </c>
      <c r="V160" s="84" t="n">
        <f aca="false">+U160*L160</f>
        <v>2180.42</v>
      </c>
      <c r="W160" s="85" t="n">
        <f aca="false">IF(ISBLANK(VLOOKUP(B160,EffDate,4,FALSE())),"na",VLOOKUP(B160,EffDate,4,FALSE()))</f>
        <v>37256</v>
      </c>
      <c r="X160" s="86" t="n">
        <f aca="false">+M160-S160-U160</f>
        <v>0</v>
      </c>
    </row>
    <row r="161" customFormat="false" ht="15" hidden="false" customHeight="true" outlineLevel="0" collapsed="false">
      <c r="A161" s="4" t="s">
        <v>5</v>
      </c>
      <c r="B161" s="77" t="s">
        <v>220</v>
      </c>
      <c r="C161" s="4" t="n">
        <v>3405301</v>
      </c>
      <c r="D161" s="90" t="s">
        <v>217</v>
      </c>
      <c r="E161" s="91" t="n">
        <v>37256</v>
      </c>
      <c r="F161" s="4"/>
      <c r="G161" s="4" t="n">
        <v>37148</v>
      </c>
      <c r="H161" s="4" t="s">
        <v>559</v>
      </c>
      <c r="I161" s="4" t="s">
        <v>537</v>
      </c>
      <c r="J161" s="79" t="str">
        <f aca="false">IF(ISNA(VLOOKUP(B161,cngdata,7,FALSE())),"na",VLOOKUP(B161,cngdata,7,FALSE()))</f>
        <v>GW</v>
      </c>
      <c r="K161" s="79" t="n">
        <f aca="false">IF(ISNA(VLOOKUP(B161,cngdata,13,FALSE())),"na",VLOOKUP(B161,cngdata,13,FALSE()))</f>
        <v>235</v>
      </c>
      <c r="L161" s="80" t="n">
        <f aca="false">L$2*100%</f>
        <v>2.42</v>
      </c>
      <c r="M161" s="79" t="n">
        <f aca="false">IF(ISNA(VLOOKUP(B161,cngdata,14,FALSE())),0,VLOOKUP(B161,cngdata,14,FALSE()))</f>
        <v>248</v>
      </c>
      <c r="O161" s="81" t="n">
        <v>0</v>
      </c>
      <c r="P161" s="82" t="n">
        <f aca="false">L161-O161</f>
        <v>2.42</v>
      </c>
      <c r="Q161" s="83" t="n">
        <f aca="false">M161*P161</f>
        <v>600.16</v>
      </c>
      <c r="R161" s="74"/>
      <c r="S161" s="79" t="n">
        <f aca="false">IF(ISNA(VLOOKUP(B161,SplitVol,5,FALSE())),0,VLOOKUP(B161,SplitVol,5,FALSE()))</f>
        <v>24</v>
      </c>
      <c r="T161" s="84" t="n">
        <f aca="false">+S161*L161</f>
        <v>58.08</v>
      </c>
      <c r="U161" s="79" t="n">
        <f aca="false">IF(ISNA(VLOOKUP(B161,SplitVol,6,FALSE())),0,VLOOKUP(B161,SplitVol,6,FALSE()))</f>
        <v>224</v>
      </c>
      <c r="V161" s="84" t="n">
        <f aca="false">+U161*L161</f>
        <v>542.08</v>
      </c>
      <c r="W161" s="85" t="n">
        <f aca="false">IF(ISBLANK(VLOOKUP(B161,EffDate,4,FALSE())),"na",VLOOKUP(B161,EffDate,4,FALSE()))</f>
        <v>37256</v>
      </c>
      <c r="X161" s="86" t="n">
        <f aca="false">+M161-S161-U161</f>
        <v>0</v>
      </c>
    </row>
    <row r="162" customFormat="false" ht="15" hidden="false" customHeight="true" outlineLevel="0" collapsed="false">
      <c r="A162" s="4" t="s">
        <v>5</v>
      </c>
      <c r="B162" s="77" t="s">
        <v>221</v>
      </c>
      <c r="C162" s="4" t="n">
        <v>3422901</v>
      </c>
      <c r="D162" s="90" t="s">
        <v>217</v>
      </c>
      <c r="E162" s="91" t="n">
        <v>37256</v>
      </c>
      <c r="F162" s="4"/>
      <c r="G162" s="4" t="n">
        <v>37148</v>
      </c>
      <c r="H162" s="4" t="s">
        <v>559</v>
      </c>
      <c r="I162" s="4" t="s">
        <v>537</v>
      </c>
      <c r="J162" s="79" t="str">
        <f aca="false">IF(ISNA(VLOOKUP(B162,cngdata,7,FALSE())),"na",VLOOKUP(B162,cngdata,7,FALSE()))</f>
        <v>GW</v>
      </c>
      <c r="K162" s="79" t="n">
        <f aca="false">IF(ISNA(VLOOKUP(B162,cngdata,13,FALSE())),"na",VLOOKUP(B162,cngdata,13,FALSE()))</f>
        <v>99</v>
      </c>
      <c r="L162" s="80" t="n">
        <f aca="false">L$2*100%</f>
        <v>2.42</v>
      </c>
      <c r="M162" s="79" t="n">
        <f aca="false">IF(ISNA(VLOOKUP(B162,cngdata,14,FALSE())),0,VLOOKUP(B162,cngdata,14,FALSE()))</f>
        <v>110</v>
      </c>
      <c r="O162" s="81" t="n">
        <v>0</v>
      </c>
      <c r="P162" s="82" t="n">
        <f aca="false">L162-O162</f>
        <v>2.42</v>
      </c>
      <c r="Q162" s="83" t="n">
        <f aca="false">M162*P162</f>
        <v>266.2</v>
      </c>
      <c r="R162" s="74"/>
      <c r="S162" s="79" t="n">
        <f aca="false">IF(ISNA(VLOOKUP(B162,SplitVol,5,FALSE())),0,VLOOKUP(B162,SplitVol,5,FALSE()))</f>
        <v>19</v>
      </c>
      <c r="T162" s="84" t="n">
        <f aca="false">+S162*L162</f>
        <v>45.98</v>
      </c>
      <c r="U162" s="79" t="n">
        <f aca="false">IF(ISNA(VLOOKUP(B162,SplitVol,6,FALSE())),0,VLOOKUP(B162,SplitVol,6,FALSE()))</f>
        <v>91</v>
      </c>
      <c r="V162" s="84" t="n">
        <f aca="false">+U162*L162</f>
        <v>220.22</v>
      </c>
      <c r="W162" s="85" t="n">
        <f aca="false">IF(ISBLANK(VLOOKUP(B162,EffDate,4,FALSE())),"na",VLOOKUP(B162,EffDate,4,FALSE()))</f>
        <v>37256</v>
      </c>
      <c r="X162" s="86" t="n">
        <f aca="false">+M162-S162-U162</f>
        <v>0</v>
      </c>
    </row>
    <row r="163" customFormat="false" ht="15" hidden="false" customHeight="true" outlineLevel="0" collapsed="false">
      <c r="A163" s="4" t="s">
        <v>5</v>
      </c>
      <c r="B163" s="77" t="s">
        <v>222</v>
      </c>
      <c r="C163" s="4" t="n">
        <v>3510601</v>
      </c>
      <c r="D163" s="90" t="s">
        <v>217</v>
      </c>
      <c r="E163" s="91" t="n">
        <v>37256</v>
      </c>
      <c r="F163" s="4"/>
      <c r="G163" s="4" t="n">
        <v>37148</v>
      </c>
      <c r="H163" s="4" t="s">
        <v>559</v>
      </c>
      <c r="I163" s="4" t="s">
        <v>537</v>
      </c>
      <c r="J163" s="79" t="str">
        <f aca="false">IF(ISNA(VLOOKUP(B163,cngdata,7,FALSE())),"na",VLOOKUP(B163,cngdata,7,FALSE()))</f>
        <v>GW</v>
      </c>
      <c r="K163" s="79" t="n">
        <f aca="false">IF(ISNA(VLOOKUP(B163,cngdata,13,FALSE())),"na",VLOOKUP(B163,cngdata,13,FALSE()))</f>
        <v>28</v>
      </c>
      <c r="L163" s="80" t="n">
        <f aca="false">L$2*100%</f>
        <v>2.42</v>
      </c>
      <c r="M163" s="79" t="n">
        <f aca="false">IF(ISNA(VLOOKUP(B163,cngdata,14,FALSE())),0,VLOOKUP(B163,cngdata,14,FALSE()))</f>
        <v>30</v>
      </c>
      <c r="O163" s="81" t="n">
        <v>0</v>
      </c>
      <c r="P163" s="82" t="n">
        <f aca="false">L163-O163</f>
        <v>2.42</v>
      </c>
      <c r="Q163" s="83" t="n">
        <f aca="false">M163*P163</f>
        <v>72.6</v>
      </c>
      <c r="R163" s="74"/>
      <c r="S163" s="79" t="n">
        <f aca="false">IF(ISNA(VLOOKUP(B163,SplitVol,5,FALSE())),0,VLOOKUP(B163,SplitVol,5,FALSE()))</f>
        <v>19</v>
      </c>
      <c r="T163" s="84" t="n">
        <f aca="false">+S163*L163</f>
        <v>45.98</v>
      </c>
      <c r="U163" s="79" t="n">
        <f aca="false">IF(ISNA(VLOOKUP(B163,SplitVol,6,FALSE())),0,VLOOKUP(B163,SplitVol,6,FALSE()))</f>
        <v>11</v>
      </c>
      <c r="V163" s="84" t="n">
        <f aca="false">+U163*L163</f>
        <v>26.62</v>
      </c>
      <c r="W163" s="85" t="n">
        <f aca="false">IF(ISBLANK(VLOOKUP(B163,EffDate,4,FALSE())),"na",VLOOKUP(B163,EffDate,4,FALSE()))</f>
        <v>37256</v>
      </c>
      <c r="X163" s="86" t="n">
        <f aca="false">+M163-S163-U163</f>
        <v>0</v>
      </c>
    </row>
    <row r="164" customFormat="false" ht="15" hidden="false" customHeight="true" outlineLevel="0" collapsed="false">
      <c r="A164" s="4" t="s">
        <v>5</v>
      </c>
      <c r="B164" s="77" t="s">
        <v>225</v>
      </c>
      <c r="C164" s="4" t="n">
        <v>3513301</v>
      </c>
      <c r="D164" s="90" t="s">
        <v>217</v>
      </c>
      <c r="E164" s="91" t="n">
        <v>37256</v>
      </c>
      <c r="F164" s="4"/>
      <c r="G164" s="4" t="n">
        <v>37148</v>
      </c>
      <c r="H164" s="4" t="s">
        <v>559</v>
      </c>
      <c r="I164" s="4" t="s">
        <v>537</v>
      </c>
      <c r="J164" s="79" t="str">
        <f aca="false">IF(ISNA(VLOOKUP(B164,cngdata,7,FALSE())),"na",VLOOKUP(B164,cngdata,7,FALSE()))</f>
        <v>GW</v>
      </c>
      <c r="K164" s="79" t="n">
        <f aca="false">IF(ISNA(VLOOKUP(B164,cngdata,13,FALSE())),"na",VLOOKUP(B164,cngdata,13,FALSE()))</f>
        <v>248</v>
      </c>
      <c r="L164" s="80" t="n">
        <f aca="false">L$2*100%</f>
        <v>2.42</v>
      </c>
      <c r="M164" s="79" t="n">
        <f aca="false">IF(ISNA(VLOOKUP(B164,cngdata,14,FALSE())),0,VLOOKUP(B164,cngdata,14,FALSE()))</f>
        <v>282</v>
      </c>
      <c r="O164" s="81" t="n">
        <v>0</v>
      </c>
      <c r="P164" s="82" t="n">
        <f aca="false">L164-O164</f>
        <v>2.42</v>
      </c>
      <c r="Q164" s="83" t="n">
        <f aca="false">M164*P164</f>
        <v>682.44</v>
      </c>
      <c r="R164" s="74"/>
      <c r="S164" s="79" t="n">
        <f aca="false">IF(ISNA(VLOOKUP(B164,SplitVol,5,FALSE())),0,VLOOKUP(B164,SplitVol,5,FALSE()))</f>
        <v>21</v>
      </c>
      <c r="T164" s="84" t="n">
        <f aca="false">+S164*L164</f>
        <v>50.82</v>
      </c>
      <c r="U164" s="79" t="n">
        <f aca="false">IF(ISNA(VLOOKUP(B164,SplitVol,6,FALSE())),0,VLOOKUP(B164,SplitVol,6,FALSE()))</f>
        <v>261</v>
      </c>
      <c r="V164" s="84" t="n">
        <f aca="false">+U164*L164</f>
        <v>631.62</v>
      </c>
      <c r="W164" s="85" t="n">
        <f aca="false">IF(ISBLANK(VLOOKUP(B164,EffDate,4,FALSE())),"na",VLOOKUP(B164,EffDate,4,FALSE()))</f>
        <v>37256</v>
      </c>
      <c r="X164" s="86" t="n">
        <f aca="false">+M164-S164-U164</f>
        <v>0</v>
      </c>
    </row>
    <row r="165" customFormat="false" ht="15" hidden="false" customHeight="true" outlineLevel="0" collapsed="false">
      <c r="A165" s="4" t="s">
        <v>5</v>
      </c>
      <c r="B165" s="77" t="s">
        <v>223</v>
      </c>
      <c r="C165" s="4" t="n">
        <v>3510801</v>
      </c>
      <c r="D165" s="90" t="s">
        <v>217</v>
      </c>
      <c r="E165" s="91" t="n">
        <v>37256</v>
      </c>
      <c r="F165" s="4"/>
      <c r="G165" s="4" t="n">
        <v>37148</v>
      </c>
      <c r="H165" s="4" t="s">
        <v>559</v>
      </c>
      <c r="I165" s="4" t="s">
        <v>537</v>
      </c>
      <c r="J165" s="79" t="str">
        <f aca="false">IF(ISNA(VLOOKUP(B165,cngdata,7,FALSE())),"na",VLOOKUP(B165,cngdata,7,FALSE()))</f>
        <v>GW</v>
      </c>
      <c r="K165" s="79" t="n">
        <f aca="false">IF(ISNA(VLOOKUP(B165,cngdata,13,FALSE())),"na",VLOOKUP(B165,cngdata,13,FALSE()))</f>
        <v>0</v>
      </c>
      <c r="L165" s="80" t="n">
        <f aca="false">L$2*100%</f>
        <v>2.42</v>
      </c>
      <c r="M165" s="79" t="n">
        <f aca="false">IF(ISNA(VLOOKUP(B165,cngdata,14,FALSE())),0,VLOOKUP(B165,cngdata,14,FALSE()))</f>
        <v>0</v>
      </c>
      <c r="O165" s="81" t="n">
        <v>0</v>
      </c>
      <c r="P165" s="82" t="n">
        <f aca="false">L165-O165</f>
        <v>2.42</v>
      </c>
      <c r="Q165" s="83" t="n">
        <f aca="false">M165*P165</f>
        <v>0</v>
      </c>
      <c r="R165" s="74"/>
      <c r="S165" s="79" t="n">
        <f aca="false">IF(ISNA(VLOOKUP(B165,SplitVol,5,FALSE())),0,VLOOKUP(B165,SplitVol,5,FALSE()))</f>
        <v>0</v>
      </c>
      <c r="T165" s="84" t="n">
        <f aca="false">+S165*L165</f>
        <v>0</v>
      </c>
      <c r="U165" s="79" t="n">
        <f aca="false">IF(ISNA(VLOOKUP(B165,SplitVol,6,FALSE())),0,VLOOKUP(B165,SplitVol,6,FALSE()))</f>
        <v>0</v>
      </c>
      <c r="V165" s="84" t="n">
        <f aca="false">+U165*L165</f>
        <v>0</v>
      </c>
      <c r="W165" s="85" t="n">
        <f aca="false">IF(ISBLANK(VLOOKUP(B165,EffDate,4,FALSE())),"na",VLOOKUP(B165,EffDate,4,FALSE()))</f>
        <v>37256</v>
      </c>
      <c r="X165" s="86" t="n">
        <f aca="false">+M165-S165-U165</f>
        <v>0</v>
      </c>
    </row>
    <row r="166" customFormat="false" ht="15" hidden="false" customHeight="true" outlineLevel="0" collapsed="false">
      <c r="A166" s="4" t="s">
        <v>5</v>
      </c>
      <c r="B166" s="77" t="s">
        <v>229</v>
      </c>
      <c r="C166" s="4" t="n">
        <v>3526101</v>
      </c>
      <c r="D166" s="90" t="s">
        <v>217</v>
      </c>
      <c r="E166" s="91" t="n">
        <v>37256</v>
      </c>
      <c r="F166" s="4"/>
      <c r="G166" s="4" t="n">
        <v>37148</v>
      </c>
      <c r="H166" s="4" t="s">
        <v>559</v>
      </c>
      <c r="I166" s="4" t="s">
        <v>537</v>
      </c>
      <c r="J166" s="79" t="str">
        <f aca="false">IF(ISNA(VLOOKUP(B166,cngdata,7,FALSE())),"na",VLOOKUP(B166,cngdata,7,FALSE()))</f>
        <v>GW</v>
      </c>
      <c r="K166" s="79" t="n">
        <f aca="false">IF(ISNA(VLOOKUP(B166,cngdata,13,FALSE())),"na",VLOOKUP(B166,cngdata,13,FALSE()))</f>
        <v>232</v>
      </c>
      <c r="L166" s="80" t="n">
        <f aca="false">L$2*100%</f>
        <v>2.42</v>
      </c>
      <c r="M166" s="79" t="n">
        <f aca="false">IF(ISNA(VLOOKUP(B166,cngdata,14,FALSE())),0,VLOOKUP(B166,cngdata,14,FALSE()))</f>
        <v>265</v>
      </c>
      <c r="O166" s="81" t="n">
        <v>0</v>
      </c>
      <c r="P166" s="82" t="n">
        <f aca="false">L166-O166</f>
        <v>2.42</v>
      </c>
      <c r="Q166" s="83" t="n">
        <f aca="false">M166*P166</f>
        <v>641.3</v>
      </c>
      <c r="R166" s="74"/>
      <c r="S166" s="79" t="n">
        <f aca="false">IF(ISNA(VLOOKUP(B166,SplitVol,5,FALSE())),0,VLOOKUP(B166,SplitVol,5,FALSE()))</f>
        <v>40</v>
      </c>
      <c r="T166" s="84" t="n">
        <f aca="false">+S166*L166</f>
        <v>96.8</v>
      </c>
      <c r="U166" s="79" t="n">
        <f aca="false">IF(ISNA(VLOOKUP(B166,SplitVol,6,FALSE())),0,VLOOKUP(B166,SplitVol,6,FALSE()))-1</f>
        <v>225</v>
      </c>
      <c r="V166" s="84" t="n">
        <f aca="false">+U166*L166</f>
        <v>544.5</v>
      </c>
      <c r="W166" s="85" t="n">
        <f aca="false">IF(ISBLANK(VLOOKUP(B166,EffDate,4,FALSE())),"na",VLOOKUP(B166,EffDate,4,FALSE()))</f>
        <v>37256</v>
      </c>
      <c r="X166" s="86" t="n">
        <f aca="false">+M166-S166-U166</f>
        <v>0</v>
      </c>
    </row>
    <row r="167" customFormat="false" ht="15" hidden="false" customHeight="true" outlineLevel="0" collapsed="false">
      <c r="A167" s="4" t="s">
        <v>5</v>
      </c>
      <c r="B167" s="77" t="s">
        <v>231</v>
      </c>
      <c r="C167" s="4" t="n">
        <v>4334701</v>
      </c>
      <c r="D167" s="90" t="s">
        <v>217</v>
      </c>
      <c r="E167" s="91" t="n">
        <v>37256</v>
      </c>
      <c r="F167" s="4"/>
      <c r="G167" s="4" t="n">
        <v>37148</v>
      </c>
      <c r="H167" s="4" t="s">
        <v>559</v>
      </c>
      <c r="I167" s="4" t="s">
        <v>537</v>
      </c>
      <c r="J167" s="79" t="str">
        <f aca="false">IF(ISNA(VLOOKUP(B167,cngdata,7,FALSE())),"na",VLOOKUP(B167,cngdata,7,FALSE()))</f>
        <v>GW</v>
      </c>
      <c r="K167" s="79" t="n">
        <f aca="false">IF(ISNA(VLOOKUP(B167,cngdata,13,FALSE())),"na",VLOOKUP(B167,cngdata,13,FALSE()))</f>
        <v>0</v>
      </c>
      <c r="L167" s="80" t="n">
        <f aca="false">L$2*100%</f>
        <v>2.42</v>
      </c>
      <c r="M167" s="79" t="n">
        <f aca="false">IF(ISNA(VLOOKUP(B167,cngdata,14,FALSE())),0,VLOOKUP(B167,cngdata,14,FALSE()))</f>
        <v>0</v>
      </c>
      <c r="O167" s="81" t="n">
        <v>0</v>
      </c>
      <c r="P167" s="82" t="n">
        <f aca="false">L167-O167</f>
        <v>2.42</v>
      </c>
      <c r="Q167" s="83" t="n">
        <f aca="false">M167*P167</f>
        <v>0</v>
      </c>
      <c r="R167" s="74"/>
      <c r="S167" s="79" t="n">
        <f aca="false">IF(ISNA(VLOOKUP(B167,SplitVol,5,FALSE())),0,VLOOKUP(B167,SplitVol,5,FALSE()))</f>
        <v>0</v>
      </c>
      <c r="T167" s="84" t="n">
        <f aca="false">+S167*L167</f>
        <v>0</v>
      </c>
      <c r="U167" s="79" t="n">
        <f aca="false">IF(ISNA(VLOOKUP(B167,SplitVol,6,FALSE())),0,VLOOKUP(B167,SplitVol,6,FALSE()))</f>
        <v>0</v>
      </c>
      <c r="V167" s="84" t="n">
        <f aca="false">+U167*L167</f>
        <v>0</v>
      </c>
      <c r="W167" s="85" t="n">
        <f aca="false">IF(ISBLANK(VLOOKUP(B167,EffDate,4,FALSE())),"na",VLOOKUP(B167,EffDate,4,FALSE()))</f>
        <v>37256</v>
      </c>
      <c r="X167" s="86" t="n">
        <f aca="false">+M167-S167-U167</f>
        <v>0</v>
      </c>
    </row>
    <row r="168" customFormat="false" ht="15" hidden="false" customHeight="true" outlineLevel="0" collapsed="false">
      <c r="A168" s="4" t="s">
        <v>227</v>
      </c>
      <c r="B168" s="77" t="s">
        <v>228</v>
      </c>
      <c r="C168" s="4" t="n">
        <v>3525501</v>
      </c>
      <c r="D168" s="90" t="s">
        <v>217</v>
      </c>
      <c r="E168" s="91" t="n">
        <v>37256</v>
      </c>
      <c r="F168" s="4"/>
      <c r="G168" s="4" t="n">
        <v>37148</v>
      </c>
      <c r="H168" s="4" t="s">
        <v>559</v>
      </c>
      <c r="I168" s="4" t="s">
        <v>537</v>
      </c>
      <c r="J168" s="79" t="str">
        <f aca="false">IF(ISNA(VLOOKUP(B168,cngdata,7,FALSE())),"na",VLOOKUP(B168,cngdata,7,FALSE()))</f>
        <v>GD</v>
      </c>
      <c r="K168" s="79" t="n">
        <f aca="false">IF(ISNA(VLOOKUP(B168,cngdata,13,FALSE())),"na",VLOOKUP(B168,cngdata,13,FALSE()))</f>
        <v>213</v>
      </c>
      <c r="L168" s="80" t="n">
        <f aca="false">L$2*100%</f>
        <v>2.42</v>
      </c>
      <c r="M168" s="79" t="n">
        <f aca="false">IF(ISNA(VLOOKUP(B168,cngdata,14,FALSE())),0,VLOOKUP(B168,cngdata,14,FALSE()))</f>
        <v>308</v>
      </c>
      <c r="O168" s="81" t="n">
        <v>0</v>
      </c>
      <c r="P168" s="82" t="n">
        <f aca="false">L168-O168</f>
        <v>2.42</v>
      </c>
      <c r="Q168" s="83" t="n">
        <f aca="false">M168*P168</f>
        <v>745.36</v>
      </c>
      <c r="R168" s="74"/>
      <c r="S168" s="79" t="n">
        <f aca="false">IF(ISNA(VLOOKUP(B168,SplitVol,5,FALSE())),0,VLOOKUP(B168,SplitVol,5,FALSE()))</f>
        <v>152</v>
      </c>
      <c r="T168" s="84" t="n">
        <f aca="false">+S168*L168</f>
        <v>367.84</v>
      </c>
      <c r="U168" s="79" t="n">
        <f aca="false">IF(ISNA(VLOOKUP(B168,SplitVol,6,FALSE())),0,VLOOKUP(B168,SplitVol,6,FALSE()))</f>
        <v>156</v>
      </c>
      <c r="V168" s="84" t="n">
        <f aca="false">+U168*L168</f>
        <v>377.52</v>
      </c>
      <c r="W168" s="85" t="n">
        <f aca="false">IF(ISBLANK(VLOOKUP(B168,EffDate,4,FALSE())),"na",VLOOKUP(B168,EffDate,4,FALSE()))</f>
        <v>37256</v>
      </c>
      <c r="X168" s="86" t="n">
        <f aca="false">+M168-S168-U168</f>
        <v>0</v>
      </c>
    </row>
    <row r="169" customFormat="false" ht="15" hidden="false" customHeight="true" outlineLevel="0" collapsed="false">
      <c r="A169" s="4" t="s">
        <v>5</v>
      </c>
      <c r="B169" s="77" t="s">
        <v>218</v>
      </c>
      <c r="C169" s="4" t="n">
        <v>2152501</v>
      </c>
      <c r="D169" s="90" t="s">
        <v>217</v>
      </c>
      <c r="E169" s="91" t="n">
        <v>37256</v>
      </c>
      <c r="F169" s="4"/>
      <c r="G169" s="4" t="n">
        <v>37148</v>
      </c>
      <c r="H169" s="4" t="s">
        <v>559</v>
      </c>
      <c r="I169" s="4" t="s">
        <v>537</v>
      </c>
      <c r="J169" s="79" t="str">
        <f aca="false">IF(ISNA(VLOOKUP(B169,cngdata,7,FALSE())),"na",VLOOKUP(B169,cngdata,7,FALSE()))</f>
        <v>GW</v>
      </c>
      <c r="K169" s="79" t="n">
        <f aca="false">IF(ISNA(VLOOKUP(B169,cngdata,13,FALSE())),"na",VLOOKUP(B169,cngdata,13,FALSE()))</f>
        <v>0</v>
      </c>
      <c r="L169" s="80" t="n">
        <f aca="false">L$2*100%</f>
        <v>2.42</v>
      </c>
      <c r="M169" s="79" t="n">
        <f aca="false">IF(ISNA(VLOOKUP(B169,cngdata,14,FALSE())),0,VLOOKUP(B169,cngdata,14,FALSE()))</f>
        <v>20</v>
      </c>
      <c r="O169" s="81" t="n">
        <v>0</v>
      </c>
      <c r="P169" s="82" t="n">
        <f aca="false">L169-O169</f>
        <v>2.42</v>
      </c>
      <c r="Q169" s="83" t="n">
        <f aca="false">M169*P169</f>
        <v>48.4</v>
      </c>
      <c r="R169" s="74"/>
      <c r="S169" s="79" t="n">
        <f aca="false">IF(ISNA(VLOOKUP(B169,SplitVol,5,FALSE())),0,VLOOKUP(B169,SplitVol,5,FALSE()))</f>
        <v>0</v>
      </c>
      <c r="T169" s="84" t="n">
        <f aca="false">+S169*L169</f>
        <v>0</v>
      </c>
      <c r="U169" s="79" t="n">
        <f aca="false">IF(ISNA(VLOOKUP(B169,SplitVol,6,FALSE())),0,VLOOKUP(B169,SplitVol,6,FALSE()))</f>
        <v>20</v>
      </c>
      <c r="V169" s="84" t="n">
        <f aca="false">+U169*L169</f>
        <v>48.4</v>
      </c>
      <c r="W169" s="85" t="n">
        <f aca="false">IF(ISBLANK(VLOOKUP(B169,EffDate,4,FALSE())),"na",VLOOKUP(B169,EffDate,4,FALSE()))</f>
        <v>37256</v>
      </c>
      <c r="X169" s="86" t="n">
        <f aca="false">+M169-S169-U169</f>
        <v>0</v>
      </c>
    </row>
    <row r="170" customFormat="false" ht="15" hidden="false" customHeight="true" outlineLevel="0" collapsed="false">
      <c r="A170" s="4" t="s">
        <v>213</v>
      </c>
      <c r="B170" s="77" t="s">
        <v>216</v>
      </c>
      <c r="C170" s="4" t="n">
        <v>2075601</v>
      </c>
      <c r="D170" s="90" t="s">
        <v>217</v>
      </c>
      <c r="E170" s="91" t="n">
        <v>37256</v>
      </c>
      <c r="F170" s="4"/>
      <c r="G170" s="4" t="n">
        <v>37148</v>
      </c>
      <c r="H170" s="4" t="s">
        <v>559</v>
      </c>
      <c r="I170" s="4" t="s">
        <v>537</v>
      </c>
      <c r="J170" s="79" t="str">
        <f aca="false">IF(ISNA(VLOOKUP(B170,cngdata,7,FALSE())),"na",VLOOKUP(B170,cngdata,7,FALSE()))</f>
        <v>GD</v>
      </c>
      <c r="K170" s="79" t="n">
        <f aca="false">IF(ISNA(VLOOKUP(B170,cngdata,13,FALSE())),"na",VLOOKUP(B170,cngdata,13,FALSE()))</f>
        <v>0</v>
      </c>
      <c r="L170" s="80" t="n">
        <f aca="false">L$2*100%</f>
        <v>2.42</v>
      </c>
      <c r="M170" s="79" t="n">
        <f aca="false">IF(ISNA(VLOOKUP(B170,cngdata,14,FALSE())),0,VLOOKUP(B170,cngdata,14,FALSE()))</f>
        <v>662</v>
      </c>
      <c r="O170" s="81" t="n">
        <v>0</v>
      </c>
      <c r="P170" s="82" t="n">
        <f aca="false">L170-O170</f>
        <v>2.42</v>
      </c>
      <c r="Q170" s="83" t="n">
        <f aca="false">M170*P170</f>
        <v>1602.04</v>
      </c>
      <c r="R170" s="74"/>
      <c r="S170" s="79" t="n">
        <f aca="false">IF(ISNA(VLOOKUP(B170,SplitVol,5,FALSE())),0,VLOOKUP(B170,SplitVol,5,FALSE()))</f>
        <v>121</v>
      </c>
      <c r="T170" s="84" t="n">
        <f aca="false">+S170*L170</f>
        <v>292.82</v>
      </c>
      <c r="U170" s="79" t="n">
        <f aca="false">IF(ISNA(VLOOKUP(B170,SplitVol,6,FALSE())),0,VLOOKUP(B170,SplitVol,6,FALSE()))+1</f>
        <v>541</v>
      </c>
      <c r="V170" s="84" t="n">
        <f aca="false">+U170*L170</f>
        <v>1309.22</v>
      </c>
      <c r="W170" s="85" t="n">
        <f aca="false">IF(ISBLANK(VLOOKUP(B170,EffDate,4,FALSE())),"na",VLOOKUP(B170,EffDate,4,FALSE()))</f>
        <v>37256</v>
      </c>
      <c r="X170" s="86" t="n">
        <f aca="false">+M170-S170-U170</f>
        <v>0</v>
      </c>
    </row>
    <row r="171" customFormat="false" ht="15" hidden="false" customHeight="true" outlineLevel="0" collapsed="false">
      <c r="A171" s="4" t="s">
        <v>5</v>
      </c>
      <c r="B171" s="77" t="s">
        <v>234</v>
      </c>
      <c r="C171" s="4" t="n">
        <v>3507801</v>
      </c>
      <c r="D171" s="90" t="s">
        <v>233</v>
      </c>
      <c r="E171" s="91" t="n">
        <v>37257</v>
      </c>
      <c r="F171" s="4"/>
      <c r="G171" s="78" t="n">
        <v>38334</v>
      </c>
      <c r="H171" s="78" t="s">
        <v>545</v>
      </c>
      <c r="I171" s="78" t="s">
        <v>546</v>
      </c>
      <c r="J171" s="79" t="str">
        <f aca="false">IF(ISNA(VLOOKUP(B171,cngdata,7,FALSE())),"na",VLOOKUP(B171,cngdata,7,FALSE()))</f>
        <v>GW</v>
      </c>
      <c r="K171" s="79" t="n">
        <f aca="false">IF(ISNA(VLOOKUP(B171,cngdata,13,FALSE())),"na",VLOOKUP(B171,cngdata,13,FALSE()))</f>
        <v>480</v>
      </c>
      <c r="L171" s="80" t="n">
        <f aca="false">L$2*99%</f>
        <v>2.3958</v>
      </c>
      <c r="M171" s="79" t="n">
        <f aca="false">IF(ISNA(VLOOKUP(B171,cngdata,14,FALSE())),0,VLOOKUP(B171,cngdata,14,FALSE()))</f>
        <v>600</v>
      </c>
      <c r="O171" s="81" t="n">
        <v>0</v>
      </c>
      <c r="P171" s="82" t="n">
        <f aca="false">L171-O171</f>
        <v>2.3958</v>
      </c>
      <c r="Q171" s="83" t="n">
        <f aca="false">M171*P171</f>
        <v>1437.48</v>
      </c>
      <c r="R171" s="74"/>
      <c r="S171" s="79" t="n">
        <f aca="false">IF(ISNA(VLOOKUP(B171,SplitVol,5,FALSE())),0,VLOOKUP(B171,SplitVol,5,FALSE()))</f>
        <v>42</v>
      </c>
      <c r="T171" s="84" t="n">
        <f aca="false">+S171*L171</f>
        <v>100.6236</v>
      </c>
      <c r="U171" s="79" t="n">
        <f aca="false">IF(ISNA(VLOOKUP(B171,SplitVol,6,FALSE())),0,VLOOKUP(B171,SplitVol,6,FALSE()))-1</f>
        <v>558</v>
      </c>
      <c r="V171" s="84" t="n">
        <f aca="false">+U171*L171</f>
        <v>1336.8564</v>
      </c>
      <c r="W171" s="85" t="n">
        <f aca="false">IF(ISBLANK(VLOOKUP(B171,EffDate,4,FALSE())),"na",VLOOKUP(B171,EffDate,4,FALSE()))</f>
        <v>37257</v>
      </c>
      <c r="X171" s="86" t="n">
        <f aca="false">+M171-S171-U171</f>
        <v>0</v>
      </c>
    </row>
    <row r="172" customFormat="false" ht="15" hidden="false" customHeight="true" outlineLevel="0" collapsed="false">
      <c r="A172" s="4" t="s">
        <v>5</v>
      </c>
      <c r="B172" s="77" t="s">
        <v>235</v>
      </c>
      <c r="C172" s="4" t="n">
        <v>3507901</v>
      </c>
      <c r="D172" s="90" t="s">
        <v>233</v>
      </c>
      <c r="E172" s="91" t="n">
        <v>37257</v>
      </c>
      <c r="F172" s="4"/>
      <c r="G172" s="78" t="n">
        <v>38334</v>
      </c>
      <c r="H172" s="78" t="s">
        <v>545</v>
      </c>
      <c r="I172" s="78" t="s">
        <v>546</v>
      </c>
      <c r="J172" s="79" t="str">
        <f aca="false">IF(ISNA(VLOOKUP(B172,cngdata,7,FALSE())),"na",VLOOKUP(B172,cngdata,7,FALSE()))</f>
        <v>GW</v>
      </c>
      <c r="K172" s="79" t="n">
        <f aca="false">IF(ISNA(VLOOKUP(B172,cngdata,13,FALSE())),"na",VLOOKUP(B172,cngdata,13,FALSE()))</f>
        <v>298</v>
      </c>
      <c r="L172" s="80" t="n">
        <f aca="false">L$2*99%</f>
        <v>2.3958</v>
      </c>
      <c r="M172" s="79" t="n">
        <f aca="false">IF(ISNA(VLOOKUP(B172,cngdata,14,FALSE())),0,VLOOKUP(B172,cngdata,14,FALSE()))</f>
        <v>358</v>
      </c>
      <c r="O172" s="81" t="n">
        <v>0</v>
      </c>
      <c r="P172" s="82" t="n">
        <f aca="false">L172-O172</f>
        <v>2.3958</v>
      </c>
      <c r="Q172" s="83" t="n">
        <f aca="false">M172*P172</f>
        <v>857.6964</v>
      </c>
      <c r="R172" s="74"/>
      <c r="S172" s="79" t="n">
        <f aca="false">IF(ISNA(VLOOKUP(B172,SplitVol,5,FALSE())),0,VLOOKUP(B172,SplitVol,5,FALSE()))</f>
        <v>26</v>
      </c>
      <c r="T172" s="84" t="n">
        <f aca="false">+S172*L172</f>
        <v>62.2908</v>
      </c>
      <c r="U172" s="79" t="n">
        <f aca="false">IF(ISNA(VLOOKUP(B172,SplitVol,6,FALSE())),0,VLOOKUP(B172,SplitVol,6,FALSE()))</f>
        <v>332</v>
      </c>
      <c r="V172" s="84" t="n">
        <f aca="false">+U172*L172</f>
        <v>795.4056</v>
      </c>
      <c r="W172" s="85" t="n">
        <f aca="false">IF(ISBLANK(VLOOKUP(B172,EffDate,4,FALSE())),"na",VLOOKUP(B172,EffDate,4,FALSE()))</f>
        <v>37257</v>
      </c>
      <c r="X172" s="86" t="n">
        <f aca="false">+M172-S172-U172</f>
        <v>0</v>
      </c>
    </row>
    <row r="173" customFormat="false" ht="15" hidden="false" customHeight="true" outlineLevel="0" collapsed="false">
      <c r="A173" s="4" t="s">
        <v>5</v>
      </c>
      <c r="B173" s="77" t="s">
        <v>236</v>
      </c>
      <c r="C173" s="4" t="n">
        <v>3508401</v>
      </c>
      <c r="D173" s="90" t="s">
        <v>233</v>
      </c>
      <c r="E173" s="91" t="n">
        <v>37257</v>
      </c>
      <c r="F173" s="4"/>
      <c r="G173" s="78" t="n">
        <v>38334</v>
      </c>
      <c r="H173" s="78" t="s">
        <v>545</v>
      </c>
      <c r="I173" s="78" t="s">
        <v>546</v>
      </c>
      <c r="J173" s="79" t="str">
        <f aca="false">IF(ISNA(VLOOKUP(B173,cngdata,7,FALSE())),"na",VLOOKUP(B173,cngdata,7,FALSE()))</f>
        <v>GW</v>
      </c>
      <c r="K173" s="79" t="n">
        <f aca="false">IF(ISNA(VLOOKUP(B173,cngdata,13,FALSE())),"na",VLOOKUP(B173,cngdata,13,FALSE()))</f>
        <v>41</v>
      </c>
      <c r="L173" s="80" t="n">
        <f aca="false">L$2*99%</f>
        <v>2.3958</v>
      </c>
      <c r="M173" s="79" t="n">
        <f aca="false">IF(ISNA(VLOOKUP(B173,cngdata,14,FALSE())),0,VLOOKUP(B173,cngdata,14,FALSE()))</f>
        <v>49</v>
      </c>
      <c r="O173" s="81" t="n">
        <v>0</v>
      </c>
      <c r="P173" s="82" t="n">
        <f aca="false">L173-O173</f>
        <v>2.3958</v>
      </c>
      <c r="Q173" s="83" t="n">
        <f aca="false">M173*P173</f>
        <v>117.3942</v>
      </c>
      <c r="R173" s="74"/>
      <c r="S173" s="79" t="n">
        <f aca="false">IF(ISNA(VLOOKUP(B173,SplitVol,5,FALSE())),0,VLOOKUP(B173,SplitVol,5,FALSE()))</f>
        <v>3</v>
      </c>
      <c r="T173" s="84" t="n">
        <f aca="false">+S173*L173</f>
        <v>7.1874</v>
      </c>
      <c r="U173" s="79" t="n">
        <f aca="false">IF(ISNA(VLOOKUP(B173,SplitVol,6,FALSE())),0,VLOOKUP(B173,SplitVol,6,FALSE()))</f>
        <v>46</v>
      </c>
      <c r="V173" s="84" t="n">
        <f aca="false">+U173*L173</f>
        <v>110.2068</v>
      </c>
      <c r="W173" s="85" t="n">
        <f aca="false">IF(ISBLANK(VLOOKUP(B173,EffDate,4,FALSE())),"na",VLOOKUP(B173,EffDate,4,FALSE()))</f>
        <v>37257</v>
      </c>
      <c r="X173" s="86" t="n">
        <f aca="false">+M173-S173-U173</f>
        <v>0</v>
      </c>
    </row>
    <row r="174" customFormat="false" ht="15" hidden="false" customHeight="true" outlineLevel="0" collapsed="false">
      <c r="A174" s="4" t="s">
        <v>5</v>
      </c>
      <c r="B174" s="77" t="s">
        <v>232</v>
      </c>
      <c r="C174" s="4" t="n">
        <v>3427001</v>
      </c>
      <c r="D174" s="90" t="s">
        <v>233</v>
      </c>
      <c r="E174" s="91" t="n">
        <v>37257</v>
      </c>
      <c r="F174" s="4"/>
      <c r="G174" s="78" t="n">
        <v>38334</v>
      </c>
      <c r="H174" s="78" t="s">
        <v>545</v>
      </c>
      <c r="I174" s="78" t="s">
        <v>546</v>
      </c>
      <c r="J174" s="79" t="str">
        <f aca="false">IF(ISNA(VLOOKUP(B174,cngdata,7,FALSE())),"na",VLOOKUP(B174,cngdata,7,FALSE()))</f>
        <v>GW</v>
      </c>
      <c r="K174" s="79" t="n">
        <f aca="false">IF(ISNA(VLOOKUP(B174,cngdata,13,FALSE())),"na",VLOOKUP(B174,cngdata,13,FALSE()))</f>
        <v>242</v>
      </c>
      <c r="L174" s="80" t="n">
        <f aca="false">L$2*99%</f>
        <v>2.3958</v>
      </c>
      <c r="M174" s="79" t="n">
        <f aca="false">IF(ISNA(VLOOKUP(B174,cngdata,14,FALSE())),0,VLOOKUP(B174,cngdata,14,FALSE()))</f>
        <v>294</v>
      </c>
      <c r="O174" s="81" t="n">
        <v>0</v>
      </c>
      <c r="P174" s="82" t="n">
        <f aca="false">L174-O174</f>
        <v>2.3958</v>
      </c>
      <c r="Q174" s="83" t="n">
        <f aca="false">M174*P174</f>
        <v>704.3652</v>
      </c>
      <c r="R174" s="74"/>
      <c r="S174" s="79" t="n">
        <f aca="false">IF(ISNA(VLOOKUP(B174,SplitVol,5,FALSE())),0,VLOOKUP(B174,SplitVol,5,FALSE()))</f>
        <v>19</v>
      </c>
      <c r="T174" s="84" t="n">
        <f aca="false">+S174*L174</f>
        <v>45.5202</v>
      </c>
      <c r="U174" s="79" t="n">
        <f aca="false">IF(ISNA(VLOOKUP(B174,SplitVol,6,FALSE())),0,VLOOKUP(B174,SplitVol,6,FALSE()))</f>
        <v>275</v>
      </c>
      <c r="V174" s="84" t="n">
        <f aca="false">+U174*L174</f>
        <v>658.845</v>
      </c>
      <c r="W174" s="85" t="n">
        <f aca="false">IF(ISBLANK(VLOOKUP(B174,EffDate,4,FALSE())),"na",VLOOKUP(B174,EffDate,4,FALSE()))</f>
        <v>37257</v>
      </c>
      <c r="X174" s="86" t="n">
        <f aca="false">+M174-S174-U174</f>
        <v>0</v>
      </c>
    </row>
    <row r="175" customFormat="false" ht="15" hidden="false" customHeight="true" outlineLevel="0" collapsed="false">
      <c r="A175" s="78" t="s">
        <v>8</v>
      </c>
      <c r="B175" s="78" t="s">
        <v>237</v>
      </c>
      <c r="C175" s="88" t="n">
        <v>3153201</v>
      </c>
      <c r="D175" s="4" t="s">
        <v>238</v>
      </c>
      <c r="E175" s="72" t="s">
        <v>517</v>
      </c>
      <c r="F175" s="78" t="s">
        <v>238</v>
      </c>
      <c r="G175" s="88" t="n">
        <v>211568</v>
      </c>
      <c r="H175" s="88"/>
      <c r="I175" s="133" t="s">
        <v>537</v>
      </c>
      <c r="J175" s="79" t="str">
        <f aca="false">IF(ISNA(VLOOKUP(B175,cngdata,7,FALSE())),"na",VLOOKUP(B175,cngdata,7,FALSE()))</f>
        <v>na</v>
      </c>
      <c r="K175" s="79" t="str">
        <f aca="false">IF(ISNA(VLOOKUP(B175,cngdata,13,FALSE())),"na",VLOOKUP(B175,cngdata,13,FALSE()))</f>
        <v>na</v>
      </c>
      <c r="L175" s="80" t="n">
        <f aca="false">$L$2</f>
        <v>2.42</v>
      </c>
      <c r="M175" s="79" t="n">
        <f aca="false">IF(ISNA(VLOOKUP(B175,cngdata,14,FALSE())),0,VLOOKUP(B175,cngdata,14,FALSE()))</f>
        <v>0</v>
      </c>
      <c r="O175" s="81" t="n">
        <v>0</v>
      </c>
      <c r="P175" s="82" t="n">
        <f aca="false">L175-O175</f>
        <v>2.42</v>
      </c>
      <c r="Q175" s="83" t="n">
        <f aca="false">M175*P175</f>
        <v>0</v>
      </c>
      <c r="R175" s="74"/>
      <c r="S175" s="79" t="n">
        <f aca="false">IF(ISNA(VLOOKUP(B175,SplitVol,5,FALSE())),0,VLOOKUP(B175,SplitVol,5,FALSE()))</f>
        <v>0</v>
      </c>
      <c r="T175" s="84" t="n">
        <f aca="false">+S175*L175</f>
        <v>0</v>
      </c>
      <c r="U175" s="79" t="n">
        <f aca="false">IF(ISNA(VLOOKUP(B175,SplitVol,6,FALSE())),0,VLOOKUP(B175,SplitVol,6,FALSE()))</f>
        <v>0</v>
      </c>
      <c r="V175" s="84" t="n">
        <f aca="false">+U175*L175</f>
        <v>0</v>
      </c>
      <c r="W175" s="85" t="str">
        <f aca="false">IF(ISBLANK(VLOOKUP(B175,EffDate,4,FALSE())),"na",VLOOKUP(B175,EffDate,4,FALSE()))</f>
        <v>na</v>
      </c>
      <c r="X175" s="86" t="n">
        <f aca="false">+M175-S175-U175</f>
        <v>0</v>
      </c>
    </row>
    <row r="176" customFormat="false" ht="15" hidden="false" customHeight="true" outlineLevel="0" collapsed="false">
      <c r="A176" s="4" t="s">
        <v>26</v>
      </c>
      <c r="B176" s="77" t="s">
        <v>239</v>
      </c>
      <c r="C176" s="4" t="s">
        <v>26</v>
      </c>
      <c r="D176" s="4" t="s">
        <v>240</v>
      </c>
      <c r="E176" s="72" t="s">
        <v>517</v>
      </c>
      <c r="F176" s="4"/>
      <c r="G176" s="78" t="n">
        <v>43001</v>
      </c>
      <c r="H176" s="78" t="s">
        <v>576</v>
      </c>
      <c r="I176" s="78" t="s">
        <v>519</v>
      </c>
      <c r="J176" s="79" t="str">
        <f aca="false">IF(ISNA(VLOOKUP(B176,cngdata,7,FALSE())),"na",VLOOKUP(B176,cngdata,7,FALSE()))</f>
        <v>na</v>
      </c>
      <c r="K176" s="79" t="str">
        <f aca="false">IF(ISNA(VLOOKUP(B176,cngdata,13,FALSE())),"na",VLOOKUP(B176,cngdata,13,FALSE()))</f>
        <v>na</v>
      </c>
      <c r="L176" s="80" t="n">
        <f aca="false">L$3*98%</f>
        <v>2.352</v>
      </c>
      <c r="M176" s="79" t="n">
        <f aca="false">IF(ISNA(VLOOKUP(B176,cngdata,14,FALSE())),0,VLOOKUP(B176,cngdata,14,FALSE()))</f>
        <v>0</v>
      </c>
      <c r="O176" s="81" t="n">
        <v>0</v>
      </c>
      <c r="P176" s="82" t="n">
        <f aca="false">L176-O176</f>
        <v>2.352</v>
      </c>
      <c r="Q176" s="83" t="n">
        <f aca="false">M176*P176</f>
        <v>0</v>
      </c>
      <c r="R176" s="74"/>
      <c r="S176" s="79" t="n">
        <f aca="false">IF(ISNA(VLOOKUP(B176,SplitVol,5,FALSE())),0,VLOOKUP(B176,SplitVol,5,FALSE()))</f>
        <v>0</v>
      </c>
      <c r="T176" s="84" t="n">
        <f aca="false">+S176*L176</f>
        <v>0</v>
      </c>
      <c r="U176" s="79" t="n">
        <f aca="false">IF(ISNA(VLOOKUP(B176,SplitVol,6,FALSE())),0,VLOOKUP(B176,SplitVol,6,FALSE()))</f>
        <v>0</v>
      </c>
      <c r="V176" s="84" t="n">
        <f aca="false">+U176*L176</f>
        <v>0</v>
      </c>
      <c r="W176" s="85" t="str">
        <f aca="false">IF(ISBLANK(VLOOKUP(B176,EffDate,4,FALSE())),"na",VLOOKUP(B176,EffDate,4,FALSE()))</f>
        <v>na</v>
      </c>
      <c r="X176" s="86" t="n">
        <f aca="false">+M176-S176-U176</f>
        <v>0</v>
      </c>
    </row>
    <row r="177" customFormat="false" ht="15" hidden="false" customHeight="true" outlineLevel="0" collapsed="false">
      <c r="A177" s="4" t="s">
        <v>26</v>
      </c>
      <c r="B177" s="77" t="s">
        <v>241</v>
      </c>
      <c r="C177" s="4" t="s">
        <v>26</v>
      </c>
      <c r="D177" s="4" t="s">
        <v>240</v>
      </c>
      <c r="E177" s="72" t="s">
        <v>517</v>
      </c>
      <c r="F177" s="4"/>
      <c r="G177" s="78" t="n">
        <v>43001</v>
      </c>
      <c r="H177" s="78" t="s">
        <v>576</v>
      </c>
      <c r="I177" s="78" t="s">
        <v>519</v>
      </c>
      <c r="J177" s="79" t="str">
        <f aca="false">IF(ISNA(VLOOKUP(B177,cngdata,7,FALSE())),"na",VLOOKUP(B177,cngdata,7,FALSE()))</f>
        <v>na</v>
      </c>
      <c r="K177" s="79" t="str">
        <f aca="false">IF(ISNA(VLOOKUP(B177,cngdata,13,FALSE())),"na",VLOOKUP(B177,cngdata,13,FALSE()))</f>
        <v>na</v>
      </c>
      <c r="L177" s="80" t="n">
        <f aca="false">L$3*98%</f>
        <v>2.352</v>
      </c>
      <c r="M177" s="79" t="n">
        <f aca="false">IF(ISNA(VLOOKUP(B177,cngdata,14,FALSE())),0,VLOOKUP(B177,cngdata,14,FALSE()))</f>
        <v>0</v>
      </c>
      <c r="O177" s="81" t="n">
        <v>0</v>
      </c>
      <c r="P177" s="82" t="n">
        <f aca="false">L177-O177</f>
        <v>2.352</v>
      </c>
      <c r="Q177" s="83" t="n">
        <f aca="false">M177*P177</f>
        <v>0</v>
      </c>
      <c r="R177" s="74"/>
      <c r="S177" s="79" t="n">
        <f aca="false">IF(ISNA(VLOOKUP(B177,SplitVol,5,FALSE())),0,VLOOKUP(B177,SplitVol,5,FALSE()))</f>
        <v>0</v>
      </c>
      <c r="T177" s="84" t="n">
        <f aca="false">+S177*L177</f>
        <v>0</v>
      </c>
      <c r="U177" s="79" t="n">
        <f aca="false">IF(ISNA(VLOOKUP(B177,SplitVol,6,FALSE())),0,VLOOKUP(B177,SplitVol,6,FALSE()))</f>
        <v>0</v>
      </c>
      <c r="V177" s="84" t="n">
        <f aca="false">+U177*L177</f>
        <v>0</v>
      </c>
      <c r="W177" s="85" t="str">
        <f aca="false">IF(ISBLANK(VLOOKUP(B177,EffDate,4,FALSE())),"na",VLOOKUP(B177,EffDate,4,FALSE()))</f>
        <v>na</v>
      </c>
      <c r="X177" s="86" t="n">
        <f aca="false">+M177-S177-U177</f>
        <v>0</v>
      </c>
    </row>
    <row r="178" customFormat="false" ht="15" hidden="false" customHeight="true" outlineLevel="0" collapsed="false">
      <c r="A178" s="4" t="s">
        <v>5</v>
      </c>
      <c r="B178" s="77" t="s">
        <v>244</v>
      </c>
      <c r="C178" s="4" t="n">
        <v>4058801</v>
      </c>
      <c r="D178" s="4" t="s">
        <v>243</v>
      </c>
      <c r="E178" s="72" t="s">
        <v>517</v>
      </c>
      <c r="F178" s="4"/>
      <c r="G178" s="78" t="n">
        <v>70649</v>
      </c>
      <c r="H178" s="78" t="s">
        <v>577</v>
      </c>
      <c r="I178" s="78" t="s">
        <v>578</v>
      </c>
      <c r="J178" s="79" t="str">
        <f aca="false">IF(ISNA(VLOOKUP(B178,cngdata,7,FALSE())),"na",VLOOKUP(B178,cngdata,7,FALSE()))</f>
        <v>GW</v>
      </c>
      <c r="K178" s="79" t="n">
        <f aca="false">IF(ISNA(VLOOKUP(B178,cngdata,13,FALSE())),"na",VLOOKUP(B178,cngdata,13,FALSE()))</f>
        <v>121</v>
      </c>
      <c r="L178" s="80" t="n">
        <f aca="false">$L$2*95%</f>
        <v>2.299</v>
      </c>
      <c r="M178" s="79" t="n">
        <f aca="false">IF(ISNA(VLOOKUP(B178,cngdata,14,FALSE())),0,VLOOKUP(B178,cngdata,14,FALSE()))</f>
        <v>147</v>
      </c>
      <c r="O178" s="81" t="n">
        <v>0</v>
      </c>
      <c r="P178" s="82" t="n">
        <f aca="false">L178-O178</f>
        <v>2.299</v>
      </c>
      <c r="Q178" s="83" t="n">
        <f aca="false">M178*P178</f>
        <v>337.953</v>
      </c>
      <c r="R178" s="74"/>
      <c r="S178" s="79" t="n">
        <f aca="false">IF(ISNA(VLOOKUP(B178,SplitVol,5,FALSE())),0,VLOOKUP(B178,SplitVol,5,FALSE()))</f>
        <v>17</v>
      </c>
      <c r="T178" s="84" t="n">
        <f aca="false">+S178*L178</f>
        <v>39.083</v>
      </c>
      <c r="U178" s="79" t="n">
        <f aca="false">IF(ISNA(VLOOKUP(B178,SplitVol,6,FALSE())),0,VLOOKUP(B178,SplitVol,6,FALSE()))+1</f>
        <v>130</v>
      </c>
      <c r="V178" s="84" t="n">
        <f aca="false">+U178*L178</f>
        <v>298.87</v>
      </c>
      <c r="W178" s="85" t="n">
        <f aca="false">IF(ISBLANK(VLOOKUP(B178,EffDate,4,FALSE())),"na",VLOOKUP(B178,EffDate,4,FALSE()))</f>
        <v>37228</v>
      </c>
      <c r="X178" s="86" t="n">
        <f aca="false">+M178-S178-U178</f>
        <v>0</v>
      </c>
    </row>
    <row r="179" customFormat="false" ht="15" hidden="false" customHeight="true" outlineLevel="0" collapsed="false">
      <c r="A179" s="4" t="s">
        <v>5</v>
      </c>
      <c r="B179" s="77" t="s">
        <v>242</v>
      </c>
      <c r="C179" s="4" t="n">
        <v>4043501</v>
      </c>
      <c r="D179" s="4" t="s">
        <v>243</v>
      </c>
      <c r="E179" s="72" t="s">
        <v>517</v>
      </c>
      <c r="F179" s="4"/>
      <c r="G179" s="78" t="n">
        <v>70649</v>
      </c>
      <c r="H179" s="78" t="s">
        <v>577</v>
      </c>
      <c r="I179" s="78" t="s">
        <v>578</v>
      </c>
      <c r="J179" s="79" t="str">
        <f aca="false">IF(ISNA(VLOOKUP(B179,cngdata,7,FALSE())),"na",VLOOKUP(B179,cngdata,7,FALSE()))</f>
        <v>GW</v>
      </c>
      <c r="K179" s="79" t="n">
        <f aca="false">IF(ISNA(VLOOKUP(B179,cngdata,13,FALSE())),"na",VLOOKUP(B179,cngdata,13,FALSE()))</f>
        <v>61</v>
      </c>
      <c r="L179" s="80" t="n">
        <f aca="false">$L$2*95%</f>
        <v>2.299</v>
      </c>
      <c r="M179" s="79" t="n">
        <f aca="false">IF(ISNA(VLOOKUP(B179,cngdata,14,FALSE())),0,VLOOKUP(B179,cngdata,14,FALSE()))</f>
        <v>83</v>
      </c>
      <c r="O179" s="81" t="n">
        <v>0</v>
      </c>
      <c r="P179" s="82" t="n">
        <f aca="false">L179-O179</f>
        <v>2.299</v>
      </c>
      <c r="Q179" s="83" t="n">
        <f aca="false">M179*P179</f>
        <v>190.817</v>
      </c>
      <c r="R179" s="74"/>
      <c r="S179" s="79" t="n">
        <f aca="false">IF(ISNA(VLOOKUP(B179,SplitVol,5,FALSE())),0,VLOOKUP(B179,SplitVol,5,FALSE()))</f>
        <v>10</v>
      </c>
      <c r="T179" s="84" t="n">
        <f aca="false">+S179*L179</f>
        <v>22.99</v>
      </c>
      <c r="U179" s="79" t="n">
        <f aca="false">IF(ISNA(VLOOKUP(B179,SplitVol,6,FALSE())),0,VLOOKUP(B179,SplitVol,6,FALSE()))</f>
        <v>73</v>
      </c>
      <c r="V179" s="84" t="n">
        <f aca="false">+U179*L179</f>
        <v>167.827</v>
      </c>
      <c r="W179" s="85" t="n">
        <f aca="false">IF(ISBLANK(VLOOKUP(B179,EffDate,4,FALSE())),"na",VLOOKUP(B179,EffDate,4,FALSE()))</f>
        <v>37228</v>
      </c>
      <c r="X179" s="86" t="n">
        <f aca="false">+M179-S179-U179</f>
        <v>0</v>
      </c>
    </row>
    <row r="180" customFormat="false" ht="15" hidden="false" customHeight="true" outlineLevel="0" collapsed="false">
      <c r="A180" s="4" t="s">
        <v>5</v>
      </c>
      <c r="B180" s="77" t="s">
        <v>245</v>
      </c>
      <c r="C180" s="102" t="n">
        <v>3046501</v>
      </c>
      <c r="D180" s="94" t="s">
        <v>246</v>
      </c>
      <c r="E180" s="106" t="n">
        <v>37228</v>
      </c>
      <c r="F180" s="129"/>
      <c r="G180" s="129" t="n">
        <v>224027</v>
      </c>
      <c r="H180" s="129" t="s">
        <v>579</v>
      </c>
      <c r="I180" s="129" t="s">
        <v>546</v>
      </c>
      <c r="J180" s="103" t="str">
        <f aca="false">IF(ISNA(VLOOKUP(B180,cngdata,7,FALSE())),"na",VLOOKUP(B180,cngdata,7,FALSE()))</f>
        <v>GW</v>
      </c>
      <c r="K180" s="79" t="n">
        <f aca="false">IF(ISNA(VLOOKUP(B180,cngdata,13,FALSE())),"na",VLOOKUP(B180,cngdata,13,FALSE()))</f>
        <v>130</v>
      </c>
      <c r="L180" s="108" t="n">
        <f aca="false">+CNGPricing!$H$115</f>
        <v>4.37912428028246</v>
      </c>
      <c r="M180" s="79" t="n">
        <f aca="false">IF(ISNA(VLOOKUP(B180,cngdata,14,FALSE())),0,VLOOKUP(B180,cngdata,14,FALSE()))</f>
        <v>186</v>
      </c>
      <c r="O180" s="81" t="n">
        <v>0</v>
      </c>
      <c r="P180" s="96" t="n">
        <f aca="false">L180-O180</f>
        <v>4.37912428028246</v>
      </c>
      <c r="Q180" s="97" t="n">
        <f aca="false">M180*P180</f>
        <v>814.517116132537</v>
      </c>
      <c r="R180" s="98"/>
      <c r="S180" s="79" t="n">
        <f aca="false">IF(ISNA(VLOOKUP(B180,SplitVol,5,FALSE())),0,VLOOKUP(B180,SplitVol,5,FALSE()))</f>
        <v>10</v>
      </c>
      <c r="T180" s="84" t="n">
        <f aca="false">+S180*L180</f>
        <v>43.7912428028246</v>
      </c>
      <c r="U180" s="79" t="n">
        <f aca="false">IF(ISNA(VLOOKUP(B180,SplitVol,6,FALSE())),0,VLOOKUP(B180,SplitVol,6,FALSE()))+1</f>
        <v>176</v>
      </c>
      <c r="V180" s="84" t="n">
        <f aca="false">+U180*L180</f>
        <v>770.725873329712</v>
      </c>
      <c r="W180" s="85" t="n">
        <f aca="false">IF(ISBLANK(VLOOKUP(B180,EffDate,4,FALSE())),"na",VLOOKUP(B180,EffDate,4,FALSE()))</f>
        <v>37228</v>
      </c>
      <c r="X180" s="86" t="n">
        <f aca="false">+M180-S180-U180</f>
        <v>0</v>
      </c>
    </row>
    <row r="181" customFormat="false" ht="15" hidden="false" customHeight="true" outlineLevel="0" collapsed="false">
      <c r="A181" s="4" t="s">
        <v>5</v>
      </c>
      <c r="B181" s="77" t="s">
        <v>247</v>
      </c>
      <c r="C181" s="102" t="n">
        <v>3123401</v>
      </c>
      <c r="D181" s="94" t="s">
        <v>246</v>
      </c>
      <c r="E181" s="106" t="n">
        <v>37228</v>
      </c>
      <c r="F181" s="129"/>
      <c r="G181" s="129" t="n">
        <v>224027</v>
      </c>
      <c r="H181" s="129" t="s">
        <v>579</v>
      </c>
      <c r="I181" s="129" t="s">
        <v>546</v>
      </c>
      <c r="J181" s="103" t="str">
        <f aca="false">IF(ISNA(VLOOKUP(B181,cngdata,7,FALSE())),"na",VLOOKUP(B181,cngdata,7,FALSE()))</f>
        <v>GW</v>
      </c>
      <c r="K181" s="79" t="n">
        <f aca="false">IF(ISNA(VLOOKUP(B181,cngdata,13,FALSE())),"na",VLOOKUP(B181,cngdata,13,FALSE()))</f>
        <v>445</v>
      </c>
      <c r="L181" s="108" t="n">
        <f aca="false">+CNGPricing!$H$115</f>
        <v>4.37912428028246</v>
      </c>
      <c r="M181" s="79" t="n">
        <f aca="false">IF(ISNA(VLOOKUP(B181,cngdata,14,FALSE())),0,VLOOKUP(B181,cngdata,14,FALSE()))</f>
        <v>624</v>
      </c>
      <c r="O181" s="81" t="n">
        <v>0</v>
      </c>
      <c r="P181" s="96" t="n">
        <f aca="false">L181-O181</f>
        <v>4.37912428028246</v>
      </c>
      <c r="Q181" s="97" t="n">
        <f aca="false">M181*P181</f>
        <v>2732.57355089625</v>
      </c>
      <c r="R181" s="98"/>
      <c r="S181" s="79" t="n">
        <f aca="false">IF(ISNA(VLOOKUP(B181,SplitVol,5,FALSE())),0,VLOOKUP(B181,SplitVol,5,FALSE()))</f>
        <v>26</v>
      </c>
      <c r="T181" s="84" t="n">
        <f aca="false">+S181*L181</f>
        <v>113.857231287344</v>
      </c>
      <c r="U181" s="79" t="n">
        <f aca="false">IF(ISNA(VLOOKUP(B181,SplitVol,6,FALSE())),0,VLOOKUP(B181,SplitVol,6,FALSE()))</f>
        <v>598</v>
      </c>
      <c r="V181" s="84" t="n">
        <f aca="false">+U181*L181</f>
        <v>2618.71631960891</v>
      </c>
      <c r="W181" s="85" t="n">
        <f aca="false">IF(ISBLANK(VLOOKUP(B181,EffDate,4,FALSE())),"na",VLOOKUP(B181,EffDate,4,FALSE()))</f>
        <v>37228</v>
      </c>
      <c r="X181" s="86" t="n">
        <f aca="false">+M181-S181-U181</f>
        <v>0</v>
      </c>
    </row>
    <row r="182" customFormat="false" ht="15" hidden="false" customHeight="true" outlineLevel="0" collapsed="false">
      <c r="A182" s="4" t="s">
        <v>5</v>
      </c>
      <c r="B182" s="77" t="s">
        <v>248</v>
      </c>
      <c r="C182" s="102" t="n">
        <v>3136601</v>
      </c>
      <c r="D182" s="94" t="s">
        <v>246</v>
      </c>
      <c r="E182" s="106" t="n">
        <v>37228</v>
      </c>
      <c r="F182" s="129"/>
      <c r="G182" s="129" t="n">
        <v>224027</v>
      </c>
      <c r="H182" s="129" t="s">
        <v>579</v>
      </c>
      <c r="I182" s="129" t="s">
        <v>546</v>
      </c>
      <c r="J182" s="103" t="str">
        <f aca="false">IF(ISNA(VLOOKUP(B182,cngdata,7,FALSE())),"na",VLOOKUP(B182,cngdata,7,FALSE()))</f>
        <v>TW</v>
      </c>
      <c r="K182" s="79" t="n">
        <f aca="false">IF(ISNA(VLOOKUP(B182,cngdata,13,FALSE())),"na",VLOOKUP(B182,cngdata,13,FALSE()))</f>
        <v>205</v>
      </c>
      <c r="L182" s="108" t="n">
        <f aca="false">+CNGPricing!$H$115</f>
        <v>4.37912428028246</v>
      </c>
      <c r="M182" s="79" t="n">
        <f aca="false">IF(ISNA(VLOOKUP(B182,cngdata,14,FALSE())),0,VLOOKUP(B182,cngdata,14,FALSE()))</f>
        <v>258</v>
      </c>
      <c r="O182" s="81" t="n">
        <v>0</v>
      </c>
      <c r="P182" s="96" t="n">
        <f aca="false">L182-O182</f>
        <v>4.37912428028246</v>
      </c>
      <c r="Q182" s="97" t="n">
        <f aca="false">M182*P182</f>
        <v>1129.81406431287</v>
      </c>
      <c r="R182" s="98"/>
      <c r="S182" s="79" t="n">
        <f aca="false">IF(ISNA(VLOOKUP(B182,SplitVol,5,FALSE())),0,VLOOKUP(B182,SplitVol,5,FALSE()))</f>
        <v>46</v>
      </c>
      <c r="T182" s="84" t="n">
        <f aca="false">+S182*L182</f>
        <v>201.439716892993</v>
      </c>
      <c r="U182" s="79" t="n">
        <f aca="false">IF(ISNA(VLOOKUP(B182,SplitVol,6,FALSE())),0,VLOOKUP(B182,SplitVol,6,FALSE()))</f>
        <v>212</v>
      </c>
      <c r="V182" s="84" t="n">
        <f aca="false">+U182*L182</f>
        <v>928.374347419881</v>
      </c>
      <c r="W182" s="85" t="n">
        <f aca="false">IF(ISBLANK(VLOOKUP(B182,EffDate,4,FALSE())),"na",VLOOKUP(B182,EffDate,4,FALSE()))</f>
        <v>37228</v>
      </c>
      <c r="X182" s="86" t="n">
        <f aca="false">+M182-S182-U182</f>
        <v>0</v>
      </c>
    </row>
    <row r="183" customFormat="false" ht="15" hidden="false" customHeight="true" outlineLevel="0" collapsed="false">
      <c r="A183" s="4" t="s">
        <v>5</v>
      </c>
      <c r="B183" s="77" t="s">
        <v>249</v>
      </c>
      <c r="C183" s="102" t="n">
        <v>3219301</v>
      </c>
      <c r="D183" s="94" t="s">
        <v>246</v>
      </c>
      <c r="E183" s="106" t="n">
        <v>37228</v>
      </c>
      <c r="F183" s="129"/>
      <c r="G183" s="129" t="n">
        <v>224027</v>
      </c>
      <c r="H183" s="129" t="s">
        <v>579</v>
      </c>
      <c r="I183" s="129" t="s">
        <v>546</v>
      </c>
      <c r="J183" s="103" t="str">
        <f aca="false">IF(ISNA(VLOOKUP(B183,cngdata,7,FALSE())),"na",VLOOKUP(B183,cngdata,7,FALSE()))</f>
        <v>GW</v>
      </c>
      <c r="K183" s="79" t="n">
        <f aca="false">IF(ISNA(VLOOKUP(B183,cngdata,13,FALSE())),"na",VLOOKUP(B183,cngdata,13,FALSE()))</f>
        <v>0</v>
      </c>
      <c r="L183" s="108" t="n">
        <f aca="false">+CNGPricing!$H$115</f>
        <v>4.37912428028246</v>
      </c>
      <c r="M183" s="79" t="n">
        <f aca="false">IF(ISNA(VLOOKUP(B183,cngdata,14,FALSE())),0,VLOOKUP(B183,cngdata,14,FALSE()))</f>
        <v>0</v>
      </c>
      <c r="O183" s="81" t="n">
        <v>0</v>
      </c>
      <c r="P183" s="96" t="n">
        <f aca="false">L183-O183</f>
        <v>4.37912428028246</v>
      </c>
      <c r="Q183" s="97" t="n">
        <f aca="false">M183*P183</f>
        <v>0</v>
      </c>
      <c r="R183" s="98"/>
      <c r="S183" s="79" t="n">
        <f aca="false">IF(ISNA(VLOOKUP(B183,SplitVol,5,FALSE())),0,VLOOKUP(B183,SplitVol,5,FALSE()))</f>
        <v>0</v>
      </c>
      <c r="T183" s="84" t="n">
        <f aca="false">+S183*L183</f>
        <v>0</v>
      </c>
      <c r="U183" s="79" t="n">
        <f aca="false">IF(ISNA(VLOOKUP(B183,SplitVol,6,FALSE())),0,VLOOKUP(B183,SplitVol,6,FALSE()))</f>
        <v>0</v>
      </c>
      <c r="V183" s="84" t="n">
        <f aca="false">+U183*L183</f>
        <v>0</v>
      </c>
      <c r="W183" s="85" t="n">
        <f aca="false">IF(ISBLANK(VLOOKUP(B183,EffDate,4,FALSE())),"na",VLOOKUP(B183,EffDate,4,FALSE()))</f>
        <v>37228</v>
      </c>
      <c r="X183" s="86" t="n">
        <f aca="false">+M183-S183-U183</f>
        <v>0</v>
      </c>
    </row>
    <row r="184" customFormat="false" ht="15" hidden="false" customHeight="true" outlineLevel="0" collapsed="false">
      <c r="A184" s="4" t="s">
        <v>5</v>
      </c>
      <c r="B184" s="77" t="s">
        <v>250</v>
      </c>
      <c r="C184" s="102" t="n">
        <v>3226701</v>
      </c>
      <c r="D184" s="94" t="s">
        <v>246</v>
      </c>
      <c r="E184" s="106" t="n">
        <v>37228</v>
      </c>
      <c r="F184" s="129"/>
      <c r="G184" s="129" t="n">
        <v>224027</v>
      </c>
      <c r="H184" s="129" t="s">
        <v>579</v>
      </c>
      <c r="I184" s="129" t="s">
        <v>546</v>
      </c>
      <c r="J184" s="103" t="str">
        <f aca="false">IF(ISNA(VLOOKUP(B184,cngdata,7,FALSE())),"na",VLOOKUP(B184,cngdata,7,FALSE()))</f>
        <v>GW</v>
      </c>
      <c r="K184" s="79" t="n">
        <f aca="false">IF(ISNA(VLOOKUP(B184,cngdata,13,FALSE())),"na",VLOOKUP(B184,cngdata,13,FALSE()))</f>
        <v>161</v>
      </c>
      <c r="L184" s="108" t="n">
        <f aca="false">+CNGPricing!$H$115</f>
        <v>4.37912428028246</v>
      </c>
      <c r="M184" s="79" t="n">
        <f aca="false">IF(ISNA(VLOOKUP(B184,cngdata,14,FALSE())),0,VLOOKUP(B184,cngdata,14,FALSE()))</f>
        <v>199</v>
      </c>
      <c r="O184" s="81" t="n">
        <v>0</v>
      </c>
      <c r="P184" s="96" t="n">
        <f aca="false">L184-O184</f>
        <v>4.37912428028246</v>
      </c>
      <c r="Q184" s="97" t="n">
        <f aca="false">M184*P184</f>
        <v>871.445731776209</v>
      </c>
      <c r="R184" s="98"/>
      <c r="S184" s="79" t="n">
        <f aca="false">IF(ISNA(VLOOKUP(B184,SplitVol,5,FALSE())),0,VLOOKUP(B184,SplitVol,5,FALSE()))</f>
        <v>17</v>
      </c>
      <c r="T184" s="84" t="n">
        <f aca="false">+S184*L184</f>
        <v>74.4451127648017</v>
      </c>
      <c r="U184" s="79" t="n">
        <f aca="false">IF(ISNA(VLOOKUP(B184,SplitVol,6,FALSE())),0,VLOOKUP(B184,SplitVol,6,FALSE()))+1</f>
        <v>182</v>
      </c>
      <c r="V184" s="84" t="n">
        <f aca="false">+U184*L184</f>
        <v>797.000619011407</v>
      </c>
      <c r="W184" s="85" t="n">
        <f aca="false">IF(ISBLANK(VLOOKUP(B184,EffDate,4,FALSE())),"na",VLOOKUP(B184,EffDate,4,FALSE()))</f>
        <v>37228</v>
      </c>
      <c r="X184" s="86" t="n">
        <f aca="false">+M184-S184-U184</f>
        <v>0</v>
      </c>
    </row>
    <row r="185" customFormat="false" ht="15" hidden="false" customHeight="true" outlineLevel="0" collapsed="false">
      <c r="A185" s="4" t="s">
        <v>5</v>
      </c>
      <c r="B185" s="77" t="s">
        <v>251</v>
      </c>
      <c r="C185" s="102" t="n">
        <v>3290201</v>
      </c>
      <c r="D185" s="94" t="s">
        <v>246</v>
      </c>
      <c r="E185" s="106" t="n">
        <v>37228</v>
      </c>
      <c r="F185" s="129"/>
      <c r="G185" s="129" t="n">
        <v>224027</v>
      </c>
      <c r="H185" s="129" t="s">
        <v>579</v>
      </c>
      <c r="I185" s="129" t="s">
        <v>546</v>
      </c>
      <c r="J185" s="103" t="str">
        <f aca="false">IF(ISNA(VLOOKUP(B185,cngdata,7,FALSE())),"na",VLOOKUP(B185,cngdata,7,FALSE()))</f>
        <v>GW</v>
      </c>
      <c r="K185" s="79" t="n">
        <f aca="false">IF(ISNA(VLOOKUP(B185,cngdata,13,FALSE())),"na",VLOOKUP(B185,cngdata,13,FALSE()))</f>
        <v>966</v>
      </c>
      <c r="L185" s="108" t="n">
        <f aca="false">+CNGPricing!$H$115</f>
        <v>4.37912428028246</v>
      </c>
      <c r="M185" s="79" t="n">
        <f aca="false">IF(ISNA(VLOOKUP(B185,cngdata,14,FALSE())),0,VLOOKUP(B185,cngdata,14,FALSE()))</f>
        <v>1157</v>
      </c>
      <c r="O185" s="81" t="n">
        <v>0</v>
      </c>
      <c r="P185" s="96" t="n">
        <f aca="false">L185-O185</f>
        <v>4.37912428028246</v>
      </c>
      <c r="Q185" s="97" t="n">
        <f aca="false">M185*P185</f>
        <v>5066.6467922868</v>
      </c>
      <c r="R185" s="98"/>
      <c r="S185" s="79" t="n">
        <f aca="false">IF(ISNA(VLOOKUP(B185,SplitVol,5,FALSE())),0,VLOOKUP(B185,SplitVol,5,FALSE()))</f>
        <v>80</v>
      </c>
      <c r="T185" s="84" t="n">
        <f aca="false">+S185*L185</f>
        <v>350.329942422596</v>
      </c>
      <c r="U185" s="79" t="n">
        <f aca="false">IF(ISNA(VLOOKUP(B185,SplitVol,6,FALSE())),0,VLOOKUP(B185,SplitVol,6,FALSE()))</f>
        <v>1077</v>
      </c>
      <c r="V185" s="84" t="n">
        <f aca="false">+U185*L185</f>
        <v>4716.3168498642</v>
      </c>
      <c r="W185" s="85" t="n">
        <f aca="false">IF(ISBLANK(VLOOKUP(B185,EffDate,4,FALSE())),"na",VLOOKUP(B185,EffDate,4,FALSE()))</f>
        <v>37228</v>
      </c>
      <c r="X185" s="86" t="n">
        <f aca="false">+M185-S185-U185</f>
        <v>0</v>
      </c>
    </row>
    <row r="186" customFormat="false" ht="15" hidden="false" customHeight="true" outlineLevel="0" collapsed="false">
      <c r="A186" s="4" t="s">
        <v>5</v>
      </c>
      <c r="B186" s="77" t="s">
        <v>252</v>
      </c>
      <c r="C186" s="102" t="n">
        <v>3409901</v>
      </c>
      <c r="D186" s="94" t="s">
        <v>246</v>
      </c>
      <c r="E186" s="106" t="n">
        <v>37228</v>
      </c>
      <c r="F186" s="129"/>
      <c r="G186" s="129" t="n">
        <v>224027</v>
      </c>
      <c r="H186" s="129" t="s">
        <v>579</v>
      </c>
      <c r="I186" s="129" t="s">
        <v>546</v>
      </c>
      <c r="J186" s="103" t="str">
        <f aca="false">IF(ISNA(VLOOKUP(B186,cngdata,7,FALSE())),"na",VLOOKUP(B186,cngdata,7,FALSE()))</f>
        <v>GW</v>
      </c>
      <c r="K186" s="79" t="n">
        <f aca="false">IF(ISNA(VLOOKUP(B186,cngdata,13,FALSE())),"na",VLOOKUP(B186,cngdata,13,FALSE()))</f>
        <v>449</v>
      </c>
      <c r="L186" s="108" t="n">
        <f aca="false">+CNGPricing!$H$115</f>
        <v>4.37912428028246</v>
      </c>
      <c r="M186" s="79" t="n">
        <f aca="false">IF(ISNA(VLOOKUP(B186,cngdata,14,FALSE())),0,VLOOKUP(B186,cngdata,14,FALSE()))</f>
        <v>563</v>
      </c>
      <c r="O186" s="81" t="n">
        <v>0</v>
      </c>
      <c r="P186" s="96" t="n">
        <f aca="false">L186-O186</f>
        <v>4.37912428028246</v>
      </c>
      <c r="Q186" s="97" t="n">
        <f aca="false">M186*P186</f>
        <v>2465.44696979902</v>
      </c>
      <c r="R186" s="98"/>
      <c r="S186" s="79" t="n">
        <f aca="false">IF(ISNA(VLOOKUP(B186,SplitVol,5,FALSE())),0,VLOOKUP(B186,SplitVol,5,FALSE()))</f>
        <v>43</v>
      </c>
      <c r="T186" s="84" t="n">
        <f aca="false">+S186*L186</f>
        <v>188.302344052146</v>
      </c>
      <c r="U186" s="79" t="n">
        <f aca="false">IF(ISNA(VLOOKUP(B186,SplitVol,6,FALSE())),0,VLOOKUP(B186,SplitVol,6,FALSE()))</f>
        <v>520</v>
      </c>
      <c r="V186" s="84" t="n">
        <f aca="false">+U186*L186</f>
        <v>2277.14462574688</v>
      </c>
      <c r="W186" s="85" t="n">
        <f aca="false">IF(ISBLANK(VLOOKUP(B186,EffDate,4,FALSE())),"na",VLOOKUP(B186,EffDate,4,FALSE()))</f>
        <v>37228</v>
      </c>
      <c r="X186" s="86" t="n">
        <f aca="false">+M186-S186-U186</f>
        <v>0</v>
      </c>
    </row>
    <row r="187" customFormat="false" ht="15" hidden="false" customHeight="true" outlineLevel="0" collapsed="false">
      <c r="A187" s="4" t="s">
        <v>5</v>
      </c>
      <c r="B187" s="77" t="s">
        <v>253</v>
      </c>
      <c r="C187" s="102" t="n">
        <v>3551401</v>
      </c>
      <c r="D187" s="94" t="s">
        <v>246</v>
      </c>
      <c r="E187" s="106" t="n">
        <v>37228</v>
      </c>
      <c r="F187" s="129"/>
      <c r="G187" s="129" t="n">
        <v>224027</v>
      </c>
      <c r="H187" s="129" t="s">
        <v>579</v>
      </c>
      <c r="I187" s="129" t="s">
        <v>546</v>
      </c>
      <c r="J187" s="103" t="str">
        <f aca="false">IF(ISNA(VLOOKUP(B187,cngdata,7,FALSE())),"na",VLOOKUP(B187,cngdata,7,FALSE()))</f>
        <v>GW</v>
      </c>
      <c r="K187" s="79" t="n">
        <f aca="false">IF(ISNA(VLOOKUP(B187,cngdata,13,FALSE())),"na",VLOOKUP(B187,cngdata,13,FALSE()))</f>
        <v>68</v>
      </c>
      <c r="L187" s="108" t="n">
        <f aca="false">+CNGPricing!$H$115</f>
        <v>4.37912428028246</v>
      </c>
      <c r="M187" s="79" t="n">
        <f aca="false">IF(ISNA(VLOOKUP(B187,cngdata,14,FALSE())),0,VLOOKUP(B187,cngdata,14,FALSE()))</f>
        <v>88</v>
      </c>
      <c r="O187" s="81" t="n">
        <v>0</v>
      </c>
      <c r="P187" s="96" t="n">
        <f aca="false">L187-O187</f>
        <v>4.37912428028246</v>
      </c>
      <c r="Q187" s="97" t="n">
        <f aca="false">M187*P187</f>
        <v>385.362936664856</v>
      </c>
      <c r="R187" s="98"/>
      <c r="S187" s="79" t="n">
        <f aca="false">IF(ISNA(VLOOKUP(B187,SplitVol,5,FALSE())),0,VLOOKUP(B187,SplitVol,5,FALSE()))</f>
        <v>7</v>
      </c>
      <c r="T187" s="84" t="n">
        <f aca="false">+S187*L187</f>
        <v>30.6538699619772</v>
      </c>
      <c r="U187" s="79" t="n">
        <f aca="false">IF(ISNA(VLOOKUP(B187,SplitVol,6,FALSE())),0,VLOOKUP(B187,SplitVol,6,FALSE()))</f>
        <v>81</v>
      </c>
      <c r="V187" s="84" t="n">
        <f aca="false">+U187*L187</f>
        <v>354.709066702879</v>
      </c>
      <c r="W187" s="85" t="n">
        <f aca="false">IF(ISBLANK(VLOOKUP(B187,EffDate,4,FALSE())),"na",VLOOKUP(B187,EffDate,4,FALSE()))</f>
        <v>37228</v>
      </c>
      <c r="X187" s="86" t="n">
        <f aca="false">+M187-S187-U187</f>
        <v>0</v>
      </c>
    </row>
    <row r="188" customFormat="false" ht="15" hidden="false" customHeight="true" outlineLevel="0" collapsed="false">
      <c r="A188" s="4" t="s">
        <v>104</v>
      </c>
      <c r="B188" s="77" t="s">
        <v>254</v>
      </c>
      <c r="C188" s="102" t="n">
        <v>3562001</v>
      </c>
      <c r="D188" s="94" t="s">
        <v>246</v>
      </c>
      <c r="E188" s="106" t="n">
        <v>37228</v>
      </c>
      <c r="F188" s="129"/>
      <c r="G188" s="129" t="n">
        <v>224027</v>
      </c>
      <c r="H188" s="129" t="s">
        <v>579</v>
      </c>
      <c r="I188" s="129" t="s">
        <v>546</v>
      </c>
      <c r="J188" s="103" t="str">
        <f aca="false">IF(ISNA(VLOOKUP(B188,cngdata,7,FALSE())),"na",VLOOKUP(B188,cngdata,7,FALSE()))</f>
        <v>GW</v>
      </c>
      <c r="K188" s="79" t="n">
        <f aca="false">IF(ISNA(VLOOKUP(B188,cngdata,13,FALSE())),"na",VLOOKUP(B188,cngdata,13,FALSE()))</f>
        <v>375</v>
      </c>
      <c r="L188" s="108" t="n">
        <f aca="false">+CNGPricing!$H$115</f>
        <v>4.37912428028246</v>
      </c>
      <c r="M188" s="79" t="n">
        <f aca="false">IF(ISNA(VLOOKUP(B188,cngdata,14,FALSE())),0,VLOOKUP(B188,cngdata,14,FALSE()))</f>
        <v>459</v>
      </c>
      <c r="O188" s="81" t="n">
        <v>0</v>
      </c>
      <c r="P188" s="96" t="n">
        <f aca="false">L188-O188</f>
        <v>4.37912428028246</v>
      </c>
      <c r="Q188" s="97" t="n">
        <f aca="false">M188*P188</f>
        <v>2010.01804464965</v>
      </c>
      <c r="R188" s="98"/>
      <c r="S188" s="79" t="n">
        <f aca="false">IF(ISNA(VLOOKUP(B188,SplitVol,5,FALSE())),0,VLOOKUP(B188,SplitVol,5,FALSE()))</f>
        <v>75</v>
      </c>
      <c r="T188" s="84" t="n">
        <f aca="false">+S188*L188</f>
        <v>328.434321021184</v>
      </c>
      <c r="U188" s="79" t="n">
        <f aca="false">IF(ISNA(VLOOKUP(B188,SplitVol,6,FALSE())),0,VLOOKUP(B188,SplitVol,6,FALSE()))</f>
        <v>384</v>
      </c>
      <c r="V188" s="84" t="n">
        <f aca="false">+U188*L188</f>
        <v>1681.58372362846</v>
      </c>
      <c r="W188" s="85" t="n">
        <f aca="false">IF(ISBLANK(VLOOKUP(B188,EffDate,4,FALSE())),"na",VLOOKUP(B188,EffDate,4,FALSE()))</f>
        <v>37228</v>
      </c>
      <c r="X188" s="86" t="n">
        <f aca="false">+M188-S188-U188</f>
        <v>0</v>
      </c>
    </row>
    <row r="189" customFormat="false" ht="15" hidden="false" customHeight="true" outlineLevel="0" collapsed="false">
      <c r="A189" s="4" t="s">
        <v>5</v>
      </c>
      <c r="B189" s="77" t="s">
        <v>255</v>
      </c>
      <c r="C189" s="102" t="n">
        <v>3565501</v>
      </c>
      <c r="D189" s="94" t="s">
        <v>246</v>
      </c>
      <c r="E189" s="106" t="n">
        <v>37228</v>
      </c>
      <c r="F189" s="129"/>
      <c r="G189" s="129" t="n">
        <v>224027</v>
      </c>
      <c r="H189" s="129" t="s">
        <v>579</v>
      </c>
      <c r="I189" s="129" t="s">
        <v>546</v>
      </c>
      <c r="J189" s="103" t="str">
        <f aca="false">IF(ISNA(VLOOKUP(B189,cngdata,7,FALSE())),"na",VLOOKUP(B189,cngdata,7,FALSE()))</f>
        <v>GW</v>
      </c>
      <c r="K189" s="79" t="n">
        <f aca="false">IF(ISNA(VLOOKUP(B189,cngdata,13,FALSE())),"na",VLOOKUP(B189,cngdata,13,FALSE()))</f>
        <v>89</v>
      </c>
      <c r="L189" s="108" t="n">
        <f aca="false">+CNGPricing!$H$115</f>
        <v>4.37912428028246</v>
      </c>
      <c r="M189" s="79" t="n">
        <f aca="false">IF(ISNA(VLOOKUP(B189,cngdata,14,FALSE())),0,VLOOKUP(B189,cngdata,14,FALSE()))</f>
        <v>105</v>
      </c>
      <c r="O189" s="81" t="n">
        <v>0</v>
      </c>
      <c r="P189" s="96" t="n">
        <f aca="false">L189-O189</f>
        <v>4.37912428028246</v>
      </c>
      <c r="Q189" s="97" t="n">
        <f aca="false">M189*P189</f>
        <v>459.808049429658</v>
      </c>
      <c r="R189" s="98"/>
      <c r="S189" s="79" t="n">
        <f aca="false">IF(ISNA(VLOOKUP(B189,SplitVol,5,FALSE())),0,VLOOKUP(B189,SplitVol,5,FALSE()))</f>
        <v>7</v>
      </c>
      <c r="T189" s="84" t="n">
        <f aca="false">+S189*L189</f>
        <v>30.6538699619772</v>
      </c>
      <c r="U189" s="79" t="n">
        <f aca="false">IF(ISNA(VLOOKUP(B189,SplitVol,6,FALSE())),0,VLOOKUP(B189,SplitVol,6,FALSE()))</f>
        <v>98</v>
      </c>
      <c r="V189" s="84" t="n">
        <f aca="false">+U189*L189</f>
        <v>429.154179467681</v>
      </c>
      <c r="W189" s="85" t="n">
        <f aca="false">IF(ISBLANK(VLOOKUP(B189,EffDate,4,FALSE())),"na",VLOOKUP(B189,EffDate,4,FALSE()))</f>
        <v>37228</v>
      </c>
      <c r="X189" s="86" t="n">
        <f aca="false">+M189-S189-U189</f>
        <v>0</v>
      </c>
    </row>
    <row r="190" customFormat="false" ht="15" hidden="false" customHeight="true" outlineLevel="0" collapsed="false">
      <c r="A190" s="4" t="s">
        <v>5</v>
      </c>
      <c r="B190" s="77" t="s">
        <v>256</v>
      </c>
      <c r="C190" s="102" t="n">
        <v>3573701</v>
      </c>
      <c r="D190" s="94" t="s">
        <v>246</v>
      </c>
      <c r="E190" s="106" t="n">
        <v>37228</v>
      </c>
      <c r="F190" s="129"/>
      <c r="G190" s="129" t="n">
        <v>224027</v>
      </c>
      <c r="H190" s="129" t="s">
        <v>579</v>
      </c>
      <c r="I190" s="129" t="s">
        <v>546</v>
      </c>
      <c r="J190" s="103" t="str">
        <f aca="false">IF(ISNA(VLOOKUP(B190,cngdata,7,FALSE())),"na",VLOOKUP(B190,cngdata,7,FALSE()))</f>
        <v>GW</v>
      </c>
      <c r="K190" s="79" t="n">
        <f aca="false">IF(ISNA(VLOOKUP(B190,cngdata,13,FALSE())),"na",VLOOKUP(B190,cngdata,13,FALSE()))</f>
        <v>174</v>
      </c>
      <c r="L190" s="108" t="n">
        <f aca="false">+CNGPricing!$H$115</f>
        <v>4.37912428028246</v>
      </c>
      <c r="M190" s="79" t="n">
        <f aca="false">IF(ISNA(VLOOKUP(B190,cngdata,14,FALSE())),0,VLOOKUP(B190,cngdata,14,FALSE()))</f>
        <v>217</v>
      </c>
      <c r="O190" s="81" t="n">
        <v>0</v>
      </c>
      <c r="P190" s="96" t="n">
        <f aca="false">L190-O190</f>
        <v>4.37912428028246</v>
      </c>
      <c r="Q190" s="97" t="n">
        <f aca="false">M190*P190</f>
        <v>950.269968821293</v>
      </c>
      <c r="R190" s="98"/>
      <c r="S190" s="79" t="n">
        <f aca="false">IF(ISNA(VLOOKUP(B190,SplitVol,5,FALSE())),0,VLOOKUP(B190,SplitVol,5,FALSE()))</f>
        <v>42</v>
      </c>
      <c r="T190" s="84" t="n">
        <f aca="false">+S190*L190</f>
        <v>183.923219771863</v>
      </c>
      <c r="U190" s="79" t="n">
        <f aca="false">IF(ISNA(VLOOKUP(B190,SplitVol,6,FALSE())),0,VLOOKUP(B190,SplitVol,6,FALSE()))</f>
        <v>175</v>
      </c>
      <c r="V190" s="84" t="n">
        <f aca="false">+U190*L190</f>
        <v>766.34674904943</v>
      </c>
      <c r="W190" s="85" t="n">
        <f aca="false">IF(ISBLANK(VLOOKUP(B190,EffDate,4,FALSE())),"na",VLOOKUP(B190,EffDate,4,FALSE()))</f>
        <v>37228</v>
      </c>
      <c r="X190" s="86" t="n">
        <f aca="false">+M190-S190-U190</f>
        <v>0</v>
      </c>
    </row>
    <row r="191" customFormat="false" ht="15" hidden="false" customHeight="true" outlineLevel="0" collapsed="false">
      <c r="A191" s="0" t="s">
        <v>5</v>
      </c>
      <c r="B191" s="0" t="s">
        <v>258</v>
      </c>
      <c r="C191" s="134" t="n">
        <v>3585801</v>
      </c>
      <c r="D191" s="94" t="s">
        <v>246</v>
      </c>
      <c r="E191" s="106" t="n">
        <v>37228</v>
      </c>
      <c r="F191" s="129"/>
      <c r="G191" s="129" t="n">
        <v>224027</v>
      </c>
      <c r="H191" s="129" t="s">
        <v>579</v>
      </c>
      <c r="I191" s="129" t="s">
        <v>546</v>
      </c>
      <c r="J191" s="103" t="str">
        <f aca="false">IF(ISNA(VLOOKUP(B191,cngdata,7,FALSE())),"na",VLOOKUP(B191,cngdata,7,FALSE()))</f>
        <v>GW</v>
      </c>
      <c r="K191" s="79" t="n">
        <f aca="false">IF(ISNA(VLOOKUP(B191,cngdata,13,FALSE())),"na",VLOOKUP(B191,cngdata,13,FALSE()))</f>
        <v>1323</v>
      </c>
      <c r="L191" s="108" t="n">
        <f aca="false">+CNGPricing!$H$115</f>
        <v>4.37912428028246</v>
      </c>
      <c r="M191" s="79" t="n">
        <f aca="false">IF(ISNA(VLOOKUP(B191,cngdata,14,FALSE())),0,VLOOKUP(B191,cngdata,14,FALSE()))</f>
        <v>1667</v>
      </c>
      <c r="O191" s="81" t="n">
        <v>0</v>
      </c>
      <c r="P191" s="96" t="n">
        <f aca="false">L191-O191</f>
        <v>4.37912428028246</v>
      </c>
      <c r="Q191" s="97" t="n">
        <f aca="false">M191*P191</f>
        <v>7300.00017523085</v>
      </c>
      <c r="R191" s="98"/>
      <c r="S191" s="79" t="n">
        <f aca="false">IF(ISNA(VLOOKUP(B191,SplitVol,5,FALSE())),0,VLOOKUP(B191,SplitVol,5,FALSE()))</f>
        <v>90</v>
      </c>
      <c r="T191" s="84" t="n">
        <f aca="false">+S191*L191</f>
        <v>394.121185225421</v>
      </c>
      <c r="U191" s="79" t="n">
        <f aca="false">IF(ISNA(VLOOKUP(B191,SplitVol,6,FALSE())),0,VLOOKUP(B191,SplitVol,6,FALSE()))</f>
        <v>1577</v>
      </c>
      <c r="V191" s="84" t="n">
        <f aca="false">+U191*L191</f>
        <v>6905.87899000543</v>
      </c>
      <c r="W191" s="85" t="n">
        <f aca="false">IF(ISBLANK(VLOOKUP(B191,EffDate,4,FALSE())),"na",VLOOKUP(B191,EffDate,4,FALSE()))</f>
        <v>37228</v>
      </c>
      <c r="X191" s="86" t="n">
        <f aca="false">+M191-S191-U191</f>
        <v>0</v>
      </c>
    </row>
    <row r="192" customFormat="false" ht="15" hidden="false" customHeight="true" outlineLevel="0" collapsed="false">
      <c r="A192" s="4" t="s">
        <v>5</v>
      </c>
      <c r="B192" s="77" t="s">
        <v>259</v>
      </c>
      <c r="C192" s="4" t="n">
        <v>2038501</v>
      </c>
      <c r="D192" s="4" t="s">
        <v>260</v>
      </c>
      <c r="E192" s="72" t="s">
        <v>517</v>
      </c>
      <c r="F192" s="4"/>
      <c r="G192" s="78" t="n">
        <v>44782</v>
      </c>
      <c r="H192" s="78" t="s">
        <v>580</v>
      </c>
      <c r="I192" s="78" t="s">
        <v>529</v>
      </c>
      <c r="J192" s="79" t="str">
        <f aca="false">IF(ISNA(VLOOKUP(B192,cngdata,7,FALSE())),"na",VLOOKUP(B192,cngdata,7,FALSE()))</f>
        <v>GW</v>
      </c>
      <c r="K192" s="79" t="n">
        <f aca="false">IF(ISNA(VLOOKUP(B192,cngdata,13,FALSE())),"na",VLOOKUP(B192,cngdata,13,FALSE()))</f>
        <v>0</v>
      </c>
      <c r="L192" s="80" t="n">
        <f aca="false">$L$2-0.08</f>
        <v>2.34</v>
      </c>
      <c r="M192" s="79" t="n">
        <f aca="false">IF(ISNA(VLOOKUP(B192,cngdata,14,FALSE())),0,VLOOKUP(B192,cngdata,14,FALSE()))</f>
        <v>527</v>
      </c>
      <c r="O192" s="81" t="n">
        <v>0</v>
      </c>
      <c r="P192" s="82" t="n">
        <f aca="false">L192-O192</f>
        <v>2.34</v>
      </c>
      <c r="Q192" s="83" t="n">
        <f aca="false">M192*P192</f>
        <v>1233.18</v>
      </c>
      <c r="R192" s="74"/>
      <c r="S192" s="79" t="n">
        <f aca="false">IF(ISNA(VLOOKUP(B192,SplitVol,5,FALSE())),0,VLOOKUP(B192,SplitVol,5,FALSE()))</f>
        <v>36</v>
      </c>
      <c r="T192" s="84" t="n">
        <f aca="false">+S192*L192</f>
        <v>84.24</v>
      </c>
      <c r="U192" s="79" t="n">
        <f aca="false">IF(ISNA(VLOOKUP(B192,SplitVol,6,FALSE())),0,VLOOKUP(B192,SplitVol,6,FALSE()))+1</f>
        <v>491</v>
      </c>
      <c r="V192" s="84" t="n">
        <f aca="false">+U192*L192</f>
        <v>1148.94</v>
      </c>
      <c r="W192" s="85" t="n">
        <f aca="false">IF(ISBLANK(VLOOKUP(B192,EffDate,4,FALSE())),"na",VLOOKUP(B192,EffDate,4,FALSE()))</f>
        <v>37228</v>
      </c>
      <c r="X192" s="86" t="n">
        <f aca="false">+M192-S192-U192</f>
        <v>0</v>
      </c>
    </row>
    <row r="193" customFormat="false" ht="15" hidden="false" customHeight="true" outlineLevel="0" collapsed="false">
      <c r="A193" s="4" t="s">
        <v>26</v>
      </c>
      <c r="B193" s="77" t="s">
        <v>262</v>
      </c>
      <c r="C193" s="4" t="s">
        <v>26</v>
      </c>
      <c r="D193" s="8" t="s">
        <v>263</v>
      </c>
      <c r="E193" s="72" t="s">
        <v>517</v>
      </c>
      <c r="F193" s="8"/>
      <c r="G193" s="8" t="n">
        <v>50329</v>
      </c>
      <c r="H193" s="8" t="s">
        <v>581</v>
      </c>
      <c r="I193" s="8" t="s">
        <v>582</v>
      </c>
      <c r="J193" s="79" t="str">
        <f aca="false">IF(ISNA(VLOOKUP(B193,cngdata,7,FALSE())),"na",VLOOKUP(B193,cngdata,7,FALSE()))</f>
        <v>na</v>
      </c>
      <c r="K193" s="79" t="str">
        <f aca="false">IF(ISNA(VLOOKUP(B193,cngdata,13,FALSE())),"na",VLOOKUP(B193,cngdata,13,FALSE()))</f>
        <v>na</v>
      </c>
      <c r="L193" s="135" t="n">
        <f aca="false">+$L$3</f>
        <v>2.4</v>
      </c>
      <c r="M193" s="79" t="n">
        <f aca="false">IF(ISNA(VLOOKUP(B193,cngdata,14,FALSE())),0,VLOOKUP(B193,cngdata,14,FALSE()))</f>
        <v>0</v>
      </c>
      <c r="O193" s="81" t="n">
        <v>0</v>
      </c>
      <c r="P193" s="96" t="n">
        <f aca="false">L193-O193</f>
        <v>2.4</v>
      </c>
      <c r="Q193" s="97" t="n">
        <f aca="false">M193*P193</f>
        <v>0</v>
      </c>
      <c r="R193" s="98"/>
      <c r="S193" s="79" t="n">
        <f aca="false">IF(ISNA(VLOOKUP(B193,SplitVol,5,FALSE())),0,VLOOKUP(B193,SplitVol,5,FALSE()))</f>
        <v>0</v>
      </c>
      <c r="T193" s="84" t="n">
        <f aca="false">+S193*L193</f>
        <v>0</v>
      </c>
      <c r="U193" s="79" t="n">
        <f aca="false">IF(ISNA(VLOOKUP(B193,SplitVol,6,FALSE())),0,VLOOKUP(B193,SplitVol,6,FALSE()))</f>
        <v>0</v>
      </c>
      <c r="V193" s="84" t="n">
        <f aca="false">+U193*L193</f>
        <v>0</v>
      </c>
      <c r="W193" s="85" t="str">
        <f aca="false">IF(ISBLANK(VLOOKUP(B193,EffDate,4,FALSE())),"na",VLOOKUP(B193,EffDate,4,FALSE()))</f>
        <v>na</v>
      </c>
      <c r="X193" s="86" t="n">
        <f aca="false">+M193-S193-U193</f>
        <v>0</v>
      </c>
    </row>
    <row r="194" customFormat="false" ht="15" hidden="false" customHeight="true" outlineLevel="0" collapsed="false">
      <c r="A194" s="4" t="s">
        <v>26</v>
      </c>
      <c r="B194" s="77" t="s">
        <v>264</v>
      </c>
      <c r="C194" s="4" t="s">
        <v>26</v>
      </c>
      <c r="D194" s="8" t="s">
        <v>263</v>
      </c>
      <c r="E194" s="72" t="s">
        <v>517</v>
      </c>
      <c r="F194" s="8"/>
      <c r="G194" s="8" t="n">
        <v>50329</v>
      </c>
      <c r="H194" s="8" t="s">
        <v>581</v>
      </c>
      <c r="I194" s="8" t="s">
        <v>582</v>
      </c>
      <c r="J194" s="79" t="str">
        <f aca="false">IF(ISNA(VLOOKUP(B194,cngdata,7,FALSE())),"na",VLOOKUP(B194,cngdata,7,FALSE()))</f>
        <v>na</v>
      </c>
      <c r="K194" s="79" t="str">
        <f aca="false">IF(ISNA(VLOOKUP(B194,cngdata,13,FALSE())),"na",VLOOKUP(B194,cngdata,13,FALSE()))</f>
        <v>na</v>
      </c>
      <c r="L194" s="135" t="n">
        <f aca="false">+$L$3</f>
        <v>2.4</v>
      </c>
      <c r="M194" s="79" t="n">
        <f aca="false">IF(ISNA(VLOOKUP(B194,cngdata,14,FALSE())),0,VLOOKUP(B194,cngdata,14,FALSE()))</f>
        <v>0</v>
      </c>
      <c r="O194" s="81" t="n">
        <v>0</v>
      </c>
      <c r="P194" s="96" t="n">
        <f aca="false">L194-O194</f>
        <v>2.4</v>
      </c>
      <c r="Q194" s="97" t="n">
        <f aca="false">M194*P194</f>
        <v>0</v>
      </c>
      <c r="R194" s="98"/>
      <c r="S194" s="79" t="n">
        <f aca="false">IF(ISNA(VLOOKUP(B194,SplitVol,5,FALSE())),0,VLOOKUP(B194,SplitVol,5,FALSE()))</f>
        <v>0</v>
      </c>
      <c r="T194" s="84" t="n">
        <f aca="false">+S194*L194</f>
        <v>0</v>
      </c>
      <c r="U194" s="79" t="n">
        <f aca="false">IF(ISNA(VLOOKUP(B194,SplitVol,6,FALSE())),0,VLOOKUP(B194,SplitVol,6,FALSE()))</f>
        <v>0</v>
      </c>
      <c r="V194" s="84" t="n">
        <f aca="false">+U194*L194</f>
        <v>0</v>
      </c>
      <c r="W194" s="85" t="str">
        <f aca="false">IF(ISBLANK(VLOOKUP(B194,EffDate,4,FALSE())),"na",VLOOKUP(B194,EffDate,4,FALSE()))</f>
        <v>na</v>
      </c>
      <c r="X194" s="86" t="n">
        <f aca="false">+M194-S194-U194</f>
        <v>0</v>
      </c>
    </row>
    <row r="195" customFormat="false" ht="15" hidden="false" customHeight="true" outlineLevel="0" collapsed="false">
      <c r="A195" s="4" t="s">
        <v>26</v>
      </c>
      <c r="B195" s="77" t="s">
        <v>265</v>
      </c>
      <c r="C195" s="4" t="s">
        <v>26</v>
      </c>
      <c r="D195" s="8" t="s">
        <v>263</v>
      </c>
      <c r="E195" s="72" t="s">
        <v>517</v>
      </c>
      <c r="F195" s="8"/>
      <c r="G195" s="8" t="n">
        <v>50329</v>
      </c>
      <c r="H195" s="8" t="s">
        <v>581</v>
      </c>
      <c r="I195" s="8" t="s">
        <v>582</v>
      </c>
      <c r="J195" s="79" t="str">
        <f aca="false">IF(ISNA(VLOOKUP(B195,cngdata,7,FALSE())),"na",VLOOKUP(B195,cngdata,7,FALSE()))</f>
        <v>na</v>
      </c>
      <c r="K195" s="79" t="str">
        <f aca="false">IF(ISNA(VLOOKUP(B195,cngdata,13,FALSE())),"na",VLOOKUP(B195,cngdata,13,FALSE()))</f>
        <v>na</v>
      </c>
      <c r="L195" s="135" t="n">
        <f aca="false">+$L$3</f>
        <v>2.4</v>
      </c>
      <c r="M195" s="79" t="n">
        <f aca="false">IF(ISNA(VLOOKUP(B195,cngdata,14,FALSE())),0,VLOOKUP(B195,cngdata,14,FALSE()))</f>
        <v>0</v>
      </c>
      <c r="O195" s="81" t="n">
        <v>0</v>
      </c>
      <c r="P195" s="96" t="n">
        <f aca="false">L195-O195</f>
        <v>2.4</v>
      </c>
      <c r="Q195" s="97" t="n">
        <f aca="false">M195*P195</f>
        <v>0</v>
      </c>
      <c r="R195" s="98"/>
      <c r="S195" s="79" t="n">
        <f aca="false">IF(ISNA(VLOOKUP(B195,SplitVol,5,FALSE())),0,VLOOKUP(B195,SplitVol,5,FALSE()))</f>
        <v>0</v>
      </c>
      <c r="T195" s="84" t="n">
        <f aca="false">+S195*L195</f>
        <v>0</v>
      </c>
      <c r="U195" s="79" t="n">
        <f aca="false">IF(ISNA(VLOOKUP(B195,SplitVol,6,FALSE())),0,VLOOKUP(B195,SplitVol,6,FALSE()))</f>
        <v>0</v>
      </c>
      <c r="V195" s="84" t="n">
        <f aca="false">+U195*L195</f>
        <v>0</v>
      </c>
      <c r="W195" s="85" t="str">
        <f aca="false">IF(ISBLANK(VLOOKUP(B195,EffDate,4,FALSE())),"na",VLOOKUP(B195,EffDate,4,FALSE()))</f>
        <v>na</v>
      </c>
      <c r="X195" s="86" t="n">
        <f aca="false">+M195-S195-U195</f>
        <v>0</v>
      </c>
    </row>
    <row r="196" customFormat="false" ht="15" hidden="false" customHeight="true" outlineLevel="0" collapsed="false">
      <c r="A196" s="4" t="s">
        <v>26</v>
      </c>
      <c r="B196" s="77" t="s">
        <v>266</v>
      </c>
      <c r="C196" s="4" t="s">
        <v>26</v>
      </c>
      <c r="D196" s="8" t="s">
        <v>263</v>
      </c>
      <c r="E196" s="72" t="s">
        <v>517</v>
      </c>
      <c r="F196" s="8"/>
      <c r="G196" s="8" t="n">
        <v>50329</v>
      </c>
      <c r="H196" s="8" t="s">
        <v>581</v>
      </c>
      <c r="I196" s="8" t="s">
        <v>582</v>
      </c>
      <c r="J196" s="79" t="str">
        <f aca="false">IF(ISNA(VLOOKUP(B196,cngdata,7,FALSE())),"na",VLOOKUP(B196,cngdata,7,FALSE()))</f>
        <v>na</v>
      </c>
      <c r="K196" s="79" t="str">
        <f aca="false">IF(ISNA(VLOOKUP(B196,cngdata,13,FALSE())),"na",VLOOKUP(B196,cngdata,13,FALSE()))</f>
        <v>na</v>
      </c>
      <c r="L196" s="135" t="n">
        <f aca="false">+$L$3</f>
        <v>2.4</v>
      </c>
      <c r="M196" s="79" t="n">
        <f aca="false">IF(ISNA(VLOOKUP(B196,cngdata,14,FALSE())),0,VLOOKUP(B196,cngdata,14,FALSE()))</f>
        <v>0</v>
      </c>
      <c r="O196" s="81" t="n">
        <v>0</v>
      </c>
      <c r="P196" s="96" t="n">
        <f aca="false">L196-O196</f>
        <v>2.4</v>
      </c>
      <c r="Q196" s="97" t="n">
        <f aca="false">M196*P196</f>
        <v>0</v>
      </c>
      <c r="R196" s="98"/>
      <c r="S196" s="79" t="n">
        <f aca="false">IF(ISNA(VLOOKUP(B196,SplitVol,5,FALSE())),0,VLOOKUP(B196,SplitVol,5,FALSE()))</f>
        <v>0</v>
      </c>
      <c r="T196" s="84" t="n">
        <f aca="false">+S196*L196</f>
        <v>0</v>
      </c>
      <c r="U196" s="79" t="n">
        <f aca="false">IF(ISNA(VLOOKUP(B196,SplitVol,6,FALSE())),0,VLOOKUP(B196,SplitVol,6,FALSE()))</f>
        <v>0</v>
      </c>
      <c r="V196" s="84" t="n">
        <f aca="false">+U196*L196</f>
        <v>0</v>
      </c>
      <c r="W196" s="85" t="str">
        <f aca="false">IF(ISBLANK(VLOOKUP(B196,EffDate,4,FALSE())),"na",VLOOKUP(B196,EffDate,4,FALSE()))</f>
        <v>na</v>
      </c>
      <c r="X196" s="86" t="n">
        <f aca="false">+M196-S196-U196</f>
        <v>0</v>
      </c>
    </row>
    <row r="197" customFormat="false" ht="15" hidden="false" customHeight="true" outlineLevel="0" collapsed="false">
      <c r="A197" s="4" t="s">
        <v>5</v>
      </c>
      <c r="B197" s="77" t="s">
        <v>267</v>
      </c>
      <c r="C197" s="4" t="n">
        <v>4342301</v>
      </c>
      <c r="D197" s="4" t="s">
        <v>268</v>
      </c>
      <c r="E197" s="72" t="s">
        <v>517</v>
      </c>
      <c r="F197" s="4"/>
      <c r="G197" s="78" t="n">
        <v>52911</v>
      </c>
      <c r="H197" s="78" t="s">
        <v>583</v>
      </c>
      <c r="I197" s="78" t="s">
        <v>537</v>
      </c>
      <c r="J197" s="79" t="str">
        <f aca="false">IF(ISNA(VLOOKUP(B197,cngdata,7,FALSE())),"na",VLOOKUP(B197,cngdata,7,FALSE()))</f>
        <v>GW</v>
      </c>
      <c r="K197" s="79" t="n">
        <f aca="false">IF(ISNA(VLOOKUP(B197,cngdata,13,FALSE())),"na",VLOOKUP(B197,cngdata,13,FALSE()))</f>
        <v>247</v>
      </c>
      <c r="L197" s="80" t="n">
        <f aca="false">L$2*100%</f>
        <v>2.42</v>
      </c>
      <c r="M197" s="79" t="n">
        <f aca="false">IF(ISNA(VLOOKUP(B197,cngdata,14,FALSE())),0,VLOOKUP(B197,cngdata,14,FALSE()))</f>
        <v>278</v>
      </c>
      <c r="O197" s="81" t="n">
        <v>0</v>
      </c>
      <c r="P197" s="82" t="n">
        <f aca="false">L197-O197</f>
        <v>2.42</v>
      </c>
      <c r="Q197" s="83" t="n">
        <f aca="false">M197*P197</f>
        <v>672.76</v>
      </c>
      <c r="R197" s="74"/>
      <c r="S197" s="79" t="n">
        <f aca="false">IF(ISNA(VLOOKUP(B197,SplitVol,5,FALSE())),0,VLOOKUP(B197,SplitVol,5,FALSE()))</f>
        <v>14</v>
      </c>
      <c r="T197" s="84" t="n">
        <f aca="false">+S197*L197</f>
        <v>33.88</v>
      </c>
      <c r="U197" s="79" t="n">
        <f aca="false">IF(ISNA(VLOOKUP(B197,SplitVol,6,FALSE())),0,VLOOKUP(B197,SplitVol,6,FALSE()))</f>
        <v>264</v>
      </c>
      <c r="V197" s="84" t="n">
        <f aca="false">+U197*L197</f>
        <v>638.88</v>
      </c>
      <c r="W197" s="85" t="str">
        <f aca="false">IF(ISBLANK(VLOOKUP(B197,EffDate,4,FALSE())),"na",VLOOKUP(B197,EffDate,4,FALSE()))</f>
        <v>na</v>
      </c>
      <c r="X197" s="86" t="n">
        <f aca="false">+M197-S197-U197</f>
        <v>0</v>
      </c>
    </row>
    <row r="198" customFormat="false" ht="15" hidden="false" customHeight="true" outlineLevel="0" collapsed="false">
      <c r="A198" s="78" t="s">
        <v>273</v>
      </c>
      <c r="B198" s="78" t="s">
        <v>274</v>
      </c>
      <c r="C198" s="78" t="n">
        <v>3576601</v>
      </c>
      <c r="D198" s="4" t="s">
        <v>270</v>
      </c>
      <c r="E198" s="72" t="s">
        <v>517</v>
      </c>
      <c r="F198" s="4"/>
      <c r="G198" s="4" t="n">
        <v>69167</v>
      </c>
      <c r="H198" s="78" t="s">
        <v>584</v>
      </c>
      <c r="I198" s="78" t="s">
        <v>537</v>
      </c>
      <c r="J198" s="79" t="str">
        <f aca="false">IF(ISNA(VLOOKUP(B198,cngdata,7,FALSE())),"na",VLOOKUP(B198,cngdata,7,FALSE()))</f>
        <v>GW</v>
      </c>
      <c r="K198" s="79" t="n">
        <f aca="false">IF(ISNA(VLOOKUP(B198,cngdata,13,FALSE())),"na",VLOOKUP(B198,cngdata,13,FALSE()))</f>
        <v>0</v>
      </c>
      <c r="L198" s="80" t="n">
        <f aca="false">$L$2</f>
        <v>2.42</v>
      </c>
      <c r="M198" s="79" t="n">
        <f aca="false">IF(ISNA(VLOOKUP(B198,cngdata,14,FALSE())),0,VLOOKUP(B198,cngdata,14,FALSE()))</f>
        <v>0</v>
      </c>
      <c r="O198" s="81" t="n">
        <v>0</v>
      </c>
      <c r="P198" s="82" t="n">
        <f aca="false">L198-O198</f>
        <v>2.42</v>
      </c>
      <c r="Q198" s="83" t="n">
        <f aca="false">M198*P198</f>
        <v>0</v>
      </c>
      <c r="R198" s="74"/>
      <c r="S198" s="79" t="n">
        <f aca="false">IF(ISNA(VLOOKUP(B198,SplitVol,5,FALSE())),0,VLOOKUP(B198,SplitVol,5,FALSE()))</f>
        <v>0</v>
      </c>
      <c r="T198" s="84" t="n">
        <f aca="false">+S198*L198</f>
        <v>0</v>
      </c>
      <c r="U198" s="79" t="n">
        <f aca="false">IF(ISNA(VLOOKUP(B198,SplitVol,6,FALSE())),0,VLOOKUP(B198,SplitVol,6,FALSE()))</f>
        <v>0</v>
      </c>
      <c r="V198" s="84" t="n">
        <f aca="false">+U198*L198</f>
        <v>0</v>
      </c>
      <c r="W198" s="85" t="str">
        <f aca="false">IF(ISBLANK(VLOOKUP(B198,EffDate,4,FALSE())),"na",VLOOKUP(B198,EffDate,4,FALSE()))</f>
        <v>na</v>
      </c>
      <c r="X198" s="86" t="n">
        <f aca="false">+M198-S198-U198</f>
        <v>0</v>
      </c>
    </row>
    <row r="199" customFormat="false" ht="15" hidden="false" customHeight="true" outlineLevel="0" collapsed="false">
      <c r="A199" s="78" t="s">
        <v>273</v>
      </c>
      <c r="B199" s="78" t="s">
        <v>275</v>
      </c>
      <c r="C199" s="78" t="n">
        <v>3584401</v>
      </c>
      <c r="D199" s="4" t="s">
        <v>270</v>
      </c>
      <c r="E199" s="72" t="s">
        <v>517</v>
      </c>
      <c r="F199" s="4"/>
      <c r="G199" s="4" t="n">
        <v>69167</v>
      </c>
      <c r="H199" s="78" t="s">
        <v>584</v>
      </c>
      <c r="I199" s="78" t="s">
        <v>537</v>
      </c>
      <c r="J199" s="79" t="str">
        <f aca="false">IF(ISNA(VLOOKUP(B199,cngdata,7,FALSE())),"na",VLOOKUP(B199,cngdata,7,FALSE()))</f>
        <v>GW</v>
      </c>
      <c r="K199" s="79" t="n">
        <f aca="false">IF(ISNA(VLOOKUP(B199,cngdata,13,FALSE())),"na",VLOOKUP(B199,cngdata,13,FALSE()))</f>
        <v>10</v>
      </c>
      <c r="L199" s="80" t="n">
        <f aca="false">$L$2</f>
        <v>2.42</v>
      </c>
      <c r="M199" s="79" t="n">
        <f aca="false">IF(ISNA(VLOOKUP(B199,cngdata,14,FALSE())),0,VLOOKUP(B199,cngdata,14,FALSE()))</f>
        <v>12</v>
      </c>
      <c r="O199" s="81" t="n">
        <v>0</v>
      </c>
      <c r="P199" s="82" t="n">
        <f aca="false">L199-O199</f>
        <v>2.42</v>
      </c>
      <c r="Q199" s="83" t="n">
        <f aca="false">M199*P199</f>
        <v>29.04</v>
      </c>
      <c r="R199" s="74"/>
      <c r="S199" s="79" t="n">
        <f aca="false">IF(ISNA(VLOOKUP(B199,SplitVol,5,FALSE())),0,VLOOKUP(B199,SplitVol,5,FALSE()))</f>
        <v>3</v>
      </c>
      <c r="T199" s="84" t="n">
        <f aca="false">+S199*L199</f>
        <v>7.26</v>
      </c>
      <c r="U199" s="79" t="n">
        <f aca="false">IF(ISNA(VLOOKUP(B199,SplitVol,6,FALSE())),0,VLOOKUP(B199,SplitVol,6,FALSE()))</f>
        <v>9</v>
      </c>
      <c r="V199" s="84" t="n">
        <f aca="false">+U199*L199</f>
        <v>21.78</v>
      </c>
      <c r="W199" s="85" t="str">
        <f aca="false">IF(ISBLANK(VLOOKUP(B199,EffDate,4,FALSE())),"na",VLOOKUP(B199,EffDate,4,FALSE()))</f>
        <v>na</v>
      </c>
      <c r="X199" s="86" t="n">
        <f aca="false">+M199-S199-U199</f>
        <v>0</v>
      </c>
    </row>
    <row r="200" customFormat="false" ht="15" hidden="false" customHeight="true" outlineLevel="0" collapsed="false">
      <c r="A200" s="4" t="s">
        <v>5</v>
      </c>
      <c r="B200" s="77" t="s">
        <v>271</v>
      </c>
      <c r="C200" s="4" t="n">
        <v>3223401</v>
      </c>
      <c r="D200" s="4" t="s">
        <v>270</v>
      </c>
      <c r="E200" s="72" t="s">
        <v>517</v>
      </c>
      <c r="F200" s="4"/>
      <c r="G200" s="4" t="n">
        <v>69167</v>
      </c>
      <c r="H200" s="78" t="s">
        <v>584</v>
      </c>
      <c r="I200" s="78" t="s">
        <v>537</v>
      </c>
      <c r="J200" s="79" t="str">
        <f aca="false">IF(ISNA(VLOOKUP(B200,cngdata,7,FALSE())),"na",VLOOKUP(B200,cngdata,7,FALSE()))</f>
        <v>GW</v>
      </c>
      <c r="K200" s="79" t="n">
        <f aca="false">IF(ISNA(VLOOKUP(B200,cngdata,13,FALSE())),"na",VLOOKUP(B200,cngdata,13,FALSE()))</f>
        <v>21</v>
      </c>
      <c r="L200" s="80" t="n">
        <f aca="false">$L$2</f>
        <v>2.42</v>
      </c>
      <c r="M200" s="79" t="n">
        <f aca="false">IF(ISNA(VLOOKUP(B200,cngdata,14,FALSE())),0,VLOOKUP(B200,cngdata,14,FALSE()))</f>
        <v>24</v>
      </c>
      <c r="O200" s="81" t="n">
        <v>0</v>
      </c>
      <c r="P200" s="82" t="n">
        <f aca="false">L200-O200</f>
        <v>2.42</v>
      </c>
      <c r="Q200" s="83" t="n">
        <f aca="false">M200*P200</f>
        <v>58.08</v>
      </c>
      <c r="R200" s="74"/>
      <c r="S200" s="79" t="n">
        <f aca="false">IF(ISNA(VLOOKUP(B200,SplitVol,5,FALSE())),0,VLOOKUP(B200,SplitVol,5,FALSE()))</f>
        <v>3</v>
      </c>
      <c r="T200" s="84" t="n">
        <f aca="false">+S200*L200</f>
        <v>7.26</v>
      </c>
      <c r="U200" s="79" t="n">
        <f aca="false">IF(ISNA(VLOOKUP(B200,SplitVol,6,FALSE())),0,VLOOKUP(B200,SplitVol,6,FALSE()))</f>
        <v>21</v>
      </c>
      <c r="V200" s="84" t="n">
        <f aca="false">+U200*L200</f>
        <v>50.82</v>
      </c>
      <c r="W200" s="85" t="str">
        <f aca="false">IF(ISBLANK(VLOOKUP(B200,EffDate,4,FALSE())),"na",VLOOKUP(B200,EffDate,4,FALSE()))</f>
        <v>na</v>
      </c>
      <c r="X200" s="86" t="n">
        <f aca="false">+M200-S200-U200</f>
        <v>0</v>
      </c>
    </row>
    <row r="201" customFormat="false" ht="15" hidden="false" customHeight="true" outlineLevel="0" collapsed="false">
      <c r="A201" s="4" t="s">
        <v>104</v>
      </c>
      <c r="B201" s="77" t="s">
        <v>269</v>
      </c>
      <c r="C201" s="4" t="n">
        <v>3124201</v>
      </c>
      <c r="D201" s="4" t="s">
        <v>270</v>
      </c>
      <c r="E201" s="72" t="s">
        <v>517</v>
      </c>
      <c r="F201" s="4"/>
      <c r="G201" s="4" t="n">
        <v>69167</v>
      </c>
      <c r="H201" s="78" t="s">
        <v>584</v>
      </c>
      <c r="I201" s="78" t="s">
        <v>537</v>
      </c>
      <c r="J201" s="79" t="str">
        <f aca="false">IF(ISNA(VLOOKUP(B201,cngdata,7,FALSE())),"na",VLOOKUP(B201,cngdata,7,FALSE()))</f>
        <v>TW</v>
      </c>
      <c r="K201" s="79" t="n">
        <f aca="false">IF(ISNA(VLOOKUP(B201,cngdata,13,FALSE())),"na",VLOOKUP(B201,cngdata,13,FALSE()))</f>
        <v>0</v>
      </c>
      <c r="L201" s="80" t="n">
        <f aca="false">$L$2</f>
        <v>2.42</v>
      </c>
      <c r="M201" s="79" t="n">
        <f aca="false">IF(ISNA(VLOOKUP(B201,cngdata,14,FALSE())),0,VLOOKUP(B201,cngdata,14,FALSE()))</f>
        <v>0</v>
      </c>
      <c r="O201" s="81" t="n">
        <v>0</v>
      </c>
      <c r="P201" s="82" t="n">
        <f aca="false">L201-O201</f>
        <v>2.42</v>
      </c>
      <c r="Q201" s="83" t="n">
        <f aca="false">M201*P201</f>
        <v>0</v>
      </c>
      <c r="R201" s="74"/>
      <c r="S201" s="79" t="n">
        <f aca="false">IF(ISNA(VLOOKUP(B201,SplitVol,5,FALSE())),0,VLOOKUP(B201,SplitVol,5,FALSE()))</f>
        <v>0</v>
      </c>
      <c r="T201" s="84" t="n">
        <f aca="false">+S201*L201</f>
        <v>0</v>
      </c>
      <c r="U201" s="79" t="n">
        <f aca="false">IF(ISNA(VLOOKUP(B201,SplitVol,6,FALSE())),0,VLOOKUP(B201,SplitVol,6,FALSE()))</f>
        <v>0</v>
      </c>
      <c r="V201" s="84" t="n">
        <f aca="false">+U201*L201</f>
        <v>0</v>
      </c>
      <c r="W201" s="85" t="str">
        <f aca="false">IF(ISBLANK(VLOOKUP(B201,EffDate,4,FALSE())),"na",VLOOKUP(B201,EffDate,4,FALSE()))</f>
        <v>na</v>
      </c>
      <c r="X201" s="86" t="n">
        <f aca="false">+M201-S201-U201</f>
        <v>0</v>
      </c>
    </row>
    <row r="202" customFormat="false" ht="15" hidden="false" customHeight="true" outlineLevel="0" collapsed="false">
      <c r="A202" s="4" t="s">
        <v>5</v>
      </c>
      <c r="B202" s="77" t="s">
        <v>272</v>
      </c>
      <c r="C202" s="4" t="n">
        <v>3245501</v>
      </c>
      <c r="D202" s="4" t="s">
        <v>270</v>
      </c>
      <c r="E202" s="72" t="s">
        <v>517</v>
      </c>
      <c r="F202" s="4"/>
      <c r="G202" s="4" t="n">
        <v>69167</v>
      </c>
      <c r="H202" s="78" t="s">
        <v>584</v>
      </c>
      <c r="I202" s="78" t="s">
        <v>537</v>
      </c>
      <c r="J202" s="79" t="str">
        <f aca="false">IF(ISNA(VLOOKUP(B202,cngdata,7,FALSE())),"na",VLOOKUP(B202,cngdata,7,FALSE()))</f>
        <v>GW</v>
      </c>
      <c r="K202" s="79" t="n">
        <f aca="false">IF(ISNA(VLOOKUP(B202,cngdata,13,FALSE())),"na",VLOOKUP(B202,cngdata,13,FALSE()))</f>
        <v>0</v>
      </c>
      <c r="L202" s="80" t="n">
        <f aca="false">$L$2</f>
        <v>2.42</v>
      </c>
      <c r="M202" s="79" t="n">
        <f aca="false">IF(ISNA(VLOOKUP(B202,cngdata,14,FALSE())),0,VLOOKUP(B202,cngdata,14,FALSE()))</f>
        <v>0</v>
      </c>
      <c r="O202" s="81" t="n">
        <v>0</v>
      </c>
      <c r="P202" s="82" t="n">
        <f aca="false">L202-O202</f>
        <v>2.42</v>
      </c>
      <c r="Q202" s="83" t="n">
        <f aca="false">M202*P202</f>
        <v>0</v>
      </c>
      <c r="R202" s="74"/>
      <c r="S202" s="79" t="n">
        <f aca="false">IF(ISNA(VLOOKUP(B202,SplitVol,5,FALSE())),0,VLOOKUP(B202,SplitVol,5,FALSE()))</f>
        <v>0</v>
      </c>
      <c r="T202" s="84" t="n">
        <f aca="false">+S202*L202</f>
        <v>0</v>
      </c>
      <c r="U202" s="79" t="n">
        <f aca="false">IF(ISNA(VLOOKUP(B202,SplitVol,6,FALSE())),0,VLOOKUP(B202,SplitVol,6,FALSE()))</f>
        <v>0</v>
      </c>
      <c r="V202" s="84" t="n">
        <f aca="false">+U202*L202</f>
        <v>0</v>
      </c>
      <c r="W202" s="85" t="str">
        <f aca="false">IF(ISBLANK(VLOOKUP(B202,EffDate,4,FALSE())),"na",VLOOKUP(B202,EffDate,4,FALSE()))</f>
        <v>na</v>
      </c>
      <c r="X202" s="86" t="n">
        <f aca="false">+M202-S202-U202</f>
        <v>0</v>
      </c>
    </row>
    <row r="203" customFormat="false" ht="15" hidden="false" customHeight="true" outlineLevel="0" collapsed="false">
      <c r="A203" s="4" t="s">
        <v>5</v>
      </c>
      <c r="B203" s="77" t="s">
        <v>277</v>
      </c>
      <c r="C203" s="4" t="n">
        <v>3016301</v>
      </c>
      <c r="D203" s="105" t="s">
        <v>278</v>
      </c>
      <c r="E203" s="106" t="n">
        <v>37228</v>
      </c>
      <c r="F203" s="4"/>
      <c r="G203" s="4" t="n">
        <v>58860</v>
      </c>
      <c r="H203" s="4" t="s">
        <v>585</v>
      </c>
      <c r="I203" s="4" t="s">
        <v>586</v>
      </c>
      <c r="J203" s="79" t="str">
        <f aca="false">IF(ISNA(VLOOKUP(B203,cngdata,7,FALSE())),"na",VLOOKUP(B203,cngdata,7,FALSE()))</f>
        <v>GW</v>
      </c>
      <c r="K203" s="79" t="n">
        <f aca="false">IF(ISNA(VLOOKUP(B203,cngdata,13,FALSE())),"na",VLOOKUP(B203,cngdata,13,FALSE()))</f>
        <v>0</v>
      </c>
      <c r="L203" s="80" t="n">
        <f aca="false">+L2-0.05</f>
        <v>2.37</v>
      </c>
      <c r="M203" s="79" t="n">
        <f aca="false">IF(ISNA(VLOOKUP(B203,cngdata,14,FALSE())),0,VLOOKUP(B203,cngdata,14,FALSE()))</f>
        <v>2910</v>
      </c>
      <c r="O203" s="81" t="n">
        <v>0</v>
      </c>
      <c r="P203" s="82" t="n">
        <f aca="false">L203-O203</f>
        <v>2.37</v>
      </c>
      <c r="Q203" s="83" t="n">
        <f aca="false">M203*P203</f>
        <v>6896.7</v>
      </c>
      <c r="R203" s="74"/>
      <c r="S203" s="79" t="n">
        <f aca="false">IF(ISNA(VLOOKUP(B203,SplitVol,5,FALSE())),0,VLOOKUP(B203,SplitVol,5,FALSE()))</f>
        <v>342</v>
      </c>
      <c r="T203" s="84" t="n">
        <f aca="false">+S203*L203</f>
        <v>810.54</v>
      </c>
      <c r="U203" s="79" t="n">
        <f aca="false">IF(ISNA(VLOOKUP(B203,SplitVol,6,FALSE())),0,VLOOKUP(B203,SplitVol,6,FALSE()))-1</f>
        <v>2568</v>
      </c>
      <c r="V203" s="84" t="n">
        <f aca="false">+U203*L203</f>
        <v>6086.16</v>
      </c>
      <c r="W203" s="85" t="n">
        <f aca="false">IF(ISBLANK(VLOOKUP(B203,EffDate,4,FALSE())),"na",VLOOKUP(B203,EffDate,4,FALSE()))</f>
        <v>37228</v>
      </c>
      <c r="X203" s="86" t="n">
        <f aca="false">+M203-S203-U203</f>
        <v>0</v>
      </c>
    </row>
    <row r="204" customFormat="false" ht="15" hidden="false" customHeight="true" outlineLevel="0" collapsed="false">
      <c r="A204" s="4" t="s">
        <v>5</v>
      </c>
      <c r="B204" s="77" t="s">
        <v>279</v>
      </c>
      <c r="C204" s="4" t="n">
        <v>3153701</v>
      </c>
      <c r="D204" s="105" t="s">
        <v>278</v>
      </c>
      <c r="E204" s="106" t="n">
        <v>37228</v>
      </c>
      <c r="F204" s="4"/>
      <c r="G204" s="4" t="n">
        <v>58860</v>
      </c>
      <c r="H204" s="4" t="s">
        <v>585</v>
      </c>
      <c r="I204" s="4" t="s">
        <v>586</v>
      </c>
      <c r="J204" s="79" t="str">
        <f aca="false">IF(ISNA(VLOOKUP(B204,cngdata,7,FALSE())),"na",VLOOKUP(B204,cngdata,7,FALSE()))</f>
        <v>GW</v>
      </c>
      <c r="K204" s="79" t="n">
        <f aca="false">IF(ISNA(VLOOKUP(B204,cngdata,13,FALSE())),"na",VLOOKUP(B204,cngdata,13,FALSE()))</f>
        <v>1214</v>
      </c>
      <c r="L204" s="80" t="n">
        <f aca="false">+L2-0.05</f>
        <v>2.37</v>
      </c>
      <c r="M204" s="79" t="n">
        <f aca="false">IF(ISNA(VLOOKUP(B204,cngdata,14,FALSE())),0,VLOOKUP(B204,cngdata,14,FALSE()))</f>
        <v>1509</v>
      </c>
      <c r="O204" s="81" t="n">
        <v>0</v>
      </c>
      <c r="P204" s="82" t="n">
        <f aca="false">L204-O204</f>
        <v>2.37</v>
      </c>
      <c r="Q204" s="83" t="n">
        <f aca="false">M204*P204</f>
        <v>3576.33</v>
      </c>
      <c r="R204" s="74"/>
      <c r="S204" s="79" t="n">
        <f aca="false">IF(ISNA(VLOOKUP(B204,SplitVol,5,FALSE())),0,VLOOKUP(B204,SplitVol,5,FALSE()))</f>
        <v>255</v>
      </c>
      <c r="T204" s="84" t="n">
        <f aca="false">+S204*L204</f>
        <v>604.35</v>
      </c>
      <c r="U204" s="79" t="n">
        <f aca="false">IF(ISNA(VLOOKUP(B204,SplitVol,6,FALSE())),0,VLOOKUP(B204,SplitVol,6,FALSE()))</f>
        <v>1254</v>
      </c>
      <c r="V204" s="84" t="n">
        <f aca="false">+U204*L204</f>
        <v>2971.98</v>
      </c>
      <c r="W204" s="85" t="n">
        <f aca="false">IF(ISBLANK(VLOOKUP(B204,EffDate,4,FALSE())),"na",VLOOKUP(B204,EffDate,4,FALSE()))</f>
        <v>37228</v>
      </c>
      <c r="X204" s="86" t="n">
        <f aca="false">+M204-S204-U204</f>
        <v>0</v>
      </c>
    </row>
    <row r="205" customFormat="false" ht="15" hidden="false" customHeight="true" outlineLevel="0" collapsed="false">
      <c r="A205" s="4" t="s">
        <v>5</v>
      </c>
      <c r="B205" s="77" t="s">
        <v>280</v>
      </c>
      <c r="C205" s="4" t="n">
        <v>3316501</v>
      </c>
      <c r="D205" s="105" t="s">
        <v>278</v>
      </c>
      <c r="E205" s="106" t="n">
        <v>37228</v>
      </c>
      <c r="F205" s="4"/>
      <c r="G205" s="4" t="n">
        <v>58860</v>
      </c>
      <c r="H205" s="4" t="s">
        <v>585</v>
      </c>
      <c r="I205" s="4" t="s">
        <v>586</v>
      </c>
      <c r="J205" s="79" t="str">
        <f aca="false">IF(ISNA(VLOOKUP(B205,cngdata,7,FALSE())),"na",VLOOKUP(B205,cngdata,7,FALSE()))</f>
        <v>GW</v>
      </c>
      <c r="K205" s="79" t="n">
        <f aca="false">IF(ISNA(VLOOKUP(B205,cngdata,13,FALSE())),"na",VLOOKUP(B205,cngdata,13,FALSE()))</f>
        <v>534</v>
      </c>
      <c r="L205" s="80" t="n">
        <f aca="false">+L2-0.05</f>
        <v>2.37</v>
      </c>
      <c r="M205" s="79" t="n">
        <f aca="false">IF(ISNA(VLOOKUP(B205,cngdata,14,FALSE())),0,VLOOKUP(B205,cngdata,14,FALSE()))</f>
        <v>645</v>
      </c>
      <c r="O205" s="81" t="n">
        <v>0</v>
      </c>
      <c r="P205" s="82" t="n">
        <f aca="false">L205-O205</f>
        <v>2.37</v>
      </c>
      <c r="Q205" s="83" t="n">
        <f aca="false">M205*P205</f>
        <v>1528.65</v>
      </c>
      <c r="R205" s="74"/>
      <c r="S205" s="79" t="n">
        <f aca="false">IF(ISNA(VLOOKUP(B205,SplitVol,5,FALSE())),0,VLOOKUP(B205,SplitVol,5,FALSE()))</f>
        <v>64</v>
      </c>
      <c r="T205" s="84" t="n">
        <f aca="false">+S205*L205</f>
        <v>151.68</v>
      </c>
      <c r="U205" s="79" t="n">
        <f aca="false">IF(ISNA(VLOOKUP(B205,SplitVol,6,FALSE())),0,VLOOKUP(B205,SplitVol,6,FALSE()))</f>
        <v>581</v>
      </c>
      <c r="V205" s="84" t="n">
        <f aca="false">+U205*L205</f>
        <v>1376.97</v>
      </c>
      <c r="W205" s="85" t="n">
        <f aca="false">IF(ISBLANK(VLOOKUP(B205,EffDate,4,FALSE())),"na",VLOOKUP(B205,EffDate,4,FALSE()))</f>
        <v>37228</v>
      </c>
      <c r="X205" s="86" t="n">
        <f aca="false">+M205-S205-U205</f>
        <v>0</v>
      </c>
    </row>
    <row r="206" customFormat="false" ht="15" hidden="false" customHeight="true" outlineLevel="0" collapsed="false">
      <c r="A206" s="4" t="s">
        <v>5</v>
      </c>
      <c r="B206" s="77" t="s">
        <v>281</v>
      </c>
      <c r="C206" s="4" t="n">
        <v>3316601</v>
      </c>
      <c r="D206" s="105" t="s">
        <v>278</v>
      </c>
      <c r="E206" s="106" t="n">
        <v>37228</v>
      </c>
      <c r="F206" s="4"/>
      <c r="G206" s="4" t="n">
        <v>58860</v>
      </c>
      <c r="H206" s="4" t="s">
        <v>585</v>
      </c>
      <c r="I206" s="4" t="s">
        <v>586</v>
      </c>
      <c r="J206" s="79" t="str">
        <f aca="false">IF(ISNA(VLOOKUP(B206,cngdata,7,FALSE())),"na",VLOOKUP(B206,cngdata,7,FALSE()))</f>
        <v>GW</v>
      </c>
      <c r="K206" s="79" t="n">
        <f aca="false">IF(ISNA(VLOOKUP(B206,cngdata,13,FALSE())),"na",VLOOKUP(B206,cngdata,13,FALSE()))</f>
        <v>832</v>
      </c>
      <c r="L206" s="80" t="n">
        <f aca="false">+L2-0.05</f>
        <v>2.37</v>
      </c>
      <c r="M206" s="79" t="n">
        <f aca="false">IF(ISNA(VLOOKUP(B206,cngdata,14,FALSE())),0,VLOOKUP(B206,cngdata,14,FALSE()))</f>
        <v>1102</v>
      </c>
      <c r="O206" s="81" t="n">
        <v>0</v>
      </c>
      <c r="P206" s="82" t="n">
        <f aca="false">L206-O206</f>
        <v>2.37</v>
      </c>
      <c r="Q206" s="83" t="n">
        <f aca="false">M206*P206</f>
        <v>2611.74</v>
      </c>
      <c r="R206" s="74"/>
      <c r="S206" s="79" t="n">
        <f aca="false">IF(ISNA(VLOOKUP(B206,SplitVol,5,FALSE())),0,VLOOKUP(B206,SplitVol,5,FALSE()))</f>
        <v>158</v>
      </c>
      <c r="T206" s="84" t="n">
        <f aca="false">+S206*L206</f>
        <v>374.46</v>
      </c>
      <c r="U206" s="79" t="n">
        <f aca="false">IF(ISNA(VLOOKUP(B206,SplitVol,6,FALSE())),0,VLOOKUP(B206,SplitVol,6,FALSE()))</f>
        <v>944</v>
      </c>
      <c r="V206" s="84" t="n">
        <f aca="false">+U206*L206</f>
        <v>2237.28</v>
      </c>
      <c r="W206" s="85" t="n">
        <f aca="false">IF(ISBLANK(VLOOKUP(B206,EffDate,4,FALSE())),"na",VLOOKUP(B206,EffDate,4,FALSE()))</f>
        <v>37228</v>
      </c>
      <c r="X206" s="86" t="n">
        <f aca="false">+M206-S206-U206</f>
        <v>0</v>
      </c>
    </row>
    <row r="207" customFormat="false" ht="15" hidden="false" customHeight="true" outlineLevel="0" collapsed="false">
      <c r="A207" s="87" t="s">
        <v>8</v>
      </c>
      <c r="B207" s="87" t="s">
        <v>282</v>
      </c>
      <c r="C207" s="136" t="n">
        <v>3038601</v>
      </c>
      <c r="D207" s="4" t="s">
        <v>283</v>
      </c>
      <c r="E207" s="72" t="s">
        <v>517</v>
      </c>
      <c r="F207" s="87" t="s">
        <v>283</v>
      </c>
      <c r="G207" s="136" t="n">
        <v>212178</v>
      </c>
      <c r="H207" s="136"/>
      <c r="I207" s="136" t="s">
        <v>548</v>
      </c>
      <c r="J207" s="112" t="str">
        <f aca="false">IF(ISNA(VLOOKUP(B207,cngdata,7,FALSE())),"na",VLOOKUP(B207,cngdata,7,FALSE()))</f>
        <v>GW</v>
      </c>
      <c r="K207" s="112" t="n">
        <f aca="false">IF(ISNA(VLOOKUP(B207,cngdata,13,FALSE())),"na",VLOOKUP(B207,cngdata,13,FALSE()))</f>
        <v>7069</v>
      </c>
      <c r="L207" s="113" t="n">
        <f aca="false">$L$2+0.01</f>
        <v>2.43</v>
      </c>
      <c r="M207" s="112" t="n">
        <f aca="false">IF(ISNA(VLOOKUP(B207,cngdata,14,FALSE())),0,VLOOKUP(B207,cngdata,14,FALSE()))</f>
        <v>9634</v>
      </c>
      <c r="N207" s="114"/>
      <c r="O207" s="87" t="n">
        <v>0</v>
      </c>
      <c r="P207" s="115" t="n">
        <f aca="false">L207-O207</f>
        <v>2.43</v>
      </c>
      <c r="Q207" s="116" t="n">
        <f aca="false">M207*P207</f>
        <v>23410.62</v>
      </c>
      <c r="R207" s="74"/>
      <c r="S207" s="79" t="n">
        <f aca="false">IF(ISNA(VLOOKUP(B207,SplitVol,5,FALSE())),0,VLOOKUP(B207,SplitVol,5,FALSE()))</f>
        <v>942</v>
      </c>
      <c r="T207" s="84" t="n">
        <f aca="false">+S207*L207</f>
        <v>2289.06</v>
      </c>
      <c r="U207" s="79" t="n">
        <f aca="false">IF(ISNA(VLOOKUP(B207,SplitVol,6,FALSE())),0,VLOOKUP(B207,SplitVol,6,FALSE()))+1</f>
        <v>8692</v>
      </c>
      <c r="V207" s="84" t="n">
        <f aca="false">+U207*L207</f>
        <v>21121.56</v>
      </c>
      <c r="W207" s="85" t="str">
        <f aca="false">IF(ISBLANK(VLOOKUP(B207,EffDate,4,FALSE())),"na",VLOOKUP(B207,EffDate,4,FALSE()))</f>
        <v>na</v>
      </c>
      <c r="X207" s="86" t="n">
        <f aca="false">+M207-S207-U207</f>
        <v>0</v>
      </c>
      <c r="Y207" s="114" t="s">
        <v>587</v>
      </c>
      <c r="Z207" s="114"/>
      <c r="AA207" s="114"/>
      <c r="AB207" s="114"/>
    </row>
    <row r="208" customFormat="false" ht="15" hidden="false" customHeight="true" outlineLevel="0" collapsed="false">
      <c r="A208" s="4" t="s">
        <v>26</v>
      </c>
      <c r="B208" s="77" t="s">
        <v>284</v>
      </c>
      <c r="C208" s="4" t="s">
        <v>26</v>
      </c>
      <c r="D208" s="4" t="s">
        <v>285</v>
      </c>
      <c r="E208" s="72" t="s">
        <v>517</v>
      </c>
      <c r="F208" s="4"/>
      <c r="G208" s="78" t="n">
        <v>65929</v>
      </c>
      <c r="H208" s="78" t="s">
        <v>588</v>
      </c>
      <c r="I208" s="78" t="s">
        <v>589</v>
      </c>
      <c r="J208" s="79" t="str">
        <f aca="false">IF(ISNA(VLOOKUP(B208,cngdata,7,FALSE())),"na",VLOOKUP(B208,cngdata,7,FALSE()))</f>
        <v>na</v>
      </c>
      <c r="K208" s="79" t="str">
        <f aca="false">IF(ISNA(VLOOKUP(B208,cngdata,13,FALSE())),"na",VLOOKUP(B208,cngdata,13,FALSE()))</f>
        <v>na</v>
      </c>
      <c r="L208" s="80" t="n">
        <f aca="false">L$2*96%</f>
        <v>2.3232</v>
      </c>
      <c r="M208" s="79" t="n">
        <f aca="false">IF(ISNA(VLOOKUP(B208,cngdata,14,FALSE())),0,VLOOKUP(B208,cngdata,14,FALSE()))</f>
        <v>0</v>
      </c>
      <c r="O208" s="81" t="n">
        <v>0</v>
      </c>
      <c r="P208" s="82" t="n">
        <f aca="false">L208-O208</f>
        <v>2.3232</v>
      </c>
      <c r="Q208" s="83" t="n">
        <f aca="false">M208*P208</f>
        <v>0</v>
      </c>
      <c r="R208" s="74"/>
      <c r="S208" s="79" t="n">
        <f aca="false">IF(ISNA(VLOOKUP(B208,SplitVol,5,FALSE())),0,VLOOKUP(B208,SplitVol,5,FALSE()))</f>
        <v>0</v>
      </c>
      <c r="T208" s="84" t="n">
        <f aca="false">+S208*L208</f>
        <v>0</v>
      </c>
      <c r="U208" s="79" t="n">
        <f aca="false">IF(ISNA(VLOOKUP(B208,SplitVol,6,FALSE())),0,VLOOKUP(B208,SplitVol,6,FALSE()))</f>
        <v>0</v>
      </c>
      <c r="V208" s="84" t="n">
        <f aca="false">+U208*L208</f>
        <v>0</v>
      </c>
      <c r="W208" s="85" t="str">
        <f aca="false">IF(ISBLANK(VLOOKUP(B208,EffDate,4,FALSE())),"na",VLOOKUP(B208,EffDate,4,FALSE()))</f>
        <v>na</v>
      </c>
      <c r="X208" s="86" t="n">
        <f aca="false">+M208-S208-U208</f>
        <v>0</v>
      </c>
    </row>
    <row r="209" customFormat="false" ht="15" hidden="false" customHeight="true" outlineLevel="0" collapsed="false">
      <c r="A209" s="4" t="s">
        <v>26</v>
      </c>
      <c r="B209" s="77" t="s">
        <v>286</v>
      </c>
      <c r="C209" s="4" t="s">
        <v>26</v>
      </c>
      <c r="D209" s="4" t="s">
        <v>285</v>
      </c>
      <c r="E209" s="72" t="s">
        <v>517</v>
      </c>
      <c r="F209" s="4"/>
      <c r="G209" s="78" t="n">
        <v>65929</v>
      </c>
      <c r="H209" s="78" t="s">
        <v>588</v>
      </c>
      <c r="I209" s="78" t="s">
        <v>589</v>
      </c>
      <c r="J209" s="79" t="str">
        <f aca="false">IF(ISNA(VLOOKUP(B209,cngdata,7,FALSE())),"na",VLOOKUP(B209,cngdata,7,FALSE()))</f>
        <v>na</v>
      </c>
      <c r="K209" s="79" t="str">
        <f aca="false">IF(ISNA(VLOOKUP(B209,cngdata,13,FALSE())),"na",VLOOKUP(B209,cngdata,13,FALSE()))</f>
        <v>na</v>
      </c>
      <c r="L209" s="80" t="n">
        <f aca="false">L$2*96%</f>
        <v>2.3232</v>
      </c>
      <c r="M209" s="79" t="n">
        <f aca="false">IF(ISNA(VLOOKUP(B209,cngdata,14,FALSE())),0,VLOOKUP(B209,cngdata,14,FALSE()))</f>
        <v>0</v>
      </c>
      <c r="O209" s="81" t="n">
        <v>0</v>
      </c>
      <c r="P209" s="82" t="n">
        <f aca="false">L209-O209</f>
        <v>2.3232</v>
      </c>
      <c r="Q209" s="83" t="n">
        <f aca="false">M209*P209</f>
        <v>0</v>
      </c>
      <c r="R209" s="74"/>
      <c r="S209" s="79" t="n">
        <f aca="false">IF(ISNA(VLOOKUP(B209,SplitVol,5,FALSE())),0,VLOOKUP(B209,SplitVol,5,FALSE()))</f>
        <v>0</v>
      </c>
      <c r="T209" s="84" t="n">
        <f aca="false">+S209*L209</f>
        <v>0</v>
      </c>
      <c r="U209" s="79" t="n">
        <f aca="false">IF(ISNA(VLOOKUP(B209,SplitVol,6,FALSE())),0,VLOOKUP(B209,SplitVol,6,FALSE()))</f>
        <v>0</v>
      </c>
      <c r="V209" s="84" t="n">
        <f aca="false">+U209*L209</f>
        <v>0</v>
      </c>
      <c r="W209" s="85" t="str">
        <f aca="false">IF(ISBLANK(VLOOKUP(B209,EffDate,4,FALSE())),"na",VLOOKUP(B209,EffDate,4,FALSE()))</f>
        <v>na</v>
      </c>
      <c r="X209" s="86" t="n">
        <f aca="false">+M209-S209-U209</f>
        <v>0</v>
      </c>
    </row>
    <row r="210" customFormat="false" ht="15" hidden="false" customHeight="true" outlineLevel="0" collapsed="false">
      <c r="A210" s="4" t="s">
        <v>5</v>
      </c>
      <c r="B210" s="77" t="s">
        <v>287</v>
      </c>
      <c r="C210" s="4" t="n">
        <v>3564601</v>
      </c>
      <c r="D210" s="90" t="s">
        <v>288</v>
      </c>
      <c r="E210" s="91" t="n">
        <v>37257</v>
      </c>
      <c r="F210" s="4"/>
      <c r="G210" s="78" t="n">
        <v>66919</v>
      </c>
      <c r="H210" s="78" t="s">
        <v>590</v>
      </c>
      <c r="I210" s="78" t="s">
        <v>578</v>
      </c>
      <c r="J210" s="79" t="str">
        <f aca="false">IF(ISNA(VLOOKUP(B210,cngdata,7,FALSE())),"na",VLOOKUP(B210,cngdata,7,FALSE()))</f>
        <v>GW</v>
      </c>
      <c r="K210" s="79" t="n">
        <f aca="false">IF(ISNA(VLOOKUP(B210,cngdata,13,FALSE())),"na",VLOOKUP(B210,cngdata,13,FALSE()))</f>
        <v>9</v>
      </c>
      <c r="L210" s="80" t="n">
        <f aca="false">L$2*95%</f>
        <v>2.299</v>
      </c>
      <c r="M210" s="79" t="n">
        <f aca="false">IF(ISNA(VLOOKUP(B210,cngdata,14,FALSE())),0,VLOOKUP(B210,cngdata,14,FALSE()))</f>
        <v>15</v>
      </c>
      <c r="O210" s="81" t="n">
        <v>0</v>
      </c>
      <c r="P210" s="82" t="n">
        <f aca="false">L210-O210</f>
        <v>2.299</v>
      </c>
      <c r="Q210" s="83" t="n">
        <f aca="false">M210*P210</f>
        <v>34.485</v>
      </c>
      <c r="R210" s="74"/>
      <c r="S210" s="79" t="n">
        <f aca="false">IF(ISNA(VLOOKUP(B210,SplitVol,5,FALSE())),0,VLOOKUP(B210,SplitVol,5,FALSE()))</f>
        <v>3</v>
      </c>
      <c r="T210" s="84" t="n">
        <f aca="false">+S210*L210</f>
        <v>6.897</v>
      </c>
      <c r="U210" s="79" t="n">
        <f aca="false">IF(ISNA(VLOOKUP(B210,SplitVol,6,FALSE())),0,VLOOKUP(B210,SplitVol,6,FALSE()))+1</f>
        <v>12</v>
      </c>
      <c r="V210" s="84" t="n">
        <f aca="false">+U210*L210</f>
        <v>27.588</v>
      </c>
      <c r="W210" s="85" t="n">
        <f aca="false">IF(ISBLANK(VLOOKUP(B210,EffDate,4,FALSE())),"na",VLOOKUP(B210,EffDate,4,FALSE()))</f>
        <v>37257</v>
      </c>
      <c r="X210" s="86" t="n">
        <f aca="false">+M210-S210-U210</f>
        <v>0</v>
      </c>
    </row>
    <row r="211" customFormat="false" ht="15" hidden="false" customHeight="true" outlineLevel="0" collapsed="false">
      <c r="A211" s="4" t="s">
        <v>5</v>
      </c>
      <c r="B211" s="77" t="s">
        <v>289</v>
      </c>
      <c r="C211" s="4" t="n">
        <v>4180601</v>
      </c>
      <c r="D211" s="4" t="s">
        <v>290</v>
      </c>
      <c r="E211" s="72" t="s">
        <v>517</v>
      </c>
      <c r="F211" s="4"/>
      <c r="G211" s="78" t="n">
        <v>67002</v>
      </c>
      <c r="H211" s="78" t="s">
        <v>591</v>
      </c>
      <c r="I211" s="78" t="s">
        <v>592</v>
      </c>
      <c r="J211" s="79" t="str">
        <f aca="false">IF(ISNA(VLOOKUP(B211,cngdata,7,FALSE())),"na",VLOOKUP(B211,cngdata,7,FALSE()))</f>
        <v>GW</v>
      </c>
      <c r="K211" s="79" t="n">
        <f aca="false">IF(ISNA(VLOOKUP(B211,cngdata,13,FALSE())),"na",VLOOKUP(B211,cngdata,13,FALSE()))</f>
        <v>7</v>
      </c>
      <c r="L211" s="80" t="n">
        <f aca="false">L$2*95%</f>
        <v>2.299</v>
      </c>
      <c r="M211" s="79" t="n">
        <f aca="false">IF(ISNA(VLOOKUP(B211,cngdata,14,FALSE())),0,VLOOKUP(B211,cngdata,14,FALSE()))</f>
        <v>10</v>
      </c>
      <c r="O211" s="81" t="n">
        <v>0</v>
      </c>
      <c r="P211" s="82" t="n">
        <f aca="false">L211-O211</f>
        <v>2.299</v>
      </c>
      <c r="Q211" s="83" t="n">
        <f aca="false">M211*P211</f>
        <v>22.99</v>
      </c>
      <c r="R211" s="74"/>
      <c r="S211" s="79" t="n">
        <f aca="false">IF(ISNA(VLOOKUP(B211,SplitVol,5,FALSE())),0,VLOOKUP(B211,SplitVol,5,FALSE()))</f>
        <v>10</v>
      </c>
      <c r="T211" s="84" t="n">
        <f aca="false">+S211*L211</f>
        <v>22.99</v>
      </c>
      <c r="U211" s="79" t="n">
        <f aca="false">IF(ISNA(VLOOKUP(B211,SplitVol,6,FALSE())),0,VLOOKUP(B211,SplitVol,6,FALSE()))</f>
        <v>0</v>
      </c>
      <c r="V211" s="84" t="n">
        <f aca="false">+U211*L211</f>
        <v>0</v>
      </c>
      <c r="W211" s="85" t="str">
        <f aca="false">IF(ISBLANK(VLOOKUP(B211,EffDate,4,FALSE())),"na",VLOOKUP(B211,EffDate,4,FALSE()))</f>
        <v>na</v>
      </c>
      <c r="X211" s="86" t="n">
        <f aca="false">+M211-S211-U211</f>
        <v>0</v>
      </c>
    </row>
    <row r="212" customFormat="false" ht="15" hidden="false" customHeight="true" outlineLevel="0" collapsed="false">
      <c r="A212" s="4" t="s">
        <v>5</v>
      </c>
      <c r="B212" s="77" t="s">
        <v>291</v>
      </c>
      <c r="C212" s="4" t="n">
        <v>4188401</v>
      </c>
      <c r="D212" s="4" t="s">
        <v>290</v>
      </c>
      <c r="E212" s="72" t="s">
        <v>517</v>
      </c>
      <c r="F212" s="4"/>
      <c r="G212" s="78" t="n">
        <v>67002</v>
      </c>
      <c r="H212" s="78" t="s">
        <v>591</v>
      </c>
      <c r="I212" s="78" t="s">
        <v>592</v>
      </c>
      <c r="J212" s="79" t="str">
        <f aca="false">IF(ISNA(VLOOKUP(B212,cngdata,7,FALSE())),"na",VLOOKUP(B212,cngdata,7,FALSE()))</f>
        <v>GW</v>
      </c>
      <c r="K212" s="79" t="n">
        <f aca="false">IF(ISNA(VLOOKUP(B212,cngdata,13,FALSE())),"na",VLOOKUP(B212,cngdata,13,FALSE()))</f>
        <v>14</v>
      </c>
      <c r="L212" s="80" t="n">
        <f aca="false">L$2*95%</f>
        <v>2.299</v>
      </c>
      <c r="M212" s="79" t="n">
        <f aca="false">IF(ISNA(VLOOKUP(B212,cngdata,14,FALSE())),0,VLOOKUP(B212,cngdata,14,FALSE()))</f>
        <v>17</v>
      </c>
      <c r="O212" s="81" t="n">
        <v>0</v>
      </c>
      <c r="P212" s="82" t="n">
        <f aca="false">L212-O212</f>
        <v>2.299</v>
      </c>
      <c r="Q212" s="83" t="n">
        <f aca="false">M212*P212</f>
        <v>39.083</v>
      </c>
      <c r="R212" s="74"/>
      <c r="S212" s="79" t="n">
        <f aca="false">IF(ISNA(VLOOKUP(B212,SplitVol,5,FALSE())),0,VLOOKUP(B212,SplitVol,5,FALSE()))</f>
        <v>19</v>
      </c>
      <c r="T212" s="84" t="n">
        <f aca="false">+S212*L212</f>
        <v>43.681</v>
      </c>
      <c r="U212" s="79" t="n">
        <f aca="false">IF(ISNA(VLOOKUP(B212,SplitVol,6,FALSE())),0,VLOOKUP(B212,SplitVol,6,FALSE()))</f>
        <v>-2</v>
      </c>
      <c r="V212" s="84" t="n">
        <f aca="false">+U212*L212</f>
        <v>-4.598</v>
      </c>
      <c r="W212" s="85" t="str">
        <f aca="false">IF(ISBLANK(VLOOKUP(B212,EffDate,4,FALSE())),"na",VLOOKUP(B212,EffDate,4,FALSE()))</f>
        <v>na</v>
      </c>
      <c r="X212" s="86" t="n">
        <f aca="false">+M212-S212-U212</f>
        <v>0</v>
      </c>
    </row>
    <row r="213" customFormat="false" ht="15" hidden="false" customHeight="true" outlineLevel="0" collapsed="false">
      <c r="A213" s="102" t="s">
        <v>104</v>
      </c>
      <c r="B213" s="102" t="s">
        <v>302</v>
      </c>
      <c r="C213" s="102" t="n">
        <v>3582101</v>
      </c>
      <c r="D213" s="105" t="s">
        <v>293</v>
      </c>
      <c r="E213" s="106" t="n">
        <v>37228</v>
      </c>
      <c r="F213" s="102"/>
      <c r="G213" s="102" t="n">
        <v>67002</v>
      </c>
      <c r="H213" s="102" t="s">
        <v>591</v>
      </c>
      <c r="I213" s="102" t="s">
        <v>593</v>
      </c>
      <c r="J213" s="103" t="str">
        <f aca="false">IF(ISNA(VLOOKUP(B213,cngdata,7,FALSE())),"na",VLOOKUP(B213,cngdata,7,FALSE()))</f>
        <v>TW</v>
      </c>
      <c r="K213" s="103" t="n">
        <f aca="false">IF(ISNA(VLOOKUP(B213,cngdata,13,FALSE())),"na",VLOOKUP(B213,cngdata,13,FALSE()))</f>
        <v>2</v>
      </c>
      <c r="L213" s="108" t="n">
        <f aca="false">+CNGPricing!$H$125</f>
        <v>2.3958</v>
      </c>
      <c r="M213" s="103" t="n">
        <f aca="false">IF(ISNA(VLOOKUP(B213,cngdata,14,FALSE())),0,VLOOKUP(B213,cngdata,14,FALSE()))</f>
        <v>2</v>
      </c>
      <c r="O213" s="81" t="n">
        <v>0</v>
      </c>
      <c r="P213" s="137" t="n">
        <f aca="false">L213-O213</f>
        <v>2.3958</v>
      </c>
      <c r="Q213" s="138" t="n">
        <f aca="false">M213*P213</f>
        <v>4.7916</v>
      </c>
      <c r="R213" s="74"/>
      <c r="S213" s="79" t="n">
        <f aca="false">IF(ISNA(VLOOKUP(B213,SplitVol,5,FALSE())),0,VLOOKUP(B213,SplitVol,5,FALSE()))</f>
        <v>0</v>
      </c>
      <c r="T213" s="84" t="n">
        <f aca="false">+S213*L213</f>
        <v>0</v>
      </c>
      <c r="U213" s="79" t="n">
        <f aca="false">IF(ISNA(VLOOKUP(B213,SplitVol,6,FALSE())),0,VLOOKUP(B213,SplitVol,6,FALSE()))</f>
        <v>2</v>
      </c>
      <c r="V213" s="84" t="n">
        <f aca="false">+U213*L213</f>
        <v>4.7916</v>
      </c>
      <c r="W213" s="85" t="n">
        <f aca="false">IF(ISBLANK(VLOOKUP(B213,EffDate,4,FALSE())),"na",VLOOKUP(B213,EffDate,4,FALSE()))</f>
        <v>37228</v>
      </c>
      <c r="X213" s="86" t="n">
        <f aca="false">+M213-S213-U213</f>
        <v>0</v>
      </c>
    </row>
    <row r="214" customFormat="false" ht="15" hidden="false" customHeight="true" outlineLevel="0" collapsed="false">
      <c r="A214" s="102" t="s">
        <v>5</v>
      </c>
      <c r="B214" s="134" t="s">
        <v>300</v>
      </c>
      <c r="C214" s="134" t="n">
        <v>3571701</v>
      </c>
      <c r="D214" s="105" t="s">
        <v>293</v>
      </c>
      <c r="E214" s="106" t="n">
        <v>37228</v>
      </c>
      <c r="F214" s="102"/>
      <c r="G214" s="102" t="n">
        <v>67032</v>
      </c>
      <c r="H214" s="102" t="s">
        <v>594</v>
      </c>
      <c r="I214" s="102" t="s">
        <v>593</v>
      </c>
      <c r="J214" s="103" t="str">
        <f aca="false">IF(ISNA(VLOOKUP(B214,cngdata,7,FALSE())),"na",VLOOKUP(B214,cngdata,7,FALSE()))</f>
        <v>GW</v>
      </c>
      <c r="K214" s="103" t="n">
        <f aca="false">IF(ISNA(VLOOKUP(B214,cngdata,13,FALSE())),"na",VLOOKUP(B214,cngdata,13,FALSE()))</f>
        <v>7</v>
      </c>
      <c r="L214" s="108" t="n">
        <f aca="false">+CNGPricing!$H$125</f>
        <v>2.3958</v>
      </c>
      <c r="M214" s="103" t="n">
        <f aca="false">IF(ISNA(VLOOKUP(B214,cngdata,14,FALSE())),0,VLOOKUP(B214,cngdata,14,FALSE()))</f>
        <v>10</v>
      </c>
      <c r="O214" s="81" t="n">
        <v>0</v>
      </c>
      <c r="P214" s="137" t="n">
        <f aca="false">L214-O214</f>
        <v>2.3958</v>
      </c>
      <c r="Q214" s="138" t="n">
        <f aca="false">M214*P214</f>
        <v>23.958</v>
      </c>
      <c r="R214" s="74"/>
      <c r="S214" s="79" t="n">
        <f aca="false">IF(ISNA(VLOOKUP(B214,SplitVol,5,FALSE())),0,VLOOKUP(B214,SplitVol,5,FALSE()))</f>
        <v>10</v>
      </c>
      <c r="T214" s="84" t="n">
        <f aca="false">+S214*L214</f>
        <v>23.958</v>
      </c>
      <c r="U214" s="79" t="n">
        <f aca="false">IF(ISNA(VLOOKUP(B214,SplitVol,6,FALSE())),0,VLOOKUP(B214,SplitVol,6,FALSE()))</f>
        <v>0</v>
      </c>
      <c r="V214" s="84" t="n">
        <f aca="false">+U214*L214</f>
        <v>0</v>
      </c>
      <c r="W214" s="85" t="n">
        <f aca="false">IF(ISBLANK(VLOOKUP(B214,EffDate,4,FALSE())),"na",VLOOKUP(B214,EffDate,4,FALSE()))</f>
        <v>37228</v>
      </c>
      <c r="X214" s="86" t="n">
        <f aca="false">+M214-S214-U214</f>
        <v>0</v>
      </c>
    </row>
    <row r="215" customFormat="false" ht="15" hidden="false" customHeight="true" outlineLevel="0" collapsed="false">
      <c r="A215" s="102" t="s">
        <v>5</v>
      </c>
      <c r="B215" s="129" t="s">
        <v>298</v>
      </c>
      <c r="C215" s="102" t="n">
        <v>3509101</v>
      </c>
      <c r="D215" s="105" t="s">
        <v>293</v>
      </c>
      <c r="E215" s="106" t="n">
        <v>37228</v>
      </c>
      <c r="F215" s="102"/>
      <c r="G215" s="102" t="n">
        <v>67032</v>
      </c>
      <c r="H215" s="102" t="s">
        <v>594</v>
      </c>
      <c r="I215" s="102" t="s">
        <v>593</v>
      </c>
      <c r="J215" s="103" t="str">
        <f aca="false">IF(ISNA(VLOOKUP(B215,cngdata,7,FALSE())),"na",VLOOKUP(B215,cngdata,7,FALSE()))</f>
        <v>GW</v>
      </c>
      <c r="K215" s="103" t="n">
        <f aca="false">IF(ISNA(VLOOKUP(B215,cngdata,13,FALSE())),"na",VLOOKUP(B215,cngdata,13,FALSE()))</f>
        <v>39</v>
      </c>
      <c r="L215" s="108" t="n">
        <f aca="false">+CNGPricing!$H$125</f>
        <v>2.3958</v>
      </c>
      <c r="M215" s="103" t="n">
        <f aca="false">IF(ISNA(VLOOKUP(B215,cngdata,14,FALSE())),0,VLOOKUP(B215,cngdata,14,FALSE()))</f>
        <v>48</v>
      </c>
      <c r="O215" s="81" t="n">
        <v>0</v>
      </c>
      <c r="P215" s="137" t="n">
        <f aca="false">L215-O215</f>
        <v>2.3958</v>
      </c>
      <c r="Q215" s="138" t="n">
        <f aca="false">M215*P215</f>
        <v>114.9984</v>
      </c>
      <c r="R215" s="74"/>
      <c r="S215" s="79" t="n">
        <f aca="false">IF(ISNA(VLOOKUP(B215,SplitVol,5,FALSE())),0,VLOOKUP(B215,SplitVol,5,FALSE()))</f>
        <v>19</v>
      </c>
      <c r="T215" s="84" t="n">
        <f aca="false">+S215*L215</f>
        <v>45.5202</v>
      </c>
      <c r="U215" s="79" t="n">
        <f aca="false">IF(ISNA(VLOOKUP(B215,SplitVol,6,FALSE())),0,VLOOKUP(B215,SplitVol,6,FALSE()))</f>
        <v>29</v>
      </c>
      <c r="V215" s="84" t="n">
        <f aca="false">+U215*L215</f>
        <v>69.4782</v>
      </c>
      <c r="W215" s="85" t="n">
        <f aca="false">IF(ISBLANK(VLOOKUP(B215,EffDate,4,FALSE())),"na",VLOOKUP(B215,EffDate,4,FALSE()))</f>
        <v>37228</v>
      </c>
      <c r="X215" s="86" t="n">
        <f aca="false">+M215-S215-U215</f>
        <v>0</v>
      </c>
    </row>
    <row r="216" customFormat="false" ht="15" hidden="false" customHeight="true" outlineLevel="0" collapsed="false">
      <c r="A216" s="102" t="s">
        <v>5</v>
      </c>
      <c r="B216" s="129" t="s">
        <v>297</v>
      </c>
      <c r="C216" s="102" t="n">
        <v>3506201</v>
      </c>
      <c r="D216" s="105" t="s">
        <v>293</v>
      </c>
      <c r="E216" s="106" t="n">
        <v>37228</v>
      </c>
      <c r="F216" s="102"/>
      <c r="G216" s="102" t="n">
        <v>67032</v>
      </c>
      <c r="H216" s="102" t="s">
        <v>594</v>
      </c>
      <c r="I216" s="102" t="s">
        <v>593</v>
      </c>
      <c r="J216" s="103" t="str">
        <f aca="false">IF(ISNA(VLOOKUP(B216,cngdata,7,FALSE())),"na",VLOOKUP(B216,cngdata,7,FALSE()))</f>
        <v>GW</v>
      </c>
      <c r="K216" s="103" t="n">
        <f aca="false">IF(ISNA(VLOOKUP(B216,cngdata,13,FALSE())),"na",VLOOKUP(B216,cngdata,13,FALSE()))</f>
        <v>36</v>
      </c>
      <c r="L216" s="108" t="n">
        <f aca="false">+CNGPricing!$H$125</f>
        <v>2.3958</v>
      </c>
      <c r="M216" s="103" t="n">
        <f aca="false">IF(ISNA(VLOOKUP(B216,cngdata,14,FALSE())),0,VLOOKUP(B216,cngdata,14,FALSE()))</f>
        <v>43</v>
      </c>
      <c r="O216" s="81" t="n">
        <v>0</v>
      </c>
      <c r="P216" s="137" t="n">
        <f aca="false">L216-O216</f>
        <v>2.3958</v>
      </c>
      <c r="Q216" s="138" t="n">
        <f aca="false">M216*P216</f>
        <v>103.0194</v>
      </c>
      <c r="R216" s="74"/>
      <c r="S216" s="79" t="n">
        <f aca="false">IF(ISNA(VLOOKUP(B216,SplitVol,5,FALSE())),0,VLOOKUP(B216,SplitVol,5,FALSE()))</f>
        <v>17</v>
      </c>
      <c r="T216" s="84" t="n">
        <f aca="false">+S216*L216</f>
        <v>40.7286</v>
      </c>
      <c r="U216" s="79" t="n">
        <f aca="false">IF(ISNA(VLOOKUP(B216,SplitVol,6,FALSE())),0,VLOOKUP(B216,SplitVol,6,FALSE()))</f>
        <v>26</v>
      </c>
      <c r="V216" s="84" t="n">
        <f aca="false">+U216*L216</f>
        <v>62.2908</v>
      </c>
      <c r="W216" s="85" t="n">
        <f aca="false">IF(ISBLANK(VLOOKUP(B216,EffDate,4,FALSE())),"na",VLOOKUP(B216,EffDate,4,FALSE()))</f>
        <v>37228</v>
      </c>
      <c r="X216" s="86" t="n">
        <f aca="false">+M216-S216-U216</f>
        <v>0</v>
      </c>
    </row>
    <row r="217" customFormat="false" ht="15" hidden="false" customHeight="true" outlineLevel="0" collapsed="false">
      <c r="A217" s="102" t="s">
        <v>5</v>
      </c>
      <c r="B217" s="129" t="s">
        <v>296</v>
      </c>
      <c r="C217" s="102" t="n">
        <v>3475001</v>
      </c>
      <c r="D217" s="105" t="s">
        <v>293</v>
      </c>
      <c r="E217" s="106" t="n">
        <v>37228</v>
      </c>
      <c r="F217" s="102"/>
      <c r="G217" s="102" t="n">
        <v>67032</v>
      </c>
      <c r="H217" s="102" t="s">
        <v>594</v>
      </c>
      <c r="I217" s="102" t="s">
        <v>593</v>
      </c>
      <c r="J217" s="103" t="str">
        <f aca="false">IF(ISNA(VLOOKUP(B217,cngdata,7,FALSE())),"na",VLOOKUP(B217,cngdata,7,FALSE()))</f>
        <v>GW</v>
      </c>
      <c r="K217" s="103" t="n">
        <f aca="false">IF(ISNA(VLOOKUP(B217,cngdata,13,FALSE())),"na",VLOOKUP(B217,cngdata,13,FALSE()))</f>
        <v>91</v>
      </c>
      <c r="L217" s="108" t="n">
        <f aca="false">+CNGPricing!$H$125</f>
        <v>2.3958</v>
      </c>
      <c r="M217" s="103" t="n">
        <f aca="false">IF(ISNA(VLOOKUP(B217,cngdata,14,FALSE())),0,VLOOKUP(B217,cngdata,14,FALSE()))</f>
        <v>120</v>
      </c>
      <c r="O217" s="81" t="n">
        <v>0</v>
      </c>
      <c r="P217" s="137" t="n">
        <f aca="false">L217-O217</f>
        <v>2.3958</v>
      </c>
      <c r="Q217" s="138" t="n">
        <f aca="false">M217*P217</f>
        <v>287.496</v>
      </c>
      <c r="R217" s="74"/>
      <c r="S217" s="79" t="n">
        <f aca="false">IF(ISNA(VLOOKUP(B217,SplitVol,5,FALSE())),0,VLOOKUP(B217,SplitVol,5,FALSE()))</f>
        <v>12</v>
      </c>
      <c r="T217" s="84" t="n">
        <f aca="false">+S217*L217</f>
        <v>28.7496</v>
      </c>
      <c r="U217" s="79" t="n">
        <f aca="false">IF(ISNA(VLOOKUP(B217,SplitVol,6,FALSE())),0,VLOOKUP(B217,SplitVol,6,FALSE()))</f>
        <v>108</v>
      </c>
      <c r="V217" s="84" t="n">
        <f aca="false">+U217*L217</f>
        <v>258.7464</v>
      </c>
      <c r="W217" s="85" t="n">
        <f aca="false">IF(ISBLANK(VLOOKUP(B217,EffDate,4,FALSE())),"na",VLOOKUP(B217,EffDate,4,FALSE()))</f>
        <v>37228</v>
      </c>
      <c r="X217" s="86" t="n">
        <f aca="false">+M217-S217-U217</f>
        <v>0</v>
      </c>
    </row>
    <row r="218" customFormat="false" ht="15" hidden="false" customHeight="true" outlineLevel="0" collapsed="false">
      <c r="A218" s="102" t="s">
        <v>5</v>
      </c>
      <c r="B218" s="129" t="s">
        <v>299</v>
      </c>
      <c r="C218" s="102" t="n">
        <v>3549301</v>
      </c>
      <c r="D218" s="105" t="s">
        <v>595</v>
      </c>
      <c r="E218" s="106" t="n">
        <v>37228</v>
      </c>
      <c r="F218" s="102"/>
      <c r="G218" s="102" t="n">
        <v>67032</v>
      </c>
      <c r="H218" s="102" t="s">
        <v>594</v>
      </c>
      <c r="I218" s="102" t="s">
        <v>593</v>
      </c>
      <c r="J218" s="103" t="str">
        <f aca="false">IF(ISNA(VLOOKUP(B218,cngdata,7,FALSE())),"na",VLOOKUP(B218,cngdata,7,FALSE()))</f>
        <v>GW</v>
      </c>
      <c r="K218" s="103" t="n">
        <f aca="false">IF(ISNA(VLOOKUP(B218,cngdata,13,FALSE())),"na",VLOOKUP(B218,cngdata,13,FALSE()))</f>
        <v>59</v>
      </c>
      <c r="L218" s="108" t="n">
        <f aca="false">+CNGPricing!$H$125</f>
        <v>2.3958</v>
      </c>
      <c r="M218" s="103" t="n">
        <f aca="false">IF(ISNA(VLOOKUP(B218,cngdata,14,FALSE())),0,VLOOKUP(B218,cngdata,14,FALSE()))</f>
        <v>76</v>
      </c>
      <c r="O218" s="81" t="n">
        <v>0</v>
      </c>
      <c r="P218" s="137" t="n">
        <f aca="false">L218-O218</f>
        <v>2.3958</v>
      </c>
      <c r="Q218" s="138" t="n">
        <f aca="false">M218*P218</f>
        <v>182.0808</v>
      </c>
      <c r="R218" s="74"/>
      <c r="S218" s="79" t="n">
        <f aca="false">IF(ISNA(VLOOKUP(B218,SplitVol,5,FALSE())),0,VLOOKUP(B218,SplitVol,5,FALSE()))</f>
        <v>38</v>
      </c>
      <c r="T218" s="84" t="n">
        <f aca="false">+S218*L218</f>
        <v>91.0404</v>
      </c>
      <c r="U218" s="79" t="n">
        <f aca="false">IF(ISNA(VLOOKUP(B218,SplitVol,6,FALSE())),0,VLOOKUP(B218,SplitVol,6,FALSE()))</f>
        <v>38</v>
      </c>
      <c r="V218" s="84" t="n">
        <f aca="false">+U218*L218</f>
        <v>91.0404</v>
      </c>
      <c r="W218" s="85" t="n">
        <f aca="false">IF(ISBLANK(VLOOKUP(B218,EffDate,4,FALSE())),"na",VLOOKUP(B218,EffDate,4,FALSE()))</f>
        <v>37228</v>
      </c>
      <c r="X218" s="86" t="n">
        <f aca="false">+M218-S218-U218</f>
        <v>0</v>
      </c>
    </row>
    <row r="219" customFormat="false" ht="15" hidden="false" customHeight="true" outlineLevel="0" collapsed="false">
      <c r="A219" s="102" t="s">
        <v>26</v>
      </c>
      <c r="B219" s="129" t="s">
        <v>301</v>
      </c>
      <c r="C219" s="102" t="s">
        <v>26</v>
      </c>
      <c r="D219" s="105" t="s">
        <v>595</v>
      </c>
      <c r="E219" s="106" t="n">
        <v>37228</v>
      </c>
      <c r="F219" s="102"/>
      <c r="G219" s="102" t="n">
        <v>67032</v>
      </c>
      <c r="H219" s="102" t="s">
        <v>594</v>
      </c>
      <c r="I219" s="102" t="s">
        <v>593</v>
      </c>
      <c r="J219" s="103" t="str">
        <f aca="false">IF(ISNA(VLOOKUP(B219,cngdata,7,FALSE())),"na",VLOOKUP(B219,cngdata,7,FALSE()))</f>
        <v>na</v>
      </c>
      <c r="K219" s="103" t="str">
        <f aca="false">IF(ISNA(VLOOKUP(B219,cngdata,13,FALSE())),"na",VLOOKUP(B219,cngdata,13,FALSE()))</f>
        <v>na</v>
      </c>
      <c r="L219" s="108" t="n">
        <f aca="false">+CNGPricing!$H$125</f>
        <v>2.3958</v>
      </c>
      <c r="M219" s="103" t="n">
        <f aca="false">IF(ISNA(VLOOKUP(B219,cngdata,14,FALSE())),0,VLOOKUP(B219,cngdata,14,FALSE()))</f>
        <v>0</v>
      </c>
      <c r="O219" s="81" t="n">
        <v>0</v>
      </c>
      <c r="P219" s="137" t="n">
        <f aca="false">L219-O219</f>
        <v>2.3958</v>
      </c>
      <c r="Q219" s="138" t="n">
        <f aca="false">M219*P219</f>
        <v>0</v>
      </c>
      <c r="R219" s="74"/>
      <c r="S219" s="79" t="n">
        <f aca="false">IF(ISNA(VLOOKUP(B219,SplitVol,5,FALSE())),0,VLOOKUP(B219,SplitVol,5,FALSE()))</f>
        <v>0</v>
      </c>
      <c r="T219" s="84" t="n">
        <f aca="false">+S219*L219</f>
        <v>0</v>
      </c>
      <c r="U219" s="79" t="n">
        <f aca="false">IF(ISNA(VLOOKUP(B219,SplitVol,6,FALSE())),0,VLOOKUP(B219,SplitVol,6,FALSE()))</f>
        <v>0</v>
      </c>
      <c r="V219" s="84" t="n">
        <f aca="false">+U219*L219</f>
        <v>0</v>
      </c>
      <c r="W219" s="85" t="n">
        <f aca="false">IF(ISBLANK(VLOOKUP(B219,EffDate,4,FALSE())),"na",VLOOKUP(B219,EffDate,4,FALSE()))</f>
        <v>37228</v>
      </c>
      <c r="X219" s="86" t="n">
        <f aca="false">+M219-S219-U219</f>
        <v>0</v>
      </c>
    </row>
    <row r="220" customFormat="false" ht="15" hidden="false" customHeight="true" outlineLevel="0" collapsed="false">
      <c r="A220" s="102" t="s">
        <v>5</v>
      </c>
      <c r="B220" s="102" t="s">
        <v>295</v>
      </c>
      <c r="C220" s="102" t="n">
        <v>3426101</v>
      </c>
      <c r="D220" s="105" t="s">
        <v>595</v>
      </c>
      <c r="E220" s="106" t="n">
        <v>37228</v>
      </c>
      <c r="F220" s="102"/>
      <c r="G220" s="102" t="n">
        <v>67032</v>
      </c>
      <c r="H220" s="129"/>
      <c r="I220" s="102" t="s">
        <v>593</v>
      </c>
      <c r="J220" s="103" t="str">
        <f aca="false">IF(ISNA(VLOOKUP(B220,cngdata,7,FALSE())),"na",VLOOKUP(B220,cngdata,7,FALSE()))</f>
        <v>GW</v>
      </c>
      <c r="K220" s="103" t="n">
        <f aca="false">IF(ISNA(VLOOKUP(B220,cngdata,13,FALSE())),"na",VLOOKUP(B220,cngdata,13,FALSE()))</f>
        <v>142</v>
      </c>
      <c r="L220" s="108" t="n">
        <f aca="false">+CNGPricing!$H$125</f>
        <v>2.3958</v>
      </c>
      <c r="M220" s="103" t="n">
        <f aca="false">IF(ISNA(VLOOKUP(B220,cngdata,14,FALSE())),0,VLOOKUP(B220,cngdata,14,FALSE()))</f>
        <v>176</v>
      </c>
      <c r="O220" s="81" t="n">
        <v>0</v>
      </c>
      <c r="P220" s="139" t="n">
        <f aca="false">L220-O220</f>
        <v>2.3958</v>
      </c>
      <c r="Q220" s="140" t="n">
        <f aca="false">M220*P220</f>
        <v>421.6608</v>
      </c>
      <c r="R220" s="98"/>
      <c r="S220" s="79" t="n">
        <f aca="false">IF(ISNA(VLOOKUP(B220,SplitVol,5,FALSE())),0,VLOOKUP(B220,SplitVol,5,FALSE()))</f>
        <v>45</v>
      </c>
      <c r="T220" s="84" t="n">
        <f aca="false">+S220*L220</f>
        <v>107.811</v>
      </c>
      <c r="U220" s="79" t="n">
        <f aca="false">IF(ISNA(VLOOKUP(B220,SplitVol,6,FALSE())),0,VLOOKUP(B220,SplitVol,6,FALSE()))</f>
        <v>131</v>
      </c>
      <c r="V220" s="84" t="n">
        <f aca="false">+U220*L220</f>
        <v>313.8498</v>
      </c>
      <c r="W220" s="85" t="n">
        <f aca="false">IF(ISBLANK(VLOOKUP(B220,EffDate,4,FALSE())),"na",VLOOKUP(B220,EffDate,4,FALSE()))</f>
        <v>37228</v>
      </c>
      <c r="X220" s="86" t="n">
        <f aca="false">+M220-S220-U220</f>
        <v>0</v>
      </c>
    </row>
    <row r="221" customFormat="false" ht="15" hidden="false" customHeight="true" outlineLevel="0" collapsed="false">
      <c r="A221" s="102" t="s">
        <v>104</v>
      </c>
      <c r="B221" s="129" t="s">
        <v>292</v>
      </c>
      <c r="C221" s="102" t="n">
        <v>3405001</v>
      </c>
      <c r="D221" s="105" t="s">
        <v>595</v>
      </c>
      <c r="E221" s="106" t="n">
        <v>37228</v>
      </c>
      <c r="F221" s="102"/>
      <c r="G221" s="102" t="n">
        <v>67032</v>
      </c>
      <c r="H221" s="102" t="s">
        <v>594</v>
      </c>
      <c r="I221" s="102" t="s">
        <v>593</v>
      </c>
      <c r="J221" s="103" t="str">
        <f aca="false">IF(ISNA(VLOOKUP(B221,cngdata,7,FALSE())),"na",VLOOKUP(B221,cngdata,7,FALSE()))</f>
        <v>TW</v>
      </c>
      <c r="K221" s="103" t="n">
        <f aca="false">IF(ISNA(VLOOKUP(B221,cngdata,13,FALSE())),"na",VLOOKUP(B221,cngdata,13,FALSE()))</f>
        <v>4</v>
      </c>
      <c r="L221" s="108" t="n">
        <f aca="false">+CNGPricing!$H$125</f>
        <v>2.3958</v>
      </c>
      <c r="M221" s="103" t="n">
        <f aca="false">IF(ISNA(VLOOKUP(B221,cngdata,14,FALSE())),0,VLOOKUP(B221,cngdata,14,FALSE()))</f>
        <v>6</v>
      </c>
      <c r="O221" s="81" t="n">
        <v>0</v>
      </c>
      <c r="P221" s="137" t="n">
        <f aca="false">L221-O221</f>
        <v>2.3958</v>
      </c>
      <c r="Q221" s="138" t="n">
        <f aca="false">M221*P221</f>
        <v>14.3748</v>
      </c>
      <c r="R221" s="74"/>
      <c r="S221" s="79" t="n">
        <f aca="false">IF(ISNA(VLOOKUP(B221,SplitVol,5,FALSE())),0,VLOOKUP(B221,SplitVol,5,FALSE()))</f>
        <v>6</v>
      </c>
      <c r="T221" s="84" t="n">
        <f aca="false">+S221*L221</f>
        <v>14.3748</v>
      </c>
      <c r="U221" s="79" t="n">
        <f aca="false">IF(ISNA(VLOOKUP(B221,SplitVol,6,FALSE())),0,VLOOKUP(B221,SplitVol,6,FALSE()))</f>
        <v>0</v>
      </c>
      <c r="V221" s="84" t="n">
        <f aca="false">+U221*L221</f>
        <v>0</v>
      </c>
      <c r="W221" s="85" t="n">
        <f aca="false">IF(ISBLANK(VLOOKUP(B221,EffDate,4,FALSE())),"na",VLOOKUP(B221,EffDate,4,FALSE()))</f>
        <v>37228</v>
      </c>
      <c r="X221" s="86" t="n">
        <f aca="false">+M221-S221-U221</f>
        <v>0</v>
      </c>
    </row>
    <row r="222" customFormat="false" ht="15" hidden="false" customHeight="true" outlineLevel="0" collapsed="false">
      <c r="A222" s="102" t="s">
        <v>5</v>
      </c>
      <c r="B222" s="129" t="s">
        <v>294</v>
      </c>
      <c r="C222" s="102" t="n">
        <v>3420401</v>
      </c>
      <c r="D222" s="105" t="s">
        <v>595</v>
      </c>
      <c r="E222" s="106" t="n">
        <v>37228</v>
      </c>
      <c r="F222" s="102"/>
      <c r="G222" s="102" t="n">
        <v>67032</v>
      </c>
      <c r="H222" s="102" t="s">
        <v>594</v>
      </c>
      <c r="I222" s="102" t="s">
        <v>593</v>
      </c>
      <c r="J222" s="103" t="str">
        <f aca="false">IF(ISNA(VLOOKUP(B222,cngdata,7,FALSE())),"na",VLOOKUP(B222,cngdata,7,FALSE()))</f>
        <v>GW</v>
      </c>
      <c r="K222" s="103" t="n">
        <f aca="false">IF(ISNA(VLOOKUP(B222,cngdata,13,FALSE())),"na",VLOOKUP(B222,cngdata,13,FALSE()))</f>
        <v>0</v>
      </c>
      <c r="L222" s="108" t="n">
        <f aca="false">+CNGPricing!$H$125</f>
        <v>2.3958</v>
      </c>
      <c r="M222" s="103" t="n">
        <f aca="false">IF(ISNA(VLOOKUP(B222,cngdata,14,FALSE())),0,VLOOKUP(B222,cngdata,14,FALSE()))</f>
        <v>0</v>
      </c>
      <c r="O222" s="81" t="n">
        <v>0</v>
      </c>
      <c r="P222" s="137" t="n">
        <f aca="false">L222-O222</f>
        <v>2.3958</v>
      </c>
      <c r="Q222" s="138" t="n">
        <f aca="false">M222*P222</f>
        <v>0</v>
      </c>
      <c r="R222" s="74"/>
      <c r="S222" s="79" t="n">
        <f aca="false">IF(ISNA(VLOOKUP(B222,SplitVol,5,FALSE())),0,VLOOKUP(B222,SplitVol,5,FALSE()))</f>
        <v>0</v>
      </c>
      <c r="T222" s="84" t="n">
        <f aca="false">+S222*L222</f>
        <v>0</v>
      </c>
      <c r="U222" s="79" t="n">
        <f aca="false">IF(ISNA(VLOOKUP(B222,SplitVol,6,FALSE())),0,VLOOKUP(B222,SplitVol,6,FALSE()))</f>
        <v>0</v>
      </c>
      <c r="V222" s="84" t="n">
        <f aca="false">+U222*L222</f>
        <v>0</v>
      </c>
      <c r="W222" s="85" t="n">
        <f aca="false">IF(ISBLANK(VLOOKUP(B222,EffDate,4,FALSE())),"na",VLOOKUP(B222,EffDate,4,FALSE()))</f>
        <v>37228</v>
      </c>
      <c r="X222" s="86" t="n">
        <f aca="false">+M222-S222-U222</f>
        <v>0</v>
      </c>
    </row>
    <row r="223" customFormat="false" ht="15" hidden="false" customHeight="true" outlineLevel="0" collapsed="false">
      <c r="A223" s="78" t="s">
        <v>8</v>
      </c>
      <c r="B223" s="78" t="s">
        <v>305</v>
      </c>
      <c r="C223" s="88" t="n">
        <v>1077501</v>
      </c>
      <c r="D223" s="4" t="s">
        <v>304</v>
      </c>
      <c r="E223" s="72" t="s">
        <v>517</v>
      </c>
      <c r="F223" s="78" t="s">
        <v>304</v>
      </c>
      <c r="G223" s="88" t="n">
        <v>212194</v>
      </c>
      <c r="H223" s="88"/>
      <c r="I223" s="89" t="s">
        <v>523</v>
      </c>
      <c r="J223" s="79" t="str">
        <f aca="false">IF(ISNA(VLOOKUP(B223,cngdata,7,FALSE())),"na",VLOOKUP(B223,cngdata,7,FALSE()))</f>
        <v>na</v>
      </c>
      <c r="K223" s="79" t="str">
        <f aca="false">IF(ISNA(VLOOKUP(B223,cngdata,13,FALSE())),"na",VLOOKUP(B223,cngdata,13,FALSE()))</f>
        <v>na</v>
      </c>
      <c r="L223" s="80" t="n">
        <f aca="false">$L$2</f>
        <v>2.42</v>
      </c>
      <c r="M223" s="79" t="n">
        <f aca="false">IF(ISNA(VLOOKUP(B223,cngdata,14,FALSE())),0,VLOOKUP(B223,cngdata,14,FALSE()))</f>
        <v>0</v>
      </c>
      <c r="O223" s="81" t="n">
        <v>0</v>
      </c>
      <c r="P223" s="82" t="n">
        <f aca="false">L223-O223</f>
        <v>2.42</v>
      </c>
      <c r="Q223" s="83" t="n">
        <v>0</v>
      </c>
      <c r="R223" s="74"/>
      <c r="S223" s="79" t="n">
        <f aca="false">IF(ISNA(VLOOKUP(B223,SplitVol,5,FALSE())),0,VLOOKUP(B223,SplitVol,5,FALSE()))</f>
        <v>0</v>
      </c>
      <c r="T223" s="84" t="n">
        <f aca="false">+S223*L223</f>
        <v>0</v>
      </c>
      <c r="U223" s="79" t="n">
        <f aca="false">IF(ISNA(VLOOKUP(B223,SplitVol,6,FALSE())),0,VLOOKUP(B223,SplitVol,6,FALSE()))</f>
        <v>0</v>
      </c>
      <c r="V223" s="84" t="n">
        <f aca="false">+U223*L223</f>
        <v>0</v>
      </c>
      <c r="W223" s="85" t="str">
        <f aca="false">IF(ISBLANK(VLOOKUP(B223,EffDate,4,FALSE())),"na",VLOOKUP(B223,EffDate,4,FALSE()))</f>
        <v>na</v>
      </c>
      <c r="X223" s="86" t="n">
        <f aca="false">+M223-S223-U223</f>
        <v>0</v>
      </c>
    </row>
    <row r="224" customFormat="false" ht="15" hidden="false" customHeight="true" outlineLevel="0" collapsed="false">
      <c r="A224" s="78" t="s">
        <v>8</v>
      </c>
      <c r="B224" s="78" t="s">
        <v>310</v>
      </c>
      <c r="C224" s="88" t="n">
        <v>4335601</v>
      </c>
      <c r="D224" s="4" t="s">
        <v>304</v>
      </c>
      <c r="E224" s="72" t="s">
        <v>517</v>
      </c>
      <c r="F224" s="78" t="s">
        <v>304</v>
      </c>
      <c r="G224" s="88" t="n">
        <v>212194</v>
      </c>
      <c r="H224" s="88"/>
      <c r="I224" s="89" t="s">
        <v>523</v>
      </c>
      <c r="J224" s="79" t="str">
        <f aca="false">IF(ISNA(VLOOKUP(B224,cngdata,7,FALSE())),"na",VLOOKUP(B224,cngdata,7,FALSE()))</f>
        <v>na</v>
      </c>
      <c r="K224" s="79" t="str">
        <f aca="false">IF(ISNA(VLOOKUP(B224,cngdata,13,FALSE())),"na",VLOOKUP(B224,cngdata,13,FALSE()))</f>
        <v>na</v>
      </c>
      <c r="L224" s="80" t="n">
        <f aca="false">$L$2</f>
        <v>2.42</v>
      </c>
      <c r="M224" s="79" t="n">
        <f aca="false">IF(ISNA(VLOOKUP(B224,cngdata,14,FALSE())),0,VLOOKUP(B224,cngdata,14,FALSE()))</f>
        <v>0</v>
      </c>
      <c r="O224" s="81" t="n">
        <v>0</v>
      </c>
      <c r="P224" s="82" t="n">
        <f aca="false">L224-O224</f>
        <v>2.42</v>
      </c>
      <c r="Q224" s="83" t="n">
        <f aca="false">M224*P224</f>
        <v>0</v>
      </c>
      <c r="R224" s="74"/>
      <c r="S224" s="79" t="n">
        <f aca="false">IF(ISNA(VLOOKUP(B224,SplitVol,5,FALSE())),0,VLOOKUP(B224,SplitVol,5,FALSE()))</f>
        <v>0</v>
      </c>
      <c r="T224" s="84" t="n">
        <f aca="false">+S224*L224</f>
        <v>0</v>
      </c>
      <c r="U224" s="79" t="n">
        <f aca="false">IF(ISNA(VLOOKUP(B224,SplitVol,6,FALSE())),0,VLOOKUP(B224,SplitVol,6,FALSE()))</f>
        <v>0</v>
      </c>
      <c r="V224" s="84" t="n">
        <f aca="false">+U224*L224</f>
        <v>0</v>
      </c>
      <c r="W224" s="85" t="str">
        <f aca="false">IF(ISBLANK(VLOOKUP(B224,EffDate,4,FALSE())),"na",VLOOKUP(B224,EffDate,4,FALSE()))</f>
        <v>na</v>
      </c>
      <c r="X224" s="86" t="n">
        <f aca="false">+M224-S224-U224</f>
        <v>0</v>
      </c>
    </row>
    <row r="225" customFormat="false" ht="15" hidden="false" customHeight="true" outlineLevel="0" collapsed="false">
      <c r="A225" s="78" t="s">
        <v>8</v>
      </c>
      <c r="B225" s="78" t="s">
        <v>311</v>
      </c>
      <c r="C225" s="88" t="n">
        <v>4336401</v>
      </c>
      <c r="D225" s="4" t="s">
        <v>304</v>
      </c>
      <c r="E225" s="72" t="s">
        <v>517</v>
      </c>
      <c r="F225" s="78" t="s">
        <v>304</v>
      </c>
      <c r="G225" s="88" t="n">
        <v>212194</v>
      </c>
      <c r="H225" s="88"/>
      <c r="I225" s="89" t="s">
        <v>523</v>
      </c>
      <c r="J225" s="79" t="str">
        <f aca="false">IF(ISNA(VLOOKUP(B225,cngdata,7,FALSE())),"na",VLOOKUP(B225,cngdata,7,FALSE()))</f>
        <v>na</v>
      </c>
      <c r="K225" s="79" t="str">
        <f aca="false">IF(ISNA(VLOOKUP(B225,cngdata,13,FALSE())),"na",VLOOKUP(B225,cngdata,13,FALSE()))</f>
        <v>na</v>
      </c>
      <c r="L225" s="80" t="n">
        <f aca="false">$L$2</f>
        <v>2.42</v>
      </c>
      <c r="M225" s="79" t="n">
        <f aca="false">IF(ISNA(VLOOKUP(B225,cngdata,14,FALSE())),0,VLOOKUP(B225,cngdata,14,FALSE()))</f>
        <v>0</v>
      </c>
      <c r="O225" s="81" t="n">
        <v>0</v>
      </c>
      <c r="P225" s="82" t="n">
        <f aca="false">L225-O225</f>
        <v>2.42</v>
      </c>
      <c r="Q225" s="83" t="n">
        <f aca="false">M225*P225</f>
        <v>0</v>
      </c>
      <c r="R225" s="74"/>
      <c r="S225" s="79" t="n">
        <f aca="false">IF(ISNA(VLOOKUP(B225,SplitVol,5,FALSE())),0,VLOOKUP(B225,SplitVol,5,FALSE()))</f>
        <v>0</v>
      </c>
      <c r="T225" s="84" t="n">
        <f aca="false">+S225*L225</f>
        <v>0</v>
      </c>
      <c r="U225" s="79" t="n">
        <f aca="false">IF(ISNA(VLOOKUP(B225,SplitVol,6,FALSE())),0,VLOOKUP(B225,SplitVol,6,FALSE()))</f>
        <v>0</v>
      </c>
      <c r="V225" s="84" t="n">
        <f aca="false">+U225*L225</f>
        <v>0</v>
      </c>
      <c r="W225" s="85" t="str">
        <f aca="false">IF(ISBLANK(VLOOKUP(B225,EffDate,4,FALSE())),"na",VLOOKUP(B225,EffDate,4,FALSE()))</f>
        <v>na</v>
      </c>
      <c r="X225" s="86" t="n">
        <f aca="false">+M225-S225-U225</f>
        <v>0</v>
      </c>
    </row>
    <row r="226" customFormat="false" ht="15" hidden="false" customHeight="true" outlineLevel="0" collapsed="false">
      <c r="A226" s="78" t="s">
        <v>8</v>
      </c>
      <c r="B226" s="78" t="s">
        <v>312</v>
      </c>
      <c r="C226" s="88" t="n">
        <v>4338501</v>
      </c>
      <c r="D226" s="4" t="s">
        <v>304</v>
      </c>
      <c r="E226" s="72" t="s">
        <v>517</v>
      </c>
      <c r="F226" s="78" t="s">
        <v>304</v>
      </c>
      <c r="G226" s="88" t="n">
        <v>212194</v>
      </c>
      <c r="H226" s="88"/>
      <c r="I226" s="89" t="s">
        <v>523</v>
      </c>
      <c r="J226" s="79" t="str">
        <f aca="false">IF(ISNA(VLOOKUP(B226,cngdata,7,FALSE())),"na",VLOOKUP(B226,cngdata,7,FALSE()))</f>
        <v>na</v>
      </c>
      <c r="K226" s="79" t="str">
        <f aca="false">IF(ISNA(VLOOKUP(B226,cngdata,13,FALSE())),"na",VLOOKUP(B226,cngdata,13,FALSE()))</f>
        <v>na</v>
      </c>
      <c r="L226" s="80" t="n">
        <f aca="false">$L$2</f>
        <v>2.42</v>
      </c>
      <c r="M226" s="79" t="n">
        <f aca="false">IF(ISNA(VLOOKUP(B226,cngdata,14,FALSE())),0,VLOOKUP(B226,cngdata,14,FALSE()))</f>
        <v>0</v>
      </c>
      <c r="O226" s="81" t="n">
        <v>0</v>
      </c>
      <c r="P226" s="82" t="n">
        <f aca="false">L226-O226</f>
        <v>2.42</v>
      </c>
      <c r="Q226" s="83" t="n">
        <f aca="false">M226*P226</f>
        <v>0</v>
      </c>
      <c r="R226" s="74"/>
      <c r="S226" s="79" t="n">
        <f aca="false">IF(ISNA(VLOOKUP(B226,SplitVol,5,FALSE())),0,VLOOKUP(B226,SplitVol,5,FALSE()))</f>
        <v>0</v>
      </c>
      <c r="T226" s="84" t="n">
        <f aca="false">+S226*L226</f>
        <v>0</v>
      </c>
      <c r="U226" s="79" t="n">
        <f aca="false">IF(ISNA(VLOOKUP(B226,SplitVol,6,FALSE())),0,VLOOKUP(B226,SplitVol,6,FALSE()))</f>
        <v>0</v>
      </c>
      <c r="V226" s="84" t="n">
        <f aca="false">+U226*L226</f>
        <v>0</v>
      </c>
      <c r="W226" s="85" t="str">
        <f aca="false">IF(ISBLANK(VLOOKUP(B226,EffDate,4,FALSE())),"na",VLOOKUP(B226,EffDate,4,FALSE()))</f>
        <v>na</v>
      </c>
      <c r="X226" s="86" t="n">
        <f aca="false">+M226-S226-U226</f>
        <v>0</v>
      </c>
    </row>
    <row r="227" customFormat="false" ht="15" hidden="false" customHeight="true" outlineLevel="0" collapsed="false">
      <c r="A227" s="78" t="s">
        <v>8</v>
      </c>
      <c r="B227" s="78" t="s">
        <v>313</v>
      </c>
      <c r="C227" s="88" t="n">
        <v>4339701</v>
      </c>
      <c r="D227" s="4" t="s">
        <v>304</v>
      </c>
      <c r="E227" s="72" t="s">
        <v>517</v>
      </c>
      <c r="F227" s="78" t="s">
        <v>304</v>
      </c>
      <c r="G227" s="88" t="n">
        <v>212194</v>
      </c>
      <c r="H227" s="88"/>
      <c r="I227" s="89" t="s">
        <v>523</v>
      </c>
      <c r="J227" s="79" t="str">
        <f aca="false">IF(ISNA(VLOOKUP(B227,cngdata,7,FALSE())),"na",VLOOKUP(B227,cngdata,7,FALSE()))</f>
        <v>na</v>
      </c>
      <c r="K227" s="79" t="str">
        <f aca="false">IF(ISNA(VLOOKUP(B227,cngdata,13,FALSE())),"na",VLOOKUP(B227,cngdata,13,FALSE()))</f>
        <v>na</v>
      </c>
      <c r="L227" s="80" t="n">
        <f aca="false">$L$2</f>
        <v>2.42</v>
      </c>
      <c r="M227" s="79" t="n">
        <f aca="false">IF(ISNA(VLOOKUP(B227,cngdata,14,FALSE())),0,VLOOKUP(B227,cngdata,14,FALSE()))</f>
        <v>0</v>
      </c>
      <c r="O227" s="81" t="n">
        <v>0</v>
      </c>
      <c r="P227" s="82" t="n">
        <f aca="false">L227-O227</f>
        <v>2.42</v>
      </c>
      <c r="Q227" s="83" t="n">
        <f aca="false">M227*P227</f>
        <v>0</v>
      </c>
      <c r="R227" s="74"/>
      <c r="S227" s="79" t="n">
        <f aca="false">IF(ISNA(VLOOKUP(B227,SplitVol,5,FALSE())),0,VLOOKUP(B227,SplitVol,5,FALSE()))</f>
        <v>0</v>
      </c>
      <c r="T227" s="84" t="n">
        <f aca="false">+S227*L227</f>
        <v>0</v>
      </c>
      <c r="U227" s="79" t="n">
        <f aca="false">IF(ISNA(VLOOKUP(B227,SplitVol,6,FALSE())),0,VLOOKUP(B227,SplitVol,6,FALSE()))</f>
        <v>0</v>
      </c>
      <c r="V227" s="84" t="n">
        <f aca="false">+U227*L227</f>
        <v>0</v>
      </c>
      <c r="W227" s="85" t="str">
        <f aca="false">IF(ISBLANK(VLOOKUP(B227,EffDate,4,FALSE())),"na",VLOOKUP(B227,EffDate,4,FALSE()))</f>
        <v>na</v>
      </c>
      <c r="X227" s="86" t="n">
        <f aca="false">+M227-S227-U227</f>
        <v>0</v>
      </c>
    </row>
    <row r="228" customFormat="false" ht="15" hidden="false" customHeight="true" outlineLevel="0" collapsed="false">
      <c r="A228" s="78" t="s">
        <v>8</v>
      </c>
      <c r="B228" s="78" t="s">
        <v>306</v>
      </c>
      <c r="C228" s="88" t="n">
        <v>3511201</v>
      </c>
      <c r="D228" s="4" t="s">
        <v>304</v>
      </c>
      <c r="E228" s="72" t="s">
        <v>517</v>
      </c>
      <c r="F228" s="78" t="s">
        <v>304</v>
      </c>
      <c r="G228" s="88" t="n">
        <v>212194</v>
      </c>
      <c r="H228" s="88"/>
      <c r="I228" s="89" t="s">
        <v>523</v>
      </c>
      <c r="J228" s="79" t="str">
        <f aca="false">IF(ISNA(VLOOKUP(B228,cngdata,7,FALSE())),"na",VLOOKUP(B228,cngdata,7,FALSE()))</f>
        <v>na</v>
      </c>
      <c r="K228" s="79" t="str">
        <f aca="false">IF(ISNA(VLOOKUP(B228,cngdata,13,FALSE())),"na",VLOOKUP(B228,cngdata,13,FALSE()))</f>
        <v>na</v>
      </c>
      <c r="L228" s="80" t="n">
        <f aca="false">$L$2</f>
        <v>2.42</v>
      </c>
      <c r="M228" s="79" t="n">
        <f aca="false">IF(ISNA(VLOOKUP(B228,cngdata,14,FALSE())),0,VLOOKUP(B228,cngdata,14,FALSE()))</f>
        <v>0</v>
      </c>
      <c r="O228" s="81" t="n">
        <v>0</v>
      </c>
      <c r="P228" s="82" t="n">
        <f aca="false">L228-O228</f>
        <v>2.42</v>
      </c>
      <c r="Q228" s="83" t="n">
        <f aca="false">M228*P228</f>
        <v>0</v>
      </c>
      <c r="R228" s="74"/>
      <c r="S228" s="79" t="n">
        <f aca="false">IF(ISNA(VLOOKUP(B228,SplitVol,5,FALSE())),0,VLOOKUP(B228,SplitVol,5,FALSE()))</f>
        <v>0</v>
      </c>
      <c r="T228" s="84" t="n">
        <f aca="false">+S228*L228</f>
        <v>0</v>
      </c>
      <c r="U228" s="79" t="n">
        <f aca="false">IF(ISNA(VLOOKUP(B228,SplitVol,6,FALSE())),0,VLOOKUP(B228,SplitVol,6,FALSE()))</f>
        <v>0</v>
      </c>
      <c r="V228" s="84" t="n">
        <f aca="false">+U228*L228</f>
        <v>0</v>
      </c>
      <c r="W228" s="85" t="str">
        <f aca="false">IF(ISBLANK(VLOOKUP(B228,EffDate,4,FALSE())),"na",VLOOKUP(B228,EffDate,4,FALSE()))</f>
        <v>na</v>
      </c>
      <c r="X228" s="86" t="n">
        <f aca="false">+M228-S228-U228</f>
        <v>0</v>
      </c>
    </row>
    <row r="229" customFormat="false" ht="15" hidden="false" customHeight="true" outlineLevel="0" collapsed="false">
      <c r="A229" s="78" t="s">
        <v>8</v>
      </c>
      <c r="B229" s="78" t="s">
        <v>308</v>
      </c>
      <c r="C229" s="88" t="n">
        <v>4026101</v>
      </c>
      <c r="D229" s="4" t="s">
        <v>304</v>
      </c>
      <c r="E229" s="72" t="s">
        <v>517</v>
      </c>
      <c r="F229" s="78" t="s">
        <v>304</v>
      </c>
      <c r="G229" s="88" t="n">
        <v>212194</v>
      </c>
      <c r="H229" s="88"/>
      <c r="I229" s="89" t="s">
        <v>523</v>
      </c>
      <c r="J229" s="79" t="str">
        <f aca="false">IF(ISNA(VLOOKUP(B229,cngdata,7,FALSE())),"na",VLOOKUP(B229,cngdata,7,FALSE()))</f>
        <v>na</v>
      </c>
      <c r="K229" s="79" t="str">
        <f aca="false">IF(ISNA(VLOOKUP(B229,cngdata,13,FALSE())),"na",VLOOKUP(B229,cngdata,13,FALSE()))</f>
        <v>na</v>
      </c>
      <c r="L229" s="80" t="n">
        <f aca="false">$L$2</f>
        <v>2.42</v>
      </c>
      <c r="M229" s="79" t="n">
        <f aca="false">IF(ISNA(VLOOKUP(B229,cngdata,14,FALSE())),0,VLOOKUP(B229,cngdata,14,FALSE()))</f>
        <v>0</v>
      </c>
      <c r="O229" s="81" t="n">
        <v>0</v>
      </c>
      <c r="P229" s="82" t="n">
        <f aca="false">L229-O229</f>
        <v>2.42</v>
      </c>
      <c r="Q229" s="83" t="n">
        <f aca="false">M229*P229</f>
        <v>0</v>
      </c>
      <c r="R229" s="74"/>
      <c r="S229" s="79" t="n">
        <f aca="false">IF(ISNA(VLOOKUP(B229,SplitVol,5,FALSE())),0,VLOOKUP(B229,SplitVol,5,FALSE()))</f>
        <v>0</v>
      </c>
      <c r="T229" s="84" t="n">
        <f aca="false">+S229*L229</f>
        <v>0</v>
      </c>
      <c r="U229" s="79" t="n">
        <f aca="false">IF(ISNA(VLOOKUP(B229,SplitVol,6,FALSE())),0,VLOOKUP(B229,SplitVol,6,FALSE()))</f>
        <v>0</v>
      </c>
      <c r="V229" s="84" t="n">
        <f aca="false">+U229*L229</f>
        <v>0</v>
      </c>
      <c r="W229" s="85" t="str">
        <f aca="false">IF(ISBLANK(VLOOKUP(B229,EffDate,4,FALSE())),"na",VLOOKUP(B229,EffDate,4,FALSE()))</f>
        <v>na</v>
      </c>
      <c r="X229" s="86" t="n">
        <f aca="false">+M229-S229-U229</f>
        <v>0</v>
      </c>
    </row>
    <row r="230" customFormat="false" ht="15" hidden="false" customHeight="true" outlineLevel="0" collapsed="false">
      <c r="A230" s="78" t="s">
        <v>8</v>
      </c>
      <c r="B230" s="78" t="s">
        <v>307</v>
      </c>
      <c r="C230" s="88" t="n">
        <v>4025301</v>
      </c>
      <c r="D230" s="4" t="s">
        <v>304</v>
      </c>
      <c r="E230" s="72" t="s">
        <v>517</v>
      </c>
      <c r="F230" s="78" t="s">
        <v>304</v>
      </c>
      <c r="G230" s="88" t="n">
        <v>212194</v>
      </c>
      <c r="H230" s="88"/>
      <c r="I230" s="89" t="s">
        <v>523</v>
      </c>
      <c r="J230" s="79" t="str">
        <f aca="false">IF(ISNA(VLOOKUP(B230,cngdata,7,FALSE())),"na",VLOOKUP(B230,cngdata,7,FALSE()))</f>
        <v>na</v>
      </c>
      <c r="K230" s="79" t="str">
        <f aca="false">IF(ISNA(VLOOKUP(B230,cngdata,13,FALSE())),"na",VLOOKUP(B230,cngdata,13,FALSE()))</f>
        <v>na</v>
      </c>
      <c r="L230" s="80" t="n">
        <f aca="false">$L$2</f>
        <v>2.42</v>
      </c>
      <c r="M230" s="79" t="n">
        <f aca="false">IF(ISNA(VLOOKUP(B230,cngdata,14,FALSE())),0,VLOOKUP(B230,cngdata,14,FALSE()))</f>
        <v>0</v>
      </c>
      <c r="O230" s="81" t="n">
        <v>0</v>
      </c>
      <c r="P230" s="82" t="n">
        <f aca="false">L230-O230</f>
        <v>2.42</v>
      </c>
      <c r="Q230" s="83" t="n">
        <f aca="false">M230*P230</f>
        <v>0</v>
      </c>
      <c r="R230" s="74"/>
      <c r="S230" s="79" t="n">
        <f aca="false">IF(ISNA(VLOOKUP(B230,SplitVol,5,FALSE())),0,VLOOKUP(B230,SplitVol,5,FALSE()))</f>
        <v>0</v>
      </c>
      <c r="T230" s="84" t="n">
        <f aca="false">+S230*L230</f>
        <v>0</v>
      </c>
      <c r="U230" s="79" t="n">
        <f aca="false">IF(ISNA(VLOOKUP(B230,SplitVol,6,FALSE())),0,VLOOKUP(B230,SplitVol,6,FALSE()))</f>
        <v>0</v>
      </c>
      <c r="V230" s="84" t="n">
        <f aca="false">+U230*L230</f>
        <v>0</v>
      </c>
      <c r="W230" s="85" t="str">
        <f aca="false">IF(ISBLANK(VLOOKUP(B230,EffDate,4,FALSE())),"na",VLOOKUP(B230,EffDate,4,FALSE()))</f>
        <v>na</v>
      </c>
      <c r="X230" s="86" t="n">
        <f aca="false">+M230-S230-U230</f>
        <v>0</v>
      </c>
    </row>
    <row r="231" customFormat="false" ht="15" hidden="false" customHeight="true" outlineLevel="0" collapsed="false">
      <c r="A231" s="78" t="s">
        <v>8</v>
      </c>
      <c r="B231" s="78" t="s">
        <v>309</v>
      </c>
      <c r="C231" s="88" t="n">
        <v>4194701</v>
      </c>
      <c r="D231" s="4" t="s">
        <v>304</v>
      </c>
      <c r="E231" s="72" t="s">
        <v>517</v>
      </c>
      <c r="F231" s="78" t="s">
        <v>304</v>
      </c>
      <c r="G231" s="88" t="n">
        <v>212194</v>
      </c>
      <c r="H231" s="88"/>
      <c r="I231" s="89" t="s">
        <v>523</v>
      </c>
      <c r="J231" s="79" t="str">
        <f aca="false">IF(ISNA(VLOOKUP(B231,cngdata,7,FALSE())),"na",VLOOKUP(B231,cngdata,7,FALSE()))</f>
        <v>na</v>
      </c>
      <c r="K231" s="79" t="str">
        <f aca="false">IF(ISNA(VLOOKUP(B231,cngdata,13,FALSE())),"na",VLOOKUP(B231,cngdata,13,FALSE()))</f>
        <v>na</v>
      </c>
      <c r="L231" s="80" t="n">
        <f aca="false">$L$2</f>
        <v>2.42</v>
      </c>
      <c r="M231" s="79" t="n">
        <f aca="false">IF(ISNA(VLOOKUP(B231,cngdata,14,FALSE())),0,VLOOKUP(B231,cngdata,14,FALSE()))</f>
        <v>0</v>
      </c>
      <c r="O231" s="81" t="n">
        <v>0</v>
      </c>
      <c r="P231" s="82" t="n">
        <f aca="false">L231-O231</f>
        <v>2.42</v>
      </c>
      <c r="Q231" s="83" t="n">
        <f aca="false">M231*P231</f>
        <v>0</v>
      </c>
      <c r="R231" s="74"/>
      <c r="S231" s="79" t="n">
        <f aca="false">IF(ISNA(VLOOKUP(B231,SplitVol,5,FALSE())),0,VLOOKUP(B231,SplitVol,5,FALSE()))</f>
        <v>0</v>
      </c>
      <c r="T231" s="84" t="n">
        <f aca="false">+S231*L231</f>
        <v>0</v>
      </c>
      <c r="U231" s="79" t="n">
        <f aca="false">IF(ISNA(VLOOKUP(B231,SplitVol,6,FALSE())),0,VLOOKUP(B231,SplitVol,6,FALSE()))</f>
        <v>0</v>
      </c>
      <c r="V231" s="84" t="n">
        <f aca="false">+U231*L231</f>
        <v>0</v>
      </c>
      <c r="W231" s="85" t="str">
        <f aca="false">IF(ISBLANK(VLOOKUP(B231,EffDate,4,FALSE())),"na",VLOOKUP(B231,EffDate,4,FALSE()))</f>
        <v>na</v>
      </c>
      <c r="X231" s="86" t="n">
        <f aca="false">+M231-S231-U231</f>
        <v>0</v>
      </c>
    </row>
    <row r="232" customFormat="false" ht="15" hidden="false" customHeight="true" outlineLevel="0" collapsed="false">
      <c r="A232" s="78" t="s">
        <v>8</v>
      </c>
      <c r="B232" s="78" t="s">
        <v>303</v>
      </c>
      <c r="C232" s="88" t="n">
        <v>1070001</v>
      </c>
      <c r="D232" s="4" t="s">
        <v>304</v>
      </c>
      <c r="E232" s="72" t="s">
        <v>517</v>
      </c>
      <c r="F232" s="78" t="s">
        <v>304</v>
      </c>
      <c r="G232" s="88" t="n">
        <v>212194</v>
      </c>
      <c r="H232" s="88"/>
      <c r="I232" s="89" t="s">
        <v>523</v>
      </c>
      <c r="J232" s="79" t="str">
        <f aca="false">IF(ISNA(VLOOKUP(B232,cngdata,7,FALSE())),"na",VLOOKUP(B232,cngdata,7,FALSE()))</f>
        <v>na</v>
      </c>
      <c r="K232" s="79" t="str">
        <f aca="false">IF(ISNA(VLOOKUP(B232,cngdata,13,FALSE())),"na",VLOOKUP(B232,cngdata,13,FALSE()))</f>
        <v>na</v>
      </c>
      <c r="L232" s="80" t="n">
        <f aca="false">$L$2</f>
        <v>2.42</v>
      </c>
      <c r="M232" s="79" t="n">
        <f aca="false">IF(ISNA(VLOOKUP(B232,cngdata,14,FALSE())),0,VLOOKUP(B232,cngdata,14,FALSE()))</f>
        <v>0</v>
      </c>
      <c r="O232" s="81" t="n">
        <v>0</v>
      </c>
      <c r="P232" s="82" t="n">
        <f aca="false">L232-O232</f>
        <v>2.42</v>
      </c>
      <c r="Q232" s="83" t="n">
        <f aca="false">M232*P232</f>
        <v>0</v>
      </c>
      <c r="R232" s="74"/>
      <c r="S232" s="79" t="n">
        <f aca="false">IF(ISNA(VLOOKUP(B232,SplitVol,5,FALSE())),0,VLOOKUP(B232,SplitVol,5,FALSE()))</f>
        <v>0</v>
      </c>
      <c r="T232" s="84" t="n">
        <f aca="false">+S232*L232</f>
        <v>0</v>
      </c>
      <c r="U232" s="79" t="n">
        <f aca="false">IF(ISNA(VLOOKUP(B232,SplitVol,6,FALSE())),0,VLOOKUP(B232,SplitVol,6,FALSE()))</f>
        <v>0</v>
      </c>
      <c r="V232" s="84" t="n">
        <f aca="false">+U232*L232</f>
        <v>0</v>
      </c>
      <c r="W232" s="85" t="str">
        <f aca="false">IF(ISBLANK(VLOOKUP(B232,EffDate,4,FALSE())),"na",VLOOKUP(B232,EffDate,4,FALSE()))</f>
        <v>na</v>
      </c>
      <c r="X232" s="86" t="n">
        <f aca="false">+M232-S232-U232</f>
        <v>0</v>
      </c>
    </row>
    <row r="233" customFormat="false" ht="15" hidden="false" customHeight="true" outlineLevel="0" collapsed="false">
      <c r="A233" s="78" t="s">
        <v>8</v>
      </c>
      <c r="B233" s="78" t="s">
        <v>325</v>
      </c>
      <c r="C233" s="88" t="n">
        <v>4099201</v>
      </c>
      <c r="D233" s="90" t="s">
        <v>315</v>
      </c>
      <c r="E233" s="91" t="n">
        <v>37256</v>
      </c>
      <c r="F233" s="102" t="s">
        <v>315</v>
      </c>
      <c r="G233" s="107" t="n">
        <v>212218</v>
      </c>
      <c r="H233" s="107"/>
      <c r="I233" s="107" t="s">
        <v>523</v>
      </c>
      <c r="J233" s="103" t="str">
        <f aca="false">IF(ISNA(VLOOKUP(B233,cngdata,7,FALSE())),"na",VLOOKUP(B233,cngdata,7,FALSE()))</f>
        <v>GW</v>
      </c>
      <c r="K233" s="103" t="n">
        <f aca="false">IF(ISNA(VLOOKUP(B233,cngdata,13,FALSE())),"na",VLOOKUP(B233,cngdata,13,FALSE()))</f>
        <v>141</v>
      </c>
      <c r="L233" s="108" t="n">
        <f aca="false">+CNGPricing!H135</f>
        <v>2.42</v>
      </c>
      <c r="M233" s="103" t="n">
        <f aca="false">IF(ISNA(VLOOKUP(B233,cngdata,14,FALSE())),0,VLOOKUP(B233,cngdata,14,FALSE()))</f>
        <v>165</v>
      </c>
      <c r="O233" s="81" t="n">
        <v>0</v>
      </c>
      <c r="P233" s="82" t="n">
        <f aca="false">L233-O233</f>
        <v>2.42</v>
      </c>
      <c r="Q233" s="83" t="n">
        <f aca="false">M233*P233</f>
        <v>399.3</v>
      </c>
      <c r="R233" s="74"/>
      <c r="S233" s="79" t="n">
        <f aca="false">IF(ISNA(VLOOKUP(B233,SplitVol,5,FALSE())),0,VLOOKUP(B233,SplitVol,5,FALSE()))</f>
        <v>9</v>
      </c>
      <c r="T233" s="84" t="n">
        <f aca="false">+S233*L233</f>
        <v>21.78</v>
      </c>
      <c r="U233" s="79" t="n">
        <f aca="false">IF(ISNA(VLOOKUP(B233,SplitVol,6,FALSE())),0,VLOOKUP(B233,SplitVol,6,FALSE()))</f>
        <v>156</v>
      </c>
      <c r="V233" s="84" t="n">
        <f aca="false">+U233*L233</f>
        <v>377.52</v>
      </c>
      <c r="W233" s="85" t="n">
        <f aca="false">IF(ISBLANK(VLOOKUP(B233,EffDate,4,FALSE())),"na",VLOOKUP(B233,EffDate,4,FALSE()))</f>
        <v>37256</v>
      </c>
      <c r="X233" s="86" t="n">
        <f aca="false">+M233-S233-U233</f>
        <v>0</v>
      </c>
    </row>
    <row r="234" customFormat="false" ht="15" hidden="false" customHeight="true" outlineLevel="0" collapsed="false">
      <c r="A234" s="78" t="s">
        <v>149</v>
      </c>
      <c r="B234" s="78" t="s">
        <v>331</v>
      </c>
      <c r="C234" s="88" t="n">
        <v>5156201</v>
      </c>
      <c r="D234" s="90" t="s">
        <v>315</v>
      </c>
      <c r="E234" s="91" t="n">
        <v>37256</v>
      </c>
      <c r="F234" s="102" t="s">
        <v>315</v>
      </c>
      <c r="G234" s="107" t="n">
        <v>212218</v>
      </c>
      <c r="H234" s="107"/>
      <c r="I234" s="107" t="s">
        <v>523</v>
      </c>
      <c r="J234" s="103" t="str">
        <f aca="false">IF(ISNA(VLOOKUP(B234,cngdata,7,FALSE())),"na",VLOOKUP(B234,cngdata,7,FALSE()))</f>
        <v>GD</v>
      </c>
      <c r="K234" s="103" t="n">
        <f aca="false">IF(ISNA(VLOOKUP(B234,cngdata,13,FALSE())),"na",VLOOKUP(B234,cngdata,13,FALSE()))</f>
        <v>704</v>
      </c>
      <c r="L234" s="108" t="n">
        <f aca="false">+CNGPricing!H135</f>
        <v>2.42</v>
      </c>
      <c r="M234" s="103" t="n">
        <f aca="false">IF(ISNA(VLOOKUP(B234,cngdata,14,FALSE())),0,VLOOKUP(B234,cngdata,14,FALSE()))</f>
        <v>729</v>
      </c>
      <c r="O234" s="81" t="n">
        <v>0</v>
      </c>
      <c r="P234" s="82" t="n">
        <f aca="false">L234-O234</f>
        <v>2.42</v>
      </c>
      <c r="Q234" s="83" t="n">
        <f aca="false">M234*P234</f>
        <v>1764.18</v>
      </c>
      <c r="R234" s="74"/>
      <c r="S234" s="79" t="n">
        <f aca="false">IF(ISNA(VLOOKUP(B234,SplitVol,5,FALSE())),0,VLOOKUP(B234,SplitVol,5,FALSE()))</f>
        <v>53</v>
      </c>
      <c r="T234" s="84" t="n">
        <f aca="false">+S234*L234</f>
        <v>128.26</v>
      </c>
      <c r="U234" s="79" t="n">
        <f aca="false">IF(ISNA(VLOOKUP(B234,SplitVol,6,FALSE())),0,VLOOKUP(B234,SplitVol,6,FALSE()))</f>
        <v>676</v>
      </c>
      <c r="V234" s="84" t="n">
        <f aca="false">+U234*L234</f>
        <v>1635.92</v>
      </c>
      <c r="W234" s="85" t="n">
        <f aca="false">IF(ISBLANK(VLOOKUP(B234,EffDate,4,FALSE())),"na",VLOOKUP(B234,EffDate,4,FALSE()))</f>
        <v>37256</v>
      </c>
      <c r="X234" s="86" t="n">
        <f aca="false">+M234-S234-U234</f>
        <v>0</v>
      </c>
    </row>
    <row r="235" customFormat="false" ht="15" hidden="false" customHeight="true" outlineLevel="0" collapsed="false">
      <c r="A235" s="78" t="s">
        <v>149</v>
      </c>
      <c r="B235" s="78" t="s">
        <v>332</v>
      </c>
      <c r="C235" s="88" t="n">
        <v>5171101</v>
      </c>
      <c r="D235" s="90" t="s">
        <v>315</v>
      </c>
      <c r="E235" s="91" t="n">
        <v>37256</v>
      </c>
      <c r="F235" s="102" t="s">
        <v>315</v>
      </c>
      <c r="G235" s="107" t="n">
        <v>212218</v>
      </c>
      <c r="H235" s="107"/>
      <c r="I235" s="107" t="s">
        <v>523</v>
      </c>
      <c r="J235" s="103" t="str">
        <f aca="false">IF(ISNA(VLOOKUP(B235,cngdata,7,FALSE())),"na",VLOOKUP(B235,cngdata,7,FALSE()))</f>
        <v>GD</v>
      </c>
      <c r="K235" s="103" t="n">
        <f aca="false">IF(ISNA(VLOOKUP(B235,cngdata,13,FALSE())),"na",VLOOKUP(B235,cngdata,13,FALSE()))</f>
        <v>133</v>
      </c>
      <c r="L235" s="108" t="n">
        <f aca="false">+CNGPricing!H135</f>
        <v>2.42</v>
      </c>
      <c r="M235" s="103" t="n">
        <f aca="false">IF(ISNA(VLOOKUP(B235,cngdata,14,FALSE())),0,VLOOKUP(B235,cngdata,14,FALSE()))</f>
        <v>141</v>
      </c>
      <c r="O235" s="81" t="n">
        <v>0</v>
      </c>
      <c r="P235" s="82" t="n">
        <f aca="false">L235-O235</f>
        <v>2.42</v>
      </c>
      <c r="Q235" s="83" t="n">
        <f aca="false">M235*P235</f>
        <v>341.22</v>
      </c>
      <c r="R235" s="74"/>
      <c r="S235" s="79" t="n">
        <f aca="false">IF(ISNA(VLOOKUP(B235,SplitVol,5,FALSE())),0,VLOOKUP(B235,SplitVol,5,FALSE()))</f>
        <v>16</v>
      </c>
      <c r="T235" s="84" t="n">
        <f aca="false">+S235*L235</f>
        <v>38.72</v>
      </c>
      <c r="U235" s="79" t="n">
        <f aca="false">IF(ISNA(VLOOKUP(B235,SplitVol,6,FALSE())),0,VLOOKUP(B235,SplitVol,6,FALSE()))+1</f>
        <v>125</v>
      </c>
      <c r="V235" s="84" t="n">
        <f aca="false">+U235*L235</f>
        <v>302.5</v>
      </c>
      <c r="W235" s="85" t="n">
        <f aca="false">IF(ISBLANK(VLOOKUP(B235,EffDate,4,FALSE())),"na",VLOOKUP(B235,EffDate,4,FALSE()))</f>
        <v>37256</v>
      </c>
      <c r="X235" s="86" t="n">
        <f aca="false">+M235-S235-U235</f>
        <v>0</v>
      </c>
    </row>
    <row r="236" customFormat="false" ht="15" hidden="false" customHeight="true" outlineLevel="0" collapsed="false">
      <c r="A236" s="78" t="s">
        <v>8</v>
      </c>
      <c r="B236" s="78" t="s">
        <v>324</v>
      </c>
      <c r="C236" s="88" t="n">
        <v>4098601</v>
      </c>
      <c r="D236" s="90" t="s">
        <v>315</v>
      </c>
      <c r="E236" s="91" t="n">
        <v>37256</v>
      </c>
      <c r="F236" s="102" t="s">
        <v>315</v>
      </c>
      <c r="G236" s="107" t="n">
        <v>212218</v>
      </c>
      <c r="H236" s="107"/>
      <c r="I236" s="107" t="s">
        <v>523</v>
      </c>
      <c r="J236" s="103" t="str">
        <f aca="false">IF(ISNA(VLOOKUP(B236,cngdata,7,FALSE())),"na",VLOOKUP(B236,cngdata,7,FALSE()))</f>
        <v>GW</v>
      </c>
      <c r="K236" s="103" t="n">
        <f aca="false">IF(ISNA(VLOOKUP(B236,cngdata,13,FALSE())),"na",VLOOKUP(B236,cngdata,13,FALSE()))</f>
        <v>236</v>
      </c>
      <c r="L236" s="108" t="n">
        <f aca="false">+CNGPricing!H135</f>
        <v>2.42</v>
      </c>
      <c r="M236" s="103" t="n">
        <f aca="false">IF(ISNA(VLOOKUP(B236,cngdata,14,FALSE())),0,VLOOKUP(B236,cngdata,14,FALSE()))</f>
        <v>270</v>
      </c>
      <c r="O236" s="81" t="n">
        <v>0</v>
      </c>
      <c r="P236" s="82" t="n">
        <f aca="false">L236-O236</f>
        <v>2.42</v>
      </c>
      <c r="Q236" s="83" t="n">
        <f aca="false">M236*P236</f>
        <v>653.4</v>
      </c>
      <c r="R236" s="74"/>
      <c r="S236" s="79" t="n">
        <f aca="false">IF(ISNA(VLOOKUP(B236,SplitVol,5,FALSE())),0,VLOOKUP(B236,SplitVol,5,FALSE()))</f>
        <v>19</v>
      </c>
      <c r="T236" s="84" t="n">
        <f aca="false">+S236*L236</f>
        <v>45.98</v>
      </c>
      <c r="U236" s="79" t="n">
        <f aca="false">IF(ISNA(VLOOKUP(B236,SplitVol,6,FALSE())),0,VLOOKUP(B236,SplitVol,6,FALSE()))</f>
        <v>251</v>
      </c>
      <c r="V236" s="84" t="n">
        <f aca="false">+U236*L236</f>
        <v>607.42</v>
      </c>
      <c r="W236" s="85" t="n">
        <f aca="false">IF(ISBLANK(VLOOKUP(B236,EffDate,4,FALSE())),"na",VLOOKUP(B236,EffDate,4,FALSE()))</f>
        <v>37256</v>
      </c>
      <c r="X236" s="86" t="n">
        <f aca="false">+M236-S236-U236</f>
        <v>0</v>
      </c>
    </row>
    <row r="237" customFormat="false" ht="15" hidden="false" customHeight="true" outlineLevel="0" collapsed="false">
      <c r="A237" s="78" t="s">
        <v>8</v>
      </c>
      <c r="B237" s="78" t="s">
        <v>326</v>
      </c>
      <c r="C237" s="88" t="n">
        <v>4110101</v>
      </c>
      <c r="D237" s="90" t="s">
        <v>315</v>
      </c>
      <c r="E237" s="91" t="n">
        <v>37256</v>
      </c>
      <c r="F237" s="102" t="s">
        <v>315</v>
      </c>
      <c r="G237" s="107" t="n">
        <v>212218</v>
      </c>
      <c r="H237" s="107"/>
      <c r="I237" s="107" t="s">
        <v>523</v>
      </c>
      <c r="J237" s="103" t="str">
        <f aca="false">IF(ISNA(VLOOKUP(B237,cngdata,7,FALSE())),"na",VLOOKUP(B237,cngdata,7,FALSE()))</f>
        <v>GW</v>
      </c>
      <c r="K237" s="103" t="n">
        <f aca="false">IF(ISNA(VLOOKUP(B237,cngdata,13,FALSE())),"na",VLOOKUP(B237,cngdata,13,FALSE()))</f>
        <v>462</v>
      </c>
      <c r="L237" s="108" t="n">
        <f aca="false">+CNGPricing!H135</f>
        <v>2.42</v>
      </c>
      <c r="M237" s="103" t="n">
        <f aca="false">IF(ISNA(VLOOKUP(B237,cngdata,14,FALSE())),0,VLOOKUP(B237,cngdata,14,FALSE()))</f>
        <v>526</v>
      </c>
      <c r="O237" s="81" t="n">
        <v>0</v>
      </c>
      <c r="P237" s="82" t="n">
        <f aca="false">L237-O237</f>
        <v>2.42</v>
      </c>
      <c r="Q237" s="83" t="n">
        <f aca="false">M237*P237</f>
        <v>1272.92</v>
      </c>
      <c r="R237" s="74"/>
      <c r="S237" s="79" t="n">
        <f aca="false">IF(ISNA(VLOOKUP(B237,SplitVol,5,FALSE())),0,VLOOKUP(B237,SplitVol,5,FALSE()))</f>
        <v>35</v>
      </c>
      <c r="T237" s="84" t="n">
        <f aca="false">+S237*L237</f>
        <v>84.7</v>
      </c>
      <c r="U237" s="79" t="n">
        <f aca="false">IF(ISNA(VLOOKUP(B237,SplitVol,6,FALSE())),0,VLOOKUP(B237,SplitVol,6,FALSE()))</f>
        <v>491</v>
      </c>
      <c r="V237" s="84" t="n">
        <f aca="false">+U237*L237</f>
        <v>1188.22</v>
      </c>
      <c r="W237" s="85" t="n">
        <f aca="false">IF(ISBLANK(VLOOKUP(B237,EffDate,4,FALSE())),"na",VLOOKUP(B237,EffDate,4,FALSE()))</f>
        <v>37256</v>
      </c>
      <c r="X237" s="86" t="n">
        <f aca="false">+M237-S237-U237</f>
        <v>0</v>
      </c>
    </row>
    <row r="238" customFormat="false" ht="15" hidden="false" customHeight="true" outlineLevel="0" collapsed="false">
      <c r="A238" s="78" t="s">
        <v>8</v>
      </c>
      <c r="B238" s="78" t="s">
        <v>327</v>
      </c>
      <c r="C238" s="88" t="n">
        <v>4110201</v>
      </c>
      <c r="D238" s="90" t="s">
        <v>315</v>
      </c>
      <c r="E238" s="91" t="n">
        <v>37256</v>
      </c>
      <c r="F238" s="102" t="s">
        <v>315</v>
      </c>
      <c r="G238" s="107" t="n">
        <v>212218</v>
      </c>
      <c r="H238" s="107"/>
      <c r="I238" s="107" t="s">
        <v>523</v>
      </c>
      <c r="J238" s="103" t="str">
        <f aca="false">IF(ISNA(VLOOKUP(B238,cngdata,7,FALSE())),"na",VLOOKUP(B238,cngdata,7,FALSE()))</f>
        <v>GW</v>
      </c>
      <c r="K238" s="103" t="n">
        <f aca="false">IF(ISNA(VLOOKUP(B238,cngdata,13,FALSE())),"na",VLOOKUP(B238,cngdata,13,FALSE()))</f>
        <v>656</v>
      </c>
      <c r="L238" s="108" t="n">
        <f aca="false">+CNGPricing!H135</f>
        <v>2.42</v>
      </c>
      <c r="M238" s="103" t="n">
        <f aca="false">IF(ISNA(VLOOKUP(B238,cngdata,14,FALSE())),0,VLOOKUP(B238,cngdata,14,FALSE()))</f>
        <v>757</v>
      </c>
      <c r="O238" s="81" t="n">
        <v>0</v>
      </c>
      <c r="P238" s="82" t="n">
        <f aca="false">L238-O238</f>
        <v>2.42</v>
      </c>
      <c r="Q238" s="83" t="n">
        <f aca="false">M238*P238</f>
        <v>1831.94</v>
      </c>
      <c r="R238" s="74"/>
      <c r="S238" s="79" t="n">
        <f aca="false">IF(ISNA(VLOOKUP(B238,SplitVol,5,FALSE())),0,VLOOKUP(B238,SplitVol,5,FALSE()))</f>
        <v>50</v>
      </c>
      <c r="T238" s="84" t="n">
        <f aca="false">+S238*L238</f>
        <v>121</v>
      </c>
      <c r="U238" s="79" t="n">
        <f aca="false">IF(ISNA(VLOOKUP(B238,SplitVol,6,FALSE())),0,VLOOKUP(B238,SplitVol,6,FALSE()))</f>
        <v>707</v>
      </c>
      <c r="V238" s="84" t="n">
        <f aca="false">+U238*L238</f>
        <v>1710.94</v>
      </c>
      <c r="W238" s="85" t="n">
        <f aca="false">IF(ISBLANK(VLOOKUP(B238,EffDate,4,FALSE())),"na",VLOOKUP(B238,EffDate,4,FALSE()))</f>
        <v>37256</v>
      </c>
      <c r="X238" s="86" t="n">
        <f aca="false">+M238-S238-U238</f>
        <v>0</v>
      </c>
    </row>
    <row r="239" customFormat="false" ht="15" hidden="false" customHeight="true" outlineLevel="0" collapsed="false">
      <c r="A239" s="78" t="s">
        <v>8</v>
      </c>
      <c r="B239" s="78" t="s">
        <v>318</v>
      </c>
      <c r="C239" s="88" t="n">
        <v>4023001</v>
      </c>
      <c r="D239" s="90" t="s">
        <v>315</v>
      </c>
      <c r="E239" s="91" t="n">
        <v>37256</v>
      </c>
      <c r="F239" s="102" t="s">
        <v>315</v>
      </c>
      <c r="G239" s="107" t="n">
        <v>212218</v>
      </c>
      <c r="H239" s="107"/>
      <c r="I239" s="107" t="s">
        <v>523</v>
      </c>
      <c r="J239" s="103" t="str">
        <f aca="false">IF(ISNA(VLOOKUP(B239,cngdata,7,FALSE())),"na",VLOOKUP(B239,cngdata,7,FALSE()))</f>
        <v>GW</v>
      </c>
      <c r="K239" s="103" t="n">
        <f aca="false">IF(ISNA(VLOOKUP(B239,cngdata,13,FALSE())),"na",VLOOKUP(B239,cngdata,13,FALSE()))</f>
        <v>123</v>
      </c>
      <c r="L239" s="108" t="n">
        <f aca="false">+CNGPricing!H135</f>
        <v>2.42</v>
      </c>
      <c r="M239" s="103" t="n">
        <f aca="false">IF(ISNA(VLOOKUP(B239,cngdata,14,FALSE())),0,VLOOKUP(B239,cngdata,14,FALSE()))</f>
        <v>142</v>
      </c>
      <c r="O239" s="81" t="n">
        <v>0</v>
      </c>
      <c r="P239" s="82" t="n">
        <f aca="false">L239-O239</f>
        <v>2.42</v>
      </c>
      <c r="Q239" s="83" t="n">
        <f aca="false">M239*P239</f>
        <v>343.64</v>
      </c>
      <c r="R239" s="74"/>
      <c r="S239" s="79" t="n">
        <f aca="false">IF(ISNA(VLOOKUP(B239,SplitVol,5,FALSE())),0,VLOOKUP(B239,SplitVol,5,FALSE()))</f>
        <v>7</v>
      </c>
      <c r="T239" s="84" t="n">
        <f aca="false">+S239*L239</f>
        <v>16.94</v>
      </c>
      <c r="U239" s="79" t="n">
        <f aca="false">IF(ISNA(VLOOKUP(B239,SplitVol,6,FALSE())),0,VLOOKUP(B239,SplitVol,6,FALSE()))</f>
        <v>135</v>
      </c>
      <c r="V239" s="84" t="n">
        <f aca="false">+U239*L239</f>
        <v>326.7</v>
      </c>
      <c r="W239" s="85" t="n">
        <f aca="false">IF(ISBLANK(VLOOKUP(B239,EffDate,4,FALSE())),"na",VLOOKUP(B239,EffDate,4,FALSE()))</f>
        <v>37256</v>
      </c>
      <c r="X239" s="86" t="n">
        <f aca="false">+M239-S239-U239</f>
        <v>0</v>
      </c>
    </row>
    <row r="240" customFormat="false" ht="15" hidden="false" customHeight="true" outlineLevel="0" collapsed="false">
      <c r="A240" s="78" t="s">
        <v>8</v>
      </c>
      <c r="B240" s="78" t="s">
        <v>328</v>
      </c>
      <c r="C240" s="88" t="n">
        <v>4110301</v>
      </c>
      <c r="D240" s="90" t="s">
        <v>315</v>
      </c>
      <c r="E240" s="91" t="n">
        <v>37256</v>
      </c>
      <c r="F240" s="102" t="s">
        <v>315</v>
      </c>
      <c r="G240" s="107" t="n">
        <v>212218</v>
      </c>
      <c r="H240" s="107"/>
      <c r="I240" s="107" t="s">
        <v>523</v>
      </c>
      <c r="J240" s="103" t="str">
        <f aca="false">IF(ISNA(VLOOKUP(B240,cngdata,7,FALSE())),"na",VLOOKUP(B240,cngdata,7,FALSE()))</f>
        <v>GW</v>
      </c>
      <c r="K240" s="103" t="n">
        <f aca="false">IF(ISNA(VLOOKUP(B240,cngdata,13,FALSE())),"na",VLOOKUP(B240,cngdata,13,FALSE()))</f>
        <v>276</v>
      </c>
      <c r="L240" s="108" t="n">
        <f aca="false">+CNGPricing!H135</f>
        <v>2.42</v>
      </c>
      <c r="M240" s="103" t="n">
        <f aca="false">IF(ISNA(VLOOKUP(B240,cngdata,14,FALSE())),0,VLOOKUP(B240,cngdata,14,FALSE()))</f>
        <v>314</v>
      </c>
      <c r="O240" s="81" t="n">
        <v>0</v>
      </c>
      <c r="P240" s="82" t="n">
        <f aca="false">L240-O240</f>
        <v>2.42</v>
      </c>
      <c r="Q240" s="83" t="n">
        <f aca="false">M240*P240</f>
        <v>759.88</v>
      </c>
      <c r="R240" s="74"/>
      <c r="S240" s="79" t="n">
        <f aca="false">IF(ISNA(VLOOKUP(B240,SplitVol,5,FALSE())),0,VLOOKUP(B240,SplitVol,5,FALSE()))</f>
        <v>21</v>
      </c>
      <c r="T240" s="84" t="n">
        <f aca="false">+S240*L240</f>
        <v>50.82</v>
      </c>
      <c r="U240" s="79" t="n">
        <f aca="false">IF(ISNA(VLOOKUP(B240,SplitVol,6,FALSE())),0,VLOOKUP(B240,SplitVol,6,FALSE()))</f>
        <v>293</v>
      </c>
      <c r="V240" s="84" t="n">
        <f aca="false">+U240*L240</f>
        <v>709.06</v>
      </c>
      <c r="W240" s="85" t="n">
        <f aca="false">IF(ISBLANK(VLOOKUP(B240,EffDate,4,FALSE())),"na",VLOOKUP(B240,EffDate,4,FALSE()))</f>
        <v>37256</v>
      </c>
      <c r="X240" s="86" t="n">
        <f aca="false">+M240-S240-U240</f>
        <v>0</v>
      </c>
    </row>
    <row r="241" customFormat="false" ht="15" hidden="false" customHeight="true" outlineLevel="0" collapsed="false">
      <c r="A241" s="78" t="s">
        <v>8</v>
      </c>
      <c r="B241" s="78" t="s">
        <v>317</v>
      </c>
      <c r="C241" s="88" t="n">
        <v>4017601</v>
      </c>
      <c r="D241" s="90" t="s">
        <v>315</v>
      </c>
      <c r="E241" s="91" t="n">
        <v>37256</v>
      </c>
      <c r="F241" s="102" t="s">
        <v>315</v>
      </c>
      <c r="G241" s="107" t="n">
        <v>212218</v>
      </c>
      <c r="H241" s="107"/>
      <c r="I241" s="107" t="s">
        <v>523</v>
      </c>
      <c r="J241" s="103" t="str">
        <f aca="false">IF(ISNA(VLOOKUP(B241,cngdata,7,FALSE())),"na",VLOOKUP(B241,cngdata,7,FALSE()))</f>
        <v>GW</v>
      </c>
      <c r="K241" s="103" t="n">
        <f aca="false">IF(ISNA(VLOOKUP(B241,cngdata,13,FALSE())),"na",VLOOKUP(B241,cngdata,13,FALSE()))</f>
        <v>320</v>
      </c>
      <c r="L241" s="108" t="n">
        <f aca="false">+CNGPricing!H135</f>
        <v>2.42</v>
      </c>
      <c r="M241" s="103" t="n">
        <f aca="false">IF(ISNA(VLOOKUP(B241,cngdata,14,FALSE())),0,VLOOKUP(B241,cngdata,14,FALSE()))</f>
        <v>376</v>
      </c>
      <c r="O241" s="81" t="n">
        <v>0</v>
      </c>
      <c r="P241" s="82" t="n">
        <f aca="false">L241-O241</f>
        <v>2.42</v>
      </c>
      <c r="Q241" s="83" t="n">
        <f aca="false">M241*P241</f>
        <v>909.92</v>
      </c>
      <c r="R241" s="74"/>
      <c r="S241" s="79" t="n">
        <f aca="false">IF(ISNA(VLOOKUP(B241,SplitVol,5,FALSE())),0,VLOOKUP(B241,SplitVol,5,FALSE()))</f>
        <v>24</v>
      </c>
      <c r="T241" s="84" t="n">
        <f aca="false">+S241*L241</f>
        <v>58.08</v>
      </c>
      <c r="U241" s="79" t="n">
        <f aca="false">IF(ISNA(VLOOKUP(B241,SplitVol,6,FALSE())),0,VLOOKUP(B241,SplitVol,6,FALSE()))</f>
        <v>352</v>
      </c>
      <c r="V241" s="84" t="n">
        <f aca="false">+U241*L241</f>
        <v>851.84</v>
      </c>
      <c r="W241" s="85" t="n">
        <f aca="false">IF(ISBLANK(VLOOKUP(B241,EffDate,4,FALSE())),"na",VLOOKUP(B241,EffDate,4,FALSE()))</f>
        <v>37256</v>
      </c>
      <c r="X241" s="86" t="n">
        <f aca="false">+M241-S241-U241</f>
        <v>0</v>
      </c>
    </row>
    <row r="242" customFormat="false" ht="15" hidden="false" customHeight="true" outlineLevel="0" collapsed="false">
      <c r="A242" s="78" t="s">
        <v>8</v>
      </c>
      <c r="B242" s="78" t="s">
        <v>314</v>
      </c>
      <c r="C242" s="88" t="n">
        <v>4004301</v>
      </c>
      <c r="D242" s="90" t="s">
        <v>315</v>
      </c>
      <c r="E242" s="91" t="n">
        <v>37256</v>
      </c>
      <c r="F242" s="102" t="s">
        <v>315</v>
      </c>
      <c r="G242" s="107" t="n">
        <v>212218</v>
      </c>
      <c r="H242" s="107"/>
      <c r="I242" s="107" t="s">
        <v>523</v>
      </c>
      <c r="J242" s="103" t="str">
        <f aca="false">IF(ISNA(VLOOKUP(B242,cngdata,7,FALSE())),"na",VLOOKUP(B242,cngdata,7,FALSE()))</f>
        <v>GW</v>
      </c>
      <c r="K242" s="103" t="n">
        <f aca="false">IF(ISNA(VLOOKUP(B242,cngdata,13,FALSE())),"na",VLOOKUP(B242,cngdata,13,FALSE()))</f>
        <v>234</v>
      </c>
      <c r="L242" s="108" t="n">
        <f aca="false">+CNGPricing!H135</f>
        <v>2.42</v>
      </c>
      <c r="M242" s="103" t="n">
        <f aca="false">IF(ISNA(VLOOKUP(B242,cngdata,14,FALSE())),0,VLOOKUP(B242,cngdata,14,FALSE()))</f>
        <v>271</v>
      </c>
      <c r="O242" s="81" t="n">
        <v>0</v>
      </c>
      <c r="P242" s="82" t="n">
        <f aca="false">L242-O242</f>
        <v>2.42</v>
      </c>
      <c r="Q242" s="83" t="n">
        <f aca="false">M242*P242</f>
        <v>655.82</v>
      </c>
      <c r="R242" s="74"/>
      <c r="S242" s="79" t="n">
        <f aca="false">IF(ISNA(VLOOKUP(B242,SplitVol,5,FALSE())),0,VLOOKUP(B242,SplitVol,5,FALSE()))</f>
        <v>19</v>
      </c>
      <c r="T242" s="84" t="n">
        <f aca="false">+S242*L242</f>
        <v>45.98</v>
      </c>
      <c r="U242" s="79" t="n">
        <f aca="false">IF(ISNA(VLOOKUP(B242,SplitVol,6,FALSE())),0,VLOOKUP(B242,SplitVol,6,FALSE()))</f>
        <v>252</v>
      </c>
      <c r="V242" s="84" t="n">
        <f aca="false">+U242*L242</f>
        <v>609.84</v>
      </c>
      <c r="W242" s="85" t="n">
        <f aca="false">IF(ISBLANK(VLOOKUP(B242,EffDate,4,FALSE())),"na",VLOOKUP(B242,EffDate,4,FALSE()))</f>
        <v>37256</v>
      </c>
      <c r="X242" s="86" t="n">
        <f aca="false">+M242-S242-U242</f>
        <v>0</v>
      </c>
    </row>
    <row r="243" customFormat="false" ht="15" hidden="false" customHeight="true" outlineLevel="0" collapsed="false">
      <c r="A243" s="78" t="s">
        <v>8</v>
      </c>
      <c r="B243" s="78" t="s">
        <v>329</v>
      </c>
      <c r="C243" s="88" t="n">
        <v>4110401</v>
      </c>
      <c r="D243" s="90" t="s">
        <v>315</v>
      </c>
      <c r="E243" s="91" t="n">
        <v>37256</v>
      </c>
      <c r="F243" s="102" t="s">
        <v>315</v>
      </c>
      <c r="G243" s="107" t="n">
        <v>212218</v>
      </c>
      <c r="H243" s="107"/>
      <c r="I243" s="107" t="s">
        <v>523</v>
      </c>
      <c r="J243" s="103" t="str">
        <f aca="false">IF(ISNA(VLOOKUP(B243,cngdata,7,FALSE())),"na",VLOOKUP(B243,cngdata,7,FALSE()))</f>
        <v>GW</v>
      </c>
      <c r="K243" s="103" t="n">
        <f aca="false">IF(ISNA(VLOOKUP(B243,cngdata,13,FALSE())),"na",VLOOKUP(B243,cngdata,13,FALSE()))</f>
        <v>491</v>
      </c>
      <c r="L243" s="108" t="n">
        <f aca="false">+CNGPricing!H135</f>
        <v>2.42</v>
      </c>
      <c r="M243" s="103" t="n">
        <f aca="false">IF(ISNA(VLOOKUP(B243,cngdata,14,FALSE())),0,VLOOKUP(B243,cngdata,14,FALSE()))</f>
        <v>562</v>
      </c>
      <c r="O243" s="81" t="n">
        <v>0</v>
      </c>
      <c r="P243" s="82" t="n">
        <f aca="false">L243-O243</f>
        <v>2.42</v>
      </c>
      <c r="Q243" s="83" t="n">
        <f aca="false">M243*P243</f>
        <v>1360.04</v>
      </c>
      <c r="R243" s="74"/>
      <c r="S243" s="79" t="n">
        <f aca="false">IF(ISNA(VLOOKUP(B243,SplitVol,5,FALSE())),0,VLOOKUP(B243,SplitVol,5,FALSE()))</f>
        <v>42</v>
      </c>
      <c r="T243" s="84" t="n">
        <f aca="false">+S243*L243</f>
        <v>101.64</v>
      </c>
      <c r="U243" s="79" t="n">
        <f aca="false">IF(ISNA(VLOOKUP(B243,SplitVol,6,FALSE())),0,VLOOKUP(B243,SplitVol,6,FALSE()))</f>
        <v>520</v>
      </c>
      <c r="V243" s="84" t="n">
        <f aca="false">+U243*L243</f>
        <v>1258.4</v>
      </c>
      <c r="W243" s="85" t="n">
        <f aca="false">IF(ISBLANK(VLOOKUP(B243,EffDate,4,FALSE())),"na",VLOOKUP(B243,EffDate,4,FALSE()))</f>
        <v>37256</v>
      </c>
      <c r="X243" s="86" t="n">
        <f aca="false">+M243-S243-U243</f>
        <v>0</v>
      </c>
    </row>
    <row r="244" customFormat="false" ht="15" hidden="false" customHeight="true" outlineLevel="0" collapsed="false">
      <c r="A244" s="78" t="s">
        <v>8</v>
      </c>
      <c r="B244" s="78" t="s">
        <v>330</v>
      </c>
      <c r="C244" s="88" t="n">
        <v>4110701</v>
      </c>
      <c r="D244" s="90" t="s">
        <v>315</v>
      </c>
      <c r="E244" s="91" t="n">
        <v>37256</v>
      </c>
      <c r="F244" s="102" t="s">
        <v>315</v>
      </c>
      <c r="G244" s="107" t="n">
        <v>212218</v>
      </c>
      <c r="H244" s="107"/>
      <c r="I244" s="107" t="s">
        <v>523</v>
      </c>
      <c r="J244" s="103" t="str">
        <f aca="false">IF(ISNA(VLOOKUP(B244,cngdata,7,FALSE())),"na",VLOOKUP(B244,cngdata,7,FALSE()))</f>
        <v>GW</v>
      </c>
      <c r="K244" s="103" t="n">
        <f aca="false">IF(ISNA(VLOOKUP(B244,cngdata,13,FALSE())),"na",VLOOKUP(B244,cngdata,13,FALSE()))</f>
        <v>730</v>
      </c>
      <c r="L244" s="108" t="n">
        <f aca="false">+CNGPricing!H135</f>
        <v>2.42</v>
      </c>
      <c r="M244" s="103" t="n">
        <f aca="false">IF(ISNA(VLOOKUP(B244,cngdata,14,FALSE())),0,VLOOKUP(B244,cngdata,14,FALSE()))</f>
        <v>847</v>
      </c>
      <c r="O244" s="81" t="n">
        <v>0</v>
      </c>
      <c r="P244" s="82" t="n">
        <f aca="false">L244-O244</f>
        <v>2.42</v>
      </c>
      <c r="Q244" s="83" t="n">
        <f aca="false">M244*P244</f>
        <v>2049.74</v>
      </c>
      <c r="R244" s="74"/>
      <c r="S244" s="79" t="n">
        <f aca="false">IF(ISNA(VLOOKUP(B244,SplitVol,5,FALSE())),0,VLOOKUP(B244,SplitVol,5,FALSE()))</f>
        <v>59</v>
      </c>
      <c r="T244" s="84" t="n">
        <f aca="false">+S244*L244</f>
        <v>142.78</v>
      </c>
      <c r="U244" s="79" t="n">
        <f aca="false">IF(ISNA(VLOOKUP(B244,SplitVol,6,FALSE())),0,VLOOKUP(B244,SplitVol,6,FALSE()))</f>
        <v>788</v>
      </c>
      <c r="V244" s="84" t="n">
        <f aca="false">+U244*L244</f>
        <v>1906.96</v>
      </c>
      <c r="W244" s="85" t="n">
        <f aca="false">IF(ISBLANK(VLOOKUP(B244,EffDate,4,FALSE())),"na",VLOOKUP(B244,EffDate,4,FALSE()))</f>
        <v>37256</v>
      </c>
      <c r="X244" s="86" t="n">
        <f aca="false">+M244-S244-U244</f>
        <v>0</v>
      </c>
    </row>
    <row r="245" customFormat="false" ht="15" hidden="false" customHeight="true" outlineLevel="0" collapsed="false">
      <c r="A245" s="78" t="s">
        <v>8</v>
      </c>
      <c r="B245" s="78" t="s">
        <v>319</v>
      </c>
      <c r="C245" s="88" t="n">
        <v>4036701</v>
      </c>
      <c r="D245" s="90" t="s">
        <v>315</v>
      </c>
      <c r="E245" s="91" t="n">
        <v>37256</v>
      </c>
      <c r="F245" s="102" t="s">
        <v>315</v>
      </c>
      <c r="G245" s="107" t="n">
        <v>212218</v>
      </c>
      <c r="H245" s="107"/>
      <c r="I245" s="107" t="s">
        <v>523</v>
      </c>
      <c r="J245" s="103" t="str">
        <f aca="false">IF(ISNA(VLOOKUP(B245,cngdata,7,FALSE())),"na",VLOOKUP(B245,cngdata,7,FALSE()))</f>
        <v>GW</v>
      </c>
      <c r="K245" s="103" t="n">
        <f aca="false">IF(ISNA(VLOOKUP(B245,cngdata,13,FALSE())),"na",VLOOKUP(B245,cngdata,13,FALSE()))</f>
        <v>548</v>
      </c>
      <c r="L245" s="108" t="n">
        <f aca="false">+CNGPricing!H135</f>
        <v>2.42</v>
      </c>
      <c r="M245" s="103" t="n">
        <f aca="false">IF(ISNA(VLOOKUP(B245,cngdata,14,FALSE())),0,VLOOKUP(B245,cngdata,14,FALSE()))</f>
        <v>621</v>
      </c>
      <c r="O245" s="81" t="n">
        <v>0</v>
      </c>
      <c r="P245" s="82" t="n">
        <f aca="false">L245-O245</f>
        <v>2.42</v>
      </c>
      <c r="Q245" s="83" t="n">
        <f aca="false">M245*P245</f>
        <v>1502.82</v>
      </c>
      <c r="R245" s="74"/>
      <c r="S245" s="79" t="n">
        <f aca="false">IF(ISNA(VLOOKUP(B245,SplitVol,5,FALSE())),0,VLOOKUP(B245,SplitVol,5,FALSE()))</f>
        <v>40</v>
      </c>
      <c r="T245" s="84" t="n">
        <f aca="false">+S245*L245</f>
        <v>96.8</v>
      </c>
      <c r="U245" s="79" t="n">
        <f aca="false">IF(ISNA(VLOOKUP(B245,SplitVol,6,FALSE())),0,VLOOKUP(B245,SplitVol,6,FALSE()))</f>
        <v>581</v>
      </c>
      <c r="V245" s="84" t="n">
        <f aca="false">+U245*L245</f>
        <v>1406.02</v>
      </c>
      <c r="W245" s="85" t="n">
        <f aca="false">IF(ISBLANK(VLOOKUP(B245,EffDate,4,FALSE())),"na",VLOOKUP(B245,EffDate,4,FALSE()))</f>
        <v>37256</v>
      </c>
      <c r="X245" s="86" t="n">
        <f aca="false">+M245-S245-U245</f>
        <v>0</v>
      </c>
    </row>
    <row r="246" customFormat="false" ht="15" hidden="false" customHeight="true" outlineLevel="0" collapsed="false">
      <c r="A246" s="78" t="s">
        <v>8</v>
      </c>
      <c r="B246" s="78" t="s">
        <v>320</v>
      </c>
      <c r="C246" s="88" t="n">
        <v>4037201</v>
      </c>
      <c r="D246" s="90" t="s">
        <v>315</v>
      </c>
      <c r="E246" s="91" t="n">
        <v>37256</v>
      </c>
      <c r="F246" s="102" t="s">
        <v>596</v>
      </c>
      <c r="G246" s="107" t="n">
        <v>212218</v>
      </c>
      <c r="H246" s="107"/>
      <c r="I246" s="107" t="s">
        <v>523</v>
      </c>
      <c r="J246" s="103" t="str">
        <f aca="false">IF(ISNA(VLOOKUP(B246,cngdata,7,FALSE())),"na",VLOOKUP(B246,cngdata,7,FALSE()))</f>
        <v>GW</v>
      </c>
      <c r="K246" s="103" t="n">
        <f aca="false">IF(ISNA(VLOOKUP(B246,cngdata,13,FALSE())),"na",VLOOKUP(B246,cngdata,13,FALSE()))</f>
        <v>272</v>
      </c>
      <c r="L246" s="108" t="n">
        <f aca="false">+CNGPricing!H135</f>
        <v>2.42</v>
      </c>
      <c r="M246" s="103" t="n">
        <f aca="false">IF(ISNA(VLOOKUP(B246,cngdata,14,FALSE())),0,VLOOKUP(B246,cngdata,14,FALSE()))</f>
        <v>301</v>
      </c>
      <c r="O246" s="81" t="n">
        <v>0</v>
      </c>
      <c r="P246" s="82" t="n">
        <f aca="false">L246-O246</f>
        <v>2.42</v>
      </c>
      <c r="Q246" s="83" t="n">
        <f aca="false">M246*P246</f>
        <v>728.42</v>
      </c>
      <c r="R246" s="74"/>
      <c r="S246" s="79" t="n">
        <f aca="false">IF(ISNA(VLOOKUP(B246,SplitVol,5,FALSE())),0,VLOOKUP(B246,SplitVol,5,FALSE()))</f>
        <v>21</v>
      </c>
      <c r="T246" s="84" t="n">
        <f aca="false">+S246*L246</f>
        <v>50.82</v>
      </c>
      <c r="U246" s="79" t="n">
        <f aca="false">IF(ISNA(VLOOKUP(B246,SplitVol,6,FALSE())),0,VLOOKUP(B246,SplitVol,6,FALSE()))</f>
        <v>280</v>
      </c>
      <c r="V246" s="84" t="n">
        <f aca="false">+U246*L246</f>
        <v>677.6</v>
      </c>
      <c r="W246" s="85" t="n">
        <f aca="false">IF(ISBLANK(VLOOKUP(B246,EffDate,4,FALSE())),"na",VLOOKUP(B246,EffDate,4,FALSE()))</f>
        <v>37256</v>
      </c>
      <c r="X246" s="86" t="n">
        <f aca="false">+M246-S246-U246</f>
        <v>0</v>
      </c>
    </row>
    <row r="247" customFormat="false" ht="15" hidden="false" customHeight="true" outlineLevel="0" collapsed="false">
      <c r="A247" s="78" t="s">
        <v>8</v>
      </c>
      <c r="B247" s="78" t="s">
        <v>323</v>
      </c>
      <c r="C247" s="88" t="n">
        <v>4075401</v>
      </c>
      <c r="D247" s="90" t="s">
        <v>315</v>
      </c>
      <c r="E247" s="91" t="n">
        <v>37256</v>
      </c>
      <c r="F247" s="102" t="s">
        <v>315</v>
      </c>
      <c r="G247" s="107" t="n">
        <v>212218</v>
      </c>
      <c r="H247" s="107"/>
      <c r="I247" s="107" t="s">
        <v>523</v>
      </c>
      <c r="J247" s="103" t="str">
        <f aca="false">IF(ISNA(VLOOKUP(B247,cngdata,7,FALSE())),"na",VLOOKUP(B247,cngdata,7,FALSE()))</f>
        <v>GW</v>
      </c>
      <c r="K247" s="103" t="n">
        <f aca="false">IF(ISNA(VLOOKUP(B247,cngdata,13,FALSE())),"na",VLOOKUP(B247,cngdata,13,FALSE()))</f>
        <v>323</v>
      </c>
      <c r="L247" s="108" t="n">
        <f aca="false">+CNGPricing!H135</f>
        <v>2.42</v>
      </c>
      <c r="M247" s="103" t="n">
        <f aca="false">IF(ISNA(VLOOKUP(B247,cngdata,14,FALSE())),0,VLOOKUP(B247,cngdata,14,FALSE()))</f>
        <v>377</v>
      </c>
      <c r="O247" s="81" t="n">
        <v>0</v>
      </c>
      <c r="P247" s="82" t="n">
        <f aca="false">L247-O247</f>
        <v>2.42</v>
      </c>
      <c r="Q247" s="83" t="n">
        <f aca="false">M247*P247</f>
        <v>912.34</v>
      </c>
      <c r="R247" s="74"/>
      <c r="S247" s="79" t="n">
        <f aca="false">IF(ISNA(VLOOKUP(B247,SplitVol,5,FALSE())),0,VLOOKUP(B247,SplitVol,5,FALSE()))</f>
        <v>25</v>
      </c>
      <c r="T247" s="84" t="n">
        <f aca="false">+S247*L247</f>
        <v>60.5</v>
      </c>
      <c r="U247" s="79" t="n">
        <f aca="false">IF(ISNA(VLOOKUP(B247,SplitVol,6,FALSE())),0,VLOOKUP(B247,SplitVol,6,FALSE()))</f>
        <v>352</v>
      </c>
      <c r="V247" s="84" t="n">
        <f aca="false">+U247*L247</f>
        <v>851.84</v>
      </c>
      <c r="W247" s="85" t="n">
        <f aca="false">IF(ISBLANK(VLOOKUP(B247,EffDate,4,FALSE())),"na",VLOOKUP(B247,EffDate,4,FALSE()))</f>
        <v>37256</v>
      </c>
      <c r="X247" s="86" t="n">
        <f aca="false">+M247-S247-U247</f>
        <v>0</v>
      </c>
    </row>
    <row r="248" customFormat="false" ht="15" hidden="false" customHeight="true" outlineLevel="0" collapsed="false">
      <c r="A248" s="78" t="s">
        <v>8</v>
      </c>
      <c r="B248" s="78" t="s">
        <v>322</v>
      </c>
      <c r="C248" s="88" t="n">
        <v>4065201</v>
      </c>
      <c r="D248" s="90" t="s">
        <v>315</v>
      </c>
      <c r="E248" s="91" t="n">
        <v>37256</v>
      </c>
      <c r="F248" s="102" t="s">
        <v>315</v>
      </c>
      <c r="G248" s="107" t="n">
        <v>212218</v>
      </c>
      <c r="H248" s="107"/>
      <c r="I248" s="107" t="s">
        <v>523</v>
      </c>
      <c r="J248" s="103" t="str">
        <f aca="false">IF(ISNA(VLOOKUP(B248,cngdata,7,FALSE())),"na",VLOOKUP(B248,cngdata,7,FALSE()))</f>
        <v>GW</v>
      </c>
      <c r="K248" s="103" t="n">
        <f aca="false">IF(ISNA(VLOOKUP(B248,cngdata,13,FALSE())),"na",VLOOKUP(B248,cngdata,13,FALSE()))</f>
        <v>406</v>
      </c>
      <c r="L248" s="108" t="n">
        <f aca="false">+CNGPricing!H135</f>
        <v>2.42</v>
      </c>
      <c r="M248" s="103" t="n">
        <f aca="false">IF(ISNA(VLOOKUP(B248,cngdata,14,FALSE())),0,VLOOKUP(B248,cngdata,14,FALSE()))</f>
        <v>487</v>
      </c>
      <c r="O248" s="81" t="n">
        <v>0</v>
      </c>
      <c r="P248" s="82" t="n">
        <f aca="false">L248-O248</f>
        <v>2.42</v>
      </c>
      <c r="Q248" s="83" t="n">
        <f aca="false">M248*P248</f>
        <v>1178.54</v>
      </c>
      <c r="R248" s="74"/>
      <c r="S248" s="79" t="n">
        <f aca="false">IF(ISNA(VLOOKUP(B248,SplitVol,5,FALSE())),0,VLOOKUP(B248,SplitVol,5,FALSE()))</f>
        <v>33</v>
      </c>
      <c r="T248" s="84" t="n">
        <f aca="false">+S248*L248</f>
        <v>79.86</v>
      </c>
      <c r="U248" s="79" t="n">
        <f aca="false">IF(ISNA(VLOOKUP(B248,SplitVol,6,FALSE())),0,VLOOKUP(B248,SplitVol,6,FALSE()))</f>
        <v>454</v>
      </c>
      <c r="V248" s="84" t="n">
        <f aca="false">+U248*L248</f>
        <v>1098.68</v>
      </c>
      <c r="W248" s="85" t="n">
        <f aca="false">IF(ISBLANK(VLOOKUP(B248,EffDate,4,FALSE())),"na",VLOOKUP(B248,EffDate,4,FALSE()))</f>
        <v>37256</v>
      </c>
      <c r="X248" s="86" t="n">
        <f aca="false">+M248-S248-U248</f>
        <v>0</v>
      </c>
    </row>
    <row r="249" customFormat="false" ht="15" hidden="false" customHeight="true" outlineLevel="0" collapsed="false">
      <c r="A249" s="78" t="s">
        <v>8</v>
      </c>
      <c r="B249" s="78" t="s">
        <v>321</v>
      </c>
      <c r="C249" s="88" t="n">
        <v>4051201</v>
      </c>
      <c r="D249" s="90" t="s">
        <v>315</v>
      </c>
      <c r="E249" s="91" t="n">
        <v>37256</v>
      </c>
      <c r="F249" s="102" t="s">
        <v>315</v>
      </c>
      <c r="G249" s="107" t="n">
        <v>212218</v>
      </c>
      <c r="H249" s="107"/>
      <c r="I249" s="107" t="s">
        <v>523</v>
      </c>
      <c r="J249" s="103" t="str">
        <f aca="false">IF(ISNA(VLOOKUP(B249,cngdata,7,FALSE())),"na",VLOOKUP(B249,cngdata,7,FALSE()))</f>
        <v>GW</v>
      </c>
      <c r="K249" s="103" t="n">
        <f aca="false">IF(ISNA(VLOOKUP(B249,cngdata,13,FALSE())),"na",VLOOKUP(B249,cngdata,13,FALSE()))</f>
        <v>154</v>
      </c>
      <c r="L249" s="108" t="n">
        <f aca="false">+CNGPricing!H135</f>
        <v>2.42</v>
      </c>
      <c r="M249" s="103" t="n">
        <f aca="false">IF(ISNA(VLOOKUP(B249,cngdata,14,FALSE())),0,VLOOKUP(B249,cngdata,14,FALSE()))</f>
        <v>179</v>
      </c>
      <c r="O249" s="81" t="n">
        <v>0</v>
      </c>
      <c r="P249" s="82" t="n">
        <f aca="false">L249-O249</f>
        <v>2.42</v>
      </c>
      <c r="Q249" s="83" t="n">
        <f aca="false">M249*P249</f>
        <v>433.18</v>
      </c>
      <c r="R249" s="74"/>
      <c r="S249" s="79" t="n">
        <f aca="false">IF(ISNA(VLOOKUP(B249,SplitVol,5,FALSE())),0,VLOOKUP(B249,SplitVol,5,FALSE()))</f>
        <v>10</v>
      </c>
      <c r="T249" s="84" t="n">
        <f aca="false">+S249*L249</f>
        <v>24.2</v>
      </c>
      <c r="U249" s="79" t="n">
        <f aca="false">IF(ISNA(VLOOKUP(B249,SplitVol,6,FALSE())),0,VLOOKUP(B249,SplitVol,6,FALSE()))+1</f>
        <v>169</v>
      </c>
      <c r="V249" s="84" t="n">
        <f aca="false">+U249*L249</f>
        <v>408.98</v>
      </c>
      <c r="W249" s="85" t="n">
        <f aca="false">IF(ISBLANK(VLOOKUP(B249,EffDate,4,FALSE())),"na",VLOOKUP(B249,EffDate,4,FALSE()))</f>
        <v>37256</v>
      </c>
      <c r="X249" s="86" t="n">
        <f aca="false">+M249-S249-U249</f>
        <v>0</v>
      </c>
    </row>
    <row r="250" customFormat="false" ht="15" hidden="false" customHeight="true" outlineLevel="0" collapsed="false">
      <c r="A250" s="78" t="s">
        <v>8</v>
      </c>
      <c r="B250" s="78" t="s">
        <v>316</v>
      </c>
      <c r="C250" s="88" t="n">
        <v>4004801</v>
      </c>
      <c r="D250" s="90" t="s">
        <v>315</v>
      </c>
      <c r="E250" s="91" t="n">
        <v>37256</v>
      </c>
      <c r="F250" s="102" t="s">
        <v>315</v>
      </c>
      <c r="G250" s="107" t="n">
        <v>212218</v>
      </c>
      <c r="H250" s="107"/>
      <c r="I250" s="107" t="s">
        <v>523</v>
      </c>
      <c r="J250" s="103" t="str">
        <f aca="false">IF(ISNA(VLOOKUP(B250,cngdata,7,FALSE())),"na",VLOOKUP(B250,cngdata,7,FALSE()))</f>
        <v>GW</v>
      </c>
      <c r="K250" s="103" t="n">
        <f aca="false">IF(ISNA(VLOOKUP(B250,cngdata,13,FALSE())),"na",VLOOKUP(B250,cngdata,13,FALSE()))</f>
        <v>1129</v>
      </c>
      <c r="L250" s="108" t="n">
        <f aca="false">+CNGPricing!H135</f>
        <v>2.42</v>
      </c>
      <c r="M250" s="103" t="n">
        <f aca="false">IF(ISNA(VLOOKUP(B250,cngdata,14,FALSE())),0,VLOOKUP(B250,cngdata,14,FALSE()))</f>
        <v>1331</v>
      </c>
      <c r="O250" s="81" t="n">
        <v>0</v>
      </c>
      <c r="P250" s="82" t="n">
        <f aca="false">L250-O250</f>
        <v>2.42</v>
      </c>
      <c r="Q250" s="83" t="n">
        <f aca="false">M250*P250</f>
        <v>3221.02</v>
      </c>
      <c r="R250" s="74"/>
      <c r="S250" s="79" t="n">
        <f aca="false">IF(ISNA(VLOOKUP(B250,SplitVol,5,FALSE())),0,VLOOKUP(B250,SplitVol,5,FALSE()))</f>
        <v>71</v>
      </c>
      <c r="T250" s="84" t="n">
        <f aca="false">+S250*L250</f>
        <v>171.82</v>
      </c>
      <c r="U250" s="79" t="n">
        <f aca="false">IF(ISNA(VLOOKUP(B250,SplitVol,6,FALSE())),0,VLOOKUP(B250,SplitVol,6,FALSE()))</f>
        <v>1260</v>
      </c>
      <c r="V250" s="84" t="n">
        <f aca="false">+U250*L250</f>
        <v>3049.2</v>
      </c>
      <c r="W250" s="85" t="n">
        <f aca="false">IF(ISBLANK(VLOOKUP(B250,EffDate,4,FALSE())),"na",VLOOKUP(B250,EffDate,4,FALSE()))</f>
        <v>37256</v>
      </c>
      <c r="X250" s="86" t="n">
        <f aca="false">+M250-S250-U250</f>
        <v>0</v>
      </c>
    </row>
    <row r="251" customFormat="false" ht="15" hidden="false" customHeight="true" outlineLevel="0" collapsed="false">
      <c r="A251" s="4" t="s">
        <v>5</v>
      </c>
      <c r="B251" s="77" t="s">
        <v>333</v>
      </c>
      <c r="C251" s="4" t="n">
        <v>3086501</v>
      </c>
      <c r="D251" s="105" t="s">
        <v>334</v>
      </c>
      <c r="E251" s="106" t="n">
        <v>37228</v>
      </c>
      <c r="F251" s="4"/>
      <c r="G251" s="78" t="n">
        <v>68783</v>
      </c>
      <c r="H251" s="78" t="s">
        <v>597</v>
      </c>
      <c r="I251" s="78" t="s">
        <v>589</v>
      </c>
      <c r="J251" s="79" t="str">
        <f aca="false">IF(ISNA(VLOOKUP(B251,cngdata,7,FALSE())),"na",VLOOKUP(B251,cngdata,7,FALSE()))</f>
        <v>GW</v>
      </c>
      <c r="K251" s="79" t="n">
        <f aca="false">IF(ISNA(VLOOKUP(B251,cngdata,13,FALSE())),"na",VLOOKUP(B251,cngdata,13,FALSE()))</f>
        <v>3</v>
      </c>
      <c r="L251" s="80" t="n">
        <f aca="false">L$2*96%</f>
        <v>2.3232</v>
      </c>
      <c r="M251" s="79" t="n">
        <f aca="false">IF(ISNA(VLOOKUP(B251,cngdata,14,FALSE())),0,VLOOKUP(B251,cngdata,14,FALSE()))</f>
        <v>3</v>
      </c>
      <c r="O251" s="81" t="n">
        <v>0</v>
      </c>
      <c r="P251" s="82" t="n">
        <f aca="false">L251-O251</f>
        <v>2.3232</v>
      </c>
      <c r="Q251" s="83" t="n">
        <f aca="false">M251*P251</f>
        <v>6.9696</v>
      </c>
      <c r="R251" s="74"/>
      <c r="S251" s="79" t="n">
        <f aca="false">IF(ISNA(VLOOKUP(B251,SplitVol,5,FALSE())),0,VLOOKUP(B251,SplitVol,5,FALSE()))</f>
        <v>3</v>
      </c>
      <c r="T251" s="84" t="n">
        <f aca="false">+S251*L251</f>
        <v>6.9696</v>
      </c>
      <c r="U251" s="79" t="n">
        <f aca="false">IF(ISNA(VLOOKUP(B251,SplitVol,6,FALSE())),0,VLOOKUP(B251,SplitVol,6,FALSE()))</f>
        <v>0</v>
      </c>
      <c r="V251" s="84" t="n">
        <f aca="false">+U251*L251</f>
        <v>0</v>
      </c>
      <c r="W251" s="85" t="n">
        <f aca="false">IF(ISBLANK(VLOOKUP(B251,EffDate,4,FALSE())),"na",VLOOKUP(B251,EffDate,4,FALSE()))</f>
        <v>37228</v>
      </c>
      <c r="X251" s="86" t="n">
        <f aca="false">+M251-S251-U251</f>
        <v>0</v>
      </c>
    </row>
    <row r="252" customFormat="false" ht="15" hidden="false" customHeight="true" outlineLevel="0" collapsed="false">
      <c r="A252" s="4" t="s">
        <v>5</v>
      </c>
      <c r="B252" s="0" t="s">
        <v>335</v>
      </c>
      <c r="C252" s="0" t="n">
        <v>3584101</v>
      </c>
      <c r="D252" s="141" t="s">
        <v>336</v>
      </c>
      <c r="E252" s="106" t="n">
        <v>37228</v>
      </c>
      <c r="F252" s="16"/>
      <c r="G252" s="142" t="n">
        <v>30661</v>
      </c>
      <c r="H252" s="78" t="s">
        <v>525</v>
      </c>
      <c r="I252" s="105" t="s">
        <v>532</v>
      </c>
      <c r="J252" s="79" t="str">
        <f aca="false">IF(ISNA(VLOOKUP(B252,cngdata,7,FALSE())),"na",VLOOKUP(B252,cngdata,7,FALSE()))</f>
        <v>GW</v>
      </c>
      <c r="K252" s="79" t="n">
        <f aca="false">IF(ISNA(VLOOKUP(B252,cngdata,13,FALSE())),"na",VLOOKUP(B252,cngdata,13,FALSE()))</f>
        <v>12</v>
      </c>
      <c r="L252" s="95" t="n">
        <f aca="false">$L$2-0.01</f>
        <v>2.41</v>
      </c>
      <c r="M252" s="79" t="n">
        <f aca="false">IF(ISNA(VLOOKUP(B252,cngdata,14,FALSE())),0,VLOOKUP(B252,cngdata,14,FALSE()))</f>
        <v>12</v>
      </c>
      <c r="O252" s="81" t="n">
        <v>0</v>
      </c>
      <c r="P252" s="82" t="n">
        <f aca="false">L252-O252</f>
        <v>2.41</v>
      </c>
      <c r="Q252" s="83" t="n">
        <f aca="false">M252*P252</f>
        <v>28.92</v>
      </c>
      <c r="R252" s="74"/>
      <c r="S252" s="79" t="n">
        <f aca="false">IF(ISNA(VLOOKUP(B252,SplitVol,5,FALSE())),0,VLOOKUP(B252,SplitVol,5,FALSE()))</f>
        <v>12</v>
      </c>
      <c r="T252" s="84" t="n">
        <f aca="false">+S252*L252</f>
        <v>28.92</v>
      </c>
      <c r="U252" s="79" t="n">
        <f aca="false">IF(ISNA(VLOOKUP(B252,SplitVol,6,FALSE())),0,VLOOKUP(B252,SplitVol,6,FALSE()))</f>
        <v>0</v>
      </c>
      <c r="V252" s="84" t="n">
        <f aca="false">+U252*L252</f>
        <v>0</v>
      </c>
      <c r="W252" s="85" t="n">
        <f aca="false">IF(ISBLANK(VLOOKUP(B252,EffDate,4,FALSE())),"na",VLOOKUP(B252,EffDate,4,FALSE()))</f>
        <v>37228</v>
      </c>
      <c r="X252" s="86" t="n">
        <f aca="false">+M252-S252-U252</f>
        <v>0</v>
      </c>
    </row>
    <row r="253" customFormat="false" ht="15" hidden="false" customHeight="true" outlineLevel="0" collapsed="false">
      <c r="A253" s="4" t="s">
        <v>5</v>
      </c>
      <c r="B253" s="0" t="s">
        <v>337</v>
      </c>
      <c r="C253" s="0" t="n">
        <v>3584201</v>
      </c>
      <c r="D253" s="141" t="s">
        <v>336</v>
      </c>
      <c r="E253" s="106" t="n">
        <v>37228</v>
      </c>
      <c r="F253" s="16"/>
      <c r="G253" s="142" t="n">
        <v>30661</v>
      </c>
      <c r="H253" s="78" t="s">
        <v>525</v>
      </c>
      <c r="I253" s="105" t="s">
        <v>532</v>
      </c>
      <c r="J253" s="79" t="str">
        <f aca="false">IF(ISNA(VLOOKUP(B253,cngdata,7,FALSE())),"na",VLOOKUP(B253,cngdata,7,FALSE()))</f>
        <v>GW</v>
      </c>
      <c r="K253" s="79" t="n">
        <f aca="false">IF(ISNA(VLOOKUP(B253,cngdata,13,FALSE())),"na",VLOOKUP(B253,cngdata,13,FALSE()))</f>
        <v>36</v>
      </c>
      <c r="L253" s="95" t="n">
        <f aca="false">$L$2-0.01</f>
        <v>2.41</v>
      </c>
      <c r="M253" s="79" t="n">
        <f aca="false">IF(ISNA(VLOOKUP(B253,cngdata,14,FALSE())),0,VLOOKUP(B253,cngdata,14,FALSE()))</f>
        <v>41</v>
      </c>
      <c r="O253" s="81" t="n">
        <v>0</v>
      </c>
      <c r="P253" s="82" t="n">
        <f aca="false">L253-O253</f>
        <v>2.41</v>
      </c>
      <c r="Q253" s="83" t="n">
        <f aca="false">M253*P253</f>
        <v>98.81</v>
      </c>
      <c r="R253" s="74"/>
      <c r="S253" s="79" t="n">
        <f aca="false">IF(ISNA(VLOOKUP(B253,SplitVol,5,FALSE())),0,VLOOKUP(B253,SplitVol,5,FALSE()))</f>
        <v>24</v>
      </c>
      <c r="T253" s="84" t="n">
        <f aca="false">+S253*L253</f>
        <v>57.84</v>
      </c>
      <c r="U253" s="79" t="n">
        <f aca="false">IF(ISNA(VLOOKUP(B253,SplitVol,6,FALSE())),0,VLOOKUP(B253,SplitVol,6,FALSE()))+1</f>
        <v>17</v>
      </c>
      <c r="V253" s="84" t="n">
        <f aca="false">+U253*L253</f>
        <v>40.97</v>
      </c>
      <c r="W253" s="85" t="n">
        <f aca="false">IF(ISBLANK(VLOOKUP(B253,EffDate,4,FALSE())),"na",VLOOKUP(B253,EffDate,4,FALSE()))</f>
        <v>37228</v>
      </c>
      <c r="X253" s="86" t="n">
        <f aca="false">+M253-S253-U253</f>
        <v>0</v>
      </c>
    </row>
    <row r="254" customFormat="false" ht="15" hidden="false" customHeight="true" outlineLevel="0" collapsed="false">
      <c r="A254" s="4" t="s">
        <v>5</v>
      </c>
      <c r="B254" s="77" t="s">
        <v>339</v>
      </c>
      <c r="C254" s="4" t="n">
        <v>4362001</v>
      </c>
      <c r="D254" s="141" t="s">
        <v>336</v>
      </c>
      <c r="E254" s="106" t="n">
        <v>37228</v>
      </c>
      <c r="F254" s="16"/>
      <c r="G254" s="142" t="n">
        <v>30661</v>
      </c>
      <c r="H254" s="78" t="s">
        <v>525</v>
      </c>
      <c r="I254" s="105" t="s">
        <v>532</v>
      </c>
      <c r="J254" s="79" t="str">
        <f aca="false">IF(ISNA(VLOOKUP(B254,cngdata,7,FALSE())),"na",VLOOKUP(B254,cngdata,7,FALSE()))</f>
        <v>GW</v>
      </c>
      <c r="K254" s="79" t="n">
        <f aca="false">IF(ISNA(VLOOKUP(B254,cngdata,13,FALSE())),"na",VLOOKUP(B254,cngdata,13,FALSE()))</f>
        <v>44</v>
      </c>
      <c r="L254" s="95" t="n">
        <f aca="false">$L$2-0.01</f>
        <v>2.41</v>
      </c>
      <c r="M254" s="79" t="n">
        <f aca="false">IF(ISNA(VLOOKUP(B254,cngdata,14,FALSE())),0,VLOOKUP(B254,cngdata,14,FALSE()))</f>
        <v>62</v>
      </c>
      <c r="O254" s="81" t="n">
        <v>0</v>
      </c>
      <c r="P254" s="82" t="n">
        <f aca="false">L254-O254</f>
        <v>2.41</v>
      </c>
      <c r="Q254" s="83" t="n">
        <f aca="false">M254*P254</f>
        <v>149.42</v>
      </c>
      <c r="R254" s="74"/>
      <c r="S254" s="79" t="n">
        <f aca="false">IF(ISNA(VLOOKUP(B254,SplitVol,5,FALSE())),0,VLOOKUP(B254,SplitVol,5,FALSE()))</f>
        <v>54</v>
      </c>
      <c r="T254" s="84" t="n">
        <f aca="false">+S254*L254</f>
        <v>130.14</v>
      </c>
      <c r="U254" s="79" t="n">
        <f aca="false">IF(ISNA(VLOOKUP(B254,SplitVol,6,FALSE())),0,VLOOKUP(B254,SplitVol,6,FALSE()))</f>
        <v>8</v>
      </c>
      <c r="V254" s="84" t="n">
        <f aca="false">+U254*L254</f>
        <v>19.28</v>
      </c>
      <c r="W254" s="85" t="n">
        <f aca="false">IF(ISBLANK(VLOOKUP(B254,EffDate,4,FALSE())),"na",VLOOKUP(B254,EffDate,4,FALSE()))</f>
        <v>37228</v>
      </c>
      <c r="X254" s="86" t="n">
        <f aca="false">+M254-S254-U254</f>
        <v>0</v>
      </c>
    </row>
    <row r="255" customFormat="false" ht="15" hidden="false" customHeight="true" outlineLevel="0" collapsed="false">
      <c r="A255" s="4" t="s">
        <v>5</v>
      </c>
      <c r="B255" s="77" t="s">
        <v>338</v>
      </c>
      <c r="C255" s="4" t="n">
        <v>4106301</v>
      </c>
      <c r="D255" s="141" t="s">
        <v>336</v>
      </c>
      <c r="E255" s="106" t="n">
        <v>37228</v>
      </c>
      <c r="F255" s="16"/>
      <c r="G255" s="142" t="n">
        <v>30661</v>
      </c>
      <c r="H255" s="78" t="s">
        <v>525</v>
      </c>
      <c r="I255" s="105" t="s">
        <v>532</v>
      </c>
      <c r="J255" s="79" t="str">
        <f aca="false">IF(ISNA(VLOOKUP(B255,cngdata,7,FALSE())),"na",VLOOKUP(B255,cngdata,7,FALSE()))</f>
        <v>GW</v>
      </c>
      <c r="K255" s="79" t="n">
        <f aca="false">IF(ISNA(VLOOKUP(B255,cngdata,13,FALSE())),"na",VLOOKUP(B255,cngdata,13,FALSE()))</f>
        <v>23</v>
      </c>
      <c r="L255" s="95" t="n">
        <f aca="false">$L$2-0.01</f>
        <v>2.41</v>
      </c>
      <c r="M255" s="79" t="n">
        <f aca="false">IF(ISNA(VLOOKUP(B255,cngdata,14,FALSE())),0,VLOOKUP(B255,cngdata,14,FALSE()))</f>
        <v>28</v>
      </c>
      <c r="O255" s="81" t="n">
        <v>0</v>
      </c>
      <c r="P255" s="82" t="n">
        <f aca="false">L255-O255</f>
        <v>2.41</v>
      </c>
      <c r="Q255" s="83" t="n">
        <f aca="false">M255*P255</f>
        <v>67.48</v>
      </c>
      <c r="R255" s="74"/>
      <c r="S255" s="79" t="n">
        <f aca="false">IF(ISNA(VLOOKUP(B255,SplitVol,5,FALSE())),0,VLOOKUP(B255,SplitVol,5,FALSE()))</f>
        <v>28</v>
      </c>
      <c r="T255" s="84" t="n">
        <f aca="false">+S255*L255</f>
        <v>67.48</v>
      </c>
      <c r="U255" s="79" t="n">
        <f aca="false">IF(ISNA(VLOOKUP(B255,SplitVol,6,FALSE())),0,VLOOKUP(B255,SplitVol,6,FALSE()))</f>
        <v>0</v>
      </c>
      <c r="V255" s="84" t="n">
        <f aca="false">+U255*L255</f>
        <v>0</v>
      </c>
      <c r="W255" s="85" t="n">
        <f aca="false">IF(ISBLANK(VLOOKUP(B255,EffDate,4,FALSE())),"na",VLOOKUP(B255,EffDate,4,FALSE()))</f>
        <v>37228</v>
      </c>
      <c r="X255" s="86" t="n">
        <f aca="false">+M255-S255-U255</f>
        <v>0</v>
      </c>
    </row>
    <row r="256" customFormat="false" ht="15" hidden="false" customHeight="true" outlineLevel="0" collapsed="false">
      <c r="A256" s="4" t="s">
        <v>26</v>
      </c>
      <c r="B256" s="77" t="s">
        <v>340</v>
      </c>
      <c r="C256" s="4" t="s">
        <v>26</v>
      </c>
      <c r="D256" s="4" t="s">
        <v>341</v>
      </c>
      <c r="E256" s="72" t="s">
        <v>517</v>
      </c>
      <c r="F256" s="4"/>
      <c r="G256" s="78" t="n">
        <v>70062</v>
      </c>
      <c r="H256" s="78" t="s">
        <v>598</v>
      </c>
      <c r="I256" s="78" t="s">
        <v>599</v>
      </c>
      <c r="J256" s="79" t="str">
        <f aca="false">IF(ISNA(VLOOKUP(B256,cngdata,7,FALSE())),"na",VLOOKUP(B256,cngdata,7,FALSE()))</f>
        <v>na</v>
      </c>
      <c r="K256" s="79" t="str">
        <f aca="false">IF(ISNA(VLOOKUP(B256,cngdata,13,FALSE())),"na",VLOOKUP(B256,cngdata,13,FALSE()))</f>
        <v>na</v>
      </c>
      <c r="L256" s="80" t="n">
        <f aca="false">L$3*98%</f>
        <v>2.352</v>
      </c>
      <c r="M256" s="79" t="n">
        <f aca="false">IF(ISNA(VLOOKUP(B256,cngdata,14,FALSE())),0,VLOOKUP(B256,cngdata,14,FALSE()))</f>
        <v>0</v>
      </c>
      <c r="O256" s="81" t="n">
        <v>0</v>
      </c>
      <c r="P256" s="82" t="n">
        <f aca="false">L256-O256</f>
        <v>2.352</v>
      </c>
      <c r="Q256" s="83" t="n">
        <f aca="false">M256*P256</f>
        <v>0</v>
      </c>
      <c r="R256" s="74"/>
      <c r="S256" s="79" t="n">
        <f aca="false">IF(ISNA(VLOOKUP(B256,SplitVol,5,FALSE())),0,VLOOKUP(B256,SplitVol,5,FALSE()))</f>
        <v>0</v>
      </c>
      <c r="T256" s="84" t="n">
        <f aca="false">+S256*L256</f>
        <v>0</v>
      </c>
      <c r="U256" s="79" t="n">
        <f aca="false">IF(ISNA(VLOOKUP(B256,SplitVol,6,FALSE())),0,VLOOKUP(B256,SplitVol,6,FALSE()))</f>
        <v>0</v>
      </c>
      <c r="V256" s="84" t="n">
        <f aca="false">+U256*L256</f>
        <v>0</v>
      </c>
      <c r="W256" s="85" t="str">
        <f aca="false">IF(ISBLANK(VLOOKUP(B256,EffDate,4,FALSE())),"na",VLOOKUP(B256,EffDate,4,FALSE()))</f>
        <v>na</v>
      </c>
      <c r="X256" s="86" t="n">
        <f aca="false">+M256-S256-U256</f>
        <v>0</v>
      </c>
    </row>
    <row r="257" customFormat="false" ht="15" hidden="false" customHeight="true" outlineLevel="0" collapsed="false">
      <c r="A257" s="4" t="s">
        <v>26</v>
      </c>
      <c r="B257" s="77" t="s">
        <v>342</v>
      </c>
      <c r="C257" s="4" t="s">
        <v>26</v>
      </c>
      <c r="D257" s="4" t="s">
        <v>341</v>
      </c>
      <c r="E257" s="72" t="s">
        <v>517</v>
      </c>
      <c r="F257" s="4"/>
      <c r="G257" s="78" t="n">
        <v>70062</v>
      </c>
      <c r="H257" s="78" t="s">
        <v>598</v>
      </c>
      <c r="I257" s="78" t="s">
        <v>599</v>
      </c>
      <c r="J257" s="79" t="str">
        <f aca="false">IF(ISNA(VLOOKUP(B257,cngdata,7,FALSE())),"na",VLOOKUP(B257,cngdata,7,FALSE()))</f>
        <v>na</v>
      </c>
      <c r="K257" s="79" t="str">
        <f aca="false">IF(ISNA(VLOOKUP(B257,cngdata,13,FALSE())),"na",VLOOKUP(B257,cngdata,13,FALSE()))</f>
        <v>na</v>
      </c>
      <c r="L257" s="80" t="n">
        <f aca="false">L$3*98%</f>
        <v>2.352</v>
      </c>
      <c r="M257" s="79" t="n">
        <f aca="false">IF(ISNA(VLOOKUP(B257,cngdata,14,FALSE())),0,VLOOKUP(B257,cngdata,14,FALSE()))</f>
        <v>0</v>
      </c>
      <c r="O257" s="81" t="n">
        <v>0</v>
      </c>
      <c r="P257" s="82" t="n">
        <f aca="false">L257-O257</f>
        <v>2.352</v>
      </c>
      <c r="Q257" s="83" t="n">
        <f aca="false">M257*P257</f>
        <v>0</v>
      </c>
      <c r="R257" s="74"/>
      <c r="S257" s="79" t="n">
        <f aca="false">IF(ISNA(VLOOKUP(B257,SplitVol,5,FALSE())),0,VLOOKUP(B257,SplitVol,5,FALSE()))</f>
        <v>0</v>
      </c>
      <c r="T257" s="84" t="n">
        <f aca="false">+S257*L257</f>
        <v>0</v>
      </c>
      <c r="U257" s="79" t="n">
        <f aca="false">IF(ISNA(VLOOKUP(B257,SplitVol,6,FALSE())),0,VLOOKUP(B257,SplitVol,6,FALSE()))</f>
        <v>0</v>
      </c>
      <c r="V257" s="84" t="n">
        <f aca="false">+U257*L257</f>
        <v>0</v>
      </c>
      <c r="W257" s="85" t="str">
        <f aca="false">IF(ISBLANK(VLOOKUP(B257,EffDate,4,FALSE())),"na",VLOOKUP(B257,EffDate,4,FALSE()))</f>
        <v>na</v>
      </c>
      <c r="X257" s="86" t="n">
        <f aca="false">+M257-S257-U257</f>
        <v>0</v>
      </c>
    </row>
    <row r="258" customFormat="false" ht="15" hidden="false" customHeight="true" outlineLevel="0" collapsed="false">
      <c r="A258" s="4" t="s">
        <v>26</v>
      </c>
      <c r="B258" s="77" t="s">
        <v>343</v>
      </c>
      <c r="C258" s="4" t="s">
        <v>26</v>
      </c>
      <c r="D258" s="4" t="s">
        <v>341</v>
      </c>
      <c r="E258" s="72" t="s">
        <v>517</v>
      </c>
      <c r="F258" s="4"/>
      <c r="G258" s="78" t="n">
        <v>70062</v>
      </c>
      <c r="H258" s="78" t="s">
        <v>598</v>
      </c>
      <c r="I258" s="78" t="s">
        <v>599</v>
      </c>
      <c r="J258" s="79" t="str">
        <f aca="false">IF(ISNA(VLOOKUP(B258,cngdata,7,FALSE())),"na",VLOOKUP(B258,cngdata,7,FALSE()))</f>
        <v>na</v>
      </c>
      <c r="K258" s="79" t="str">
        <f aca="false">IF(ISNA(VLOOKUP(B258,cngdata,13,FALSE())),"na",VLOOKUP(B258,cngdata,13,FALSE()))</f>
        <v>na</v>
      </c>
      <c r="L258" s="80" t="n">
        <f aca="false">L$3*98%</f>
        <v>2.352</v>
      </c>
      <c r="M258" s="79" t="n">
        <f aca="false">IF(ISNA(VLOOKUP(B258,cngdata,14,FALSE())),0,VLOOKUP(B258,cngdata,14,FALSE()))</f>
        <v>0</v>
      </c>
      <c r="O258" s="81" t="n">
        <v>0</v>
      </c>
      <c r="P258" s="82" t="n">
        <f aca="false">L258-O258</f>
        <v>2.352</v>
      </c>
      <c r="Q258" s="83" t="n">
        <f aca="false">M258*P258</f>
        <v>0</v>
      </c>
      <c r="R258" s="74"/>
      <c r="S258" s="79" t="n">
        <f aca="false">IF(ISNA(VLOOKUP(B258,SplitVol,5,FALSE())),0,VLOOKUP(B258,SplitVol,5,FALSE()))</f>
        <v>0</v>
      </c>
      <c r="T258" s="84" t="n">
        <f aca="false">+S258*L258</f>
        <v>0</v>
      </c>
      <c r="U258" s="79" t="n">
        <f aca="false">IF(ISNA(VLOOKUP(B258,SplitVol,6,FALSE())),0,VLOOKUP(B258,SplitVol,6,FALSE()))</f>
        <v>0</v>
      </c>
      <c r="V258" s="84" t="n">
        <f aca="false">+U258*L258</f>
        <v>0</v>
      </c>
      <c r="W258" s="85" t="str">
        <f aca="false">IF(ISBLANK(VLOOKUP(B258,EffDate,4,FALSE())),"na",VLOOKUP(B258,EffDate,4,FALSE()))</f>
        <v>na</v>
      </c>
      <c r="X258" s="86" t="n">
        <f aca="false">+M258-S258-U258</f>
        <v>0</v>
      </c>
    </row>
    <row r="259" customFormat="false" ht="15" hidden="false" customHeight="true" outlineLevel="0" collapsed="false">
      <c r="A259" s="4" t="s">
        <v>26</v>
      </c>
      <c r="B259" s="77" t="s">
        <v>344</v>
      </c>
      <c r="C259" s="4" t="s">
        <v>26</v>
      </c>
      <c r="D259" s="4" t="s">
        <v>341</v>
      </c>
      <c r="E259" s="72" t="s">
        <v>517</v>
      </c>
      <c r="F259" s="4"/>
      <c r="G259" s="78" t="n">
        <v>70062</v>
      </c>
      <c r="H259" s="78" t="s">
        <v>598</v>
      </c>
      <c r="I259" s="78" t="s">
        <v>599</v>
      </c>
      <c r="J259" s="79" t="str">
        <f aca="false">IF(ISNA(VLOOKUP(B259,cngdata,7,FALSE())),"na",VLOOKUP(B259,cngdata,7,FALSE()))</f>
        <v>na</v>
      </c>
      <c r="K259" s="79" t="str">
        <f aca="false">IF(ISNA(VLOOKUP(B259,cngdata,13,FALSE())),"na",VLOOKUP(B259,cngdata,13,FALSE()))</f>
        <v>na</v>
      </c>
      <c r="L259" s="80" t="n">
        <f aca="false">L$3*98%</f>
        <v>2.352</v>
      </c>
      <c r="M259" s="79" t="n">
        <f aca="false">IF(ISNA(VLOOKUP(B259,cngdata,14,FALSE())),0,VLOOKUP(B259,cngdata,14,FALSE()))</f>
        <v>0</v>
      </c>
      <c r="O259" s="81" t="n">
        <v>0</v>
      </c>
      <c r="P259" s="82" t="n">
        <f aca="false">L259-O259</f>
        <v>2.352</v>
      </c>
      <c r="Q259" s="83" t="n">
        <f aca="false">M259*P259</f>
        <v>0</v>
      </c>
      <c r="R259" s="74"/>
      <c r="S259" s="79" t="n">
        <f aca="false">IF(ISNA(VLOOKUP(B259,SplitVol,5,FALSE())),0,VLOOKUP(B259,SplitVol,5,FALSE()))</f>
        <v>0</v>
      </c>
      <c r="T259" s="84" t="n">
        <f aca="false">+S259*L259</f>
        <v>0</v>
      </c>
      <c r="U259" s="79" t="n">
        <f aca="false">IF(ISNA(VLOOKUP(B259,SplitVol,6,FALSE())),0,VLOOKUP(B259,SplitVol,6,FALSE()))</f>
        <v>0</v>
      </c>
      <c r="V259" s="84" t="n">
        <f aca="false">+U259*L259</f>
        <v>0</v>
      </c>
      <c r="W259" s="85" t="str">
        <f aca="false">IF(ISBLANK(VLOOKUP(B259,EffDate,4,FALSE())),"na",VLOOKUP(B259,EffDate,4,FALSE()))</f>
        <v>na</v>
      </c>
      <c r="X259" s="86" t="n">
        <f aca="false">+M259-S259-U259</f>
        <v>0</v>
      </c>
    </row>
    <row r="260" customFormat="false" ht="15" hidden="false" customHeight="true" outlineLevel="0" collapsed="false">
      <c r="A260" s="4" t="s">
        <v>26</v>
      </c>
      <c r="B260" s="77" t="s">
        <v>345</v>
      </c>
      <c r="C260" s="4" t="s">
        <v>26</v>
      </c>
      <c r="D260" s="4" t="s">
        <v>341</v>
      </c>
      <c r="E260" s="72" t="s">
        <v>517</v>
      </c>
      <c r="F260" s="4"/>
      <c r="G260" s="78" t="n">
        <v>70062</v>
      </c>
      <c r="H260" s="78" t="s">
        <v>598</v>
      </c>
      <c r="I260" s="78" t="s">
        <v>599</v>
      </c>
      <c r="J260" s="79" t="str">
        <f aca="false">IF(ISNA(VLOOKUP(B260,cngdata,7,FALSE())),"na",VLOOKUP(B260,cngdata,7,FALSE()))</f>
        <v>na</v>
      </c>
      <c r="K260" s="79" t="str">
        <f aca="false">IF(ISNA(VLOOKUP(B260,cngdata,13,FALSE())),"na",VLOOKUP(B260,cngdata,13,FALSE()))</f>
        <v>na</v>
      </c>
      <c r="L260" s="80" t="n">
        <f aca="false">L$3*98%</f>
        <v>2.352</v>
      </c>
      <c r="M260" s="79" t="n">
        <f aca="false">IF(ISNA(VLOOKUP(B260,cngdata,14,FALSE())),0,VLOOKUP(B260,cngdata,14,FALSE()))</f>
        <v>0</v>
      </c>
      <c r="O260" s="81" t="n">
        <v>0</v>
      </c>
      <c r="P260" s="82" t="n">
        <f aca="false">L260-O260</f>
        <v>2.352</v>
      </c>
      <c r="Q260" s="83" t="n">
        <f aca="false">M260*P260</f>
        <v>0</v>
      </c>
      <c r="R260" s="74"/>
      <c r="S260" s="79" t="n">
        <f aca="false">IF(ISNA(VLOOKUP(B260,SplitVol,5,FALSE())),0,VLOOKUP(B260,SplitVol,5,FALSE()))</f>
        <v>0</v>
      </c>
      <c r="T260" s="84" t="n">
        <f aca="false">+S260*L260</f>
        <v>0</v>
      </c>
      <c r="U260" s="79" t="n">
        <f aca="false">IF(ISNA(VLOOKUP(B260,SplitVol,6,FALSE())),0,VLOOKUP(B260,SplitVol,6,FALSE()))</f>
        <v>0</v>
      </c>
      <c r="V260" s="84" t="n">
        <f aca="false">+U260*L260</f>
        <v>0</v>
      </c>
      <c r="W260" s="85" t="str">
        <f aca="false">IF(ISBLANK(VLOOKUP(B260,EffDate,4,FALSE())),"na",VLOOKUP(B260,EffDate,4,FALSE()))</f>
        <v>na</v>
      </c>
      <c r="X260" s="86" t="n">
        <f aca="false">+M260-S260-U260</f>
        <v>0</v>
      </c>
    </row>
    <row r="261" customFormat="false" ht="15" hidden="false" customHeight="true" outlineLevel="0" collapsed="false">
      <c r="A261" s="4" t="s">
        <v>26</v>
      </c>
      <c r="B261" s="77" t="s">
        <v>346</v>
      </c>
      <c r="C261" s="4" t="s">
        <v>26</v>
      </c>
      <c r="D261" s="4" t="s">
        <v>341</v>
      </c>
      <c r="E261" s="72" t="s">
        <v>517</v>
      </c>
      <c r="F261" s="4"/>
      <c r="G261" s="78" t="n">
        <v>70062</v>
      </c>
      <c r="H261" s="78" t="s">
        <v>598</v>
      </c>
      <c r="I261" s="78" t="s">
        <v>599</v>
      </c>
      <c r="J261" s="79" t="str">
        <f aca="false">IF(ISNA(VLOOKUP(B261,cngdata,7,FALSE())),"na",VLOOKUP(B261,cngdata,7,FALSE()))</f>
        <v>na</v>
      </c>
      <c r="K261" s="79" t="str">
        <f aca="false">IF(ISNA(VLOOKUP(B261,cngdata,13,FALSE())),"na",VLOOKUP(B261,cngdata,13,FALSE()))</f>
        <v>na</v>
      </c>
      <c r="L261" s="80" t="n">
        <f aca="false">L$3*98%</f>
        <v>2.352</v>
      </c>
      <c r="M261" s="79" t="n">
        <f aca="false">IF(ISNA(VLOOKUP(B261,cngdata,14,FALSE())),0,VLOOKUP(B261,cngdata,14,FALSE()))</f>
        <v>0</v>
      </c>
      <c r="O261" s="81" t="n">
        <v>0</v>
      </c>
      <c r="P261" s="82" t="n">
        <f aca="false">L261-O261</f>
        <v>2.352</v>
      </c>
      <c r="Q261" s="83" t="n">
        <f aca="false">M261*P261</f>
        <v>0</v>
      </c>
      <c r="R261" s="74"/>
      <c r="S261" s="79" t="n">
        <f aca="false">IF(ISNA(VLOOKUP(B261,SplitVol,5,FALSE())),0,VLOOKUP(B261,SplitVol,5,FALSE()))</f>
        <v>0</v>
      </c>
      <c r="T261" s="84" t="n">
        <f aca="false">+S261*L261</f>
        <v>0</v>
      </c>
      <c r="U261" s="79" t="n">
        <f aca="false">IF(ISNA(VLOOKUP(B261,SplitVol,6,FALSE())),0,VLOOKUP(B261,SplitVol,6,FALSE()))</f>
        <v>0</v>
      </c>
      <c r="V261" s="84" t="n">
        <f aca="false">+U261*L261</f>
        <v>0</v>
      </c>
      <c r="W261" s="85" t="str">
        <f aca="false">IF(ISBLANK(VLOOKUP(B261,EffDate,4,FALSE())),"na",VLOOKUP(B261,EffDate,4,FALSE()))</f>
        <v>na</v>
      </c>
      <c r="X261" s="86" t="n">
        <f aca="false">+M261-S261-U261</f>
        <v>0</v>
      </c>
    </row>
    <row r="262" customFormat="false" ht="15" hidden="false" customHeight="true" outlineLevel="0" collapsed="false">
      <c r="A262" s="4" t="s">
        <v>26</v>
      </c>
      <c r="B262" s="77" t="s">
        <v>347</v>
      </c>
      <c r="C262" s="4" t="s">
        <v>26</v>
      </c>
      <c r="D262" s="4" t="s">
        <v>341</v>
      </c>
      <c r="E262" s="72" t="s">
        <v>517</v>
      </c>
      <c r="F262" s="4"/>
      <c r="G262" s="78" t="n">
        <v>70062</v>
      </c>
      <c r="H262" s="78" t="s">
        <v>598</v>
      </c>
      <c r="I262" s="78" t="s">
        <v>599</v>
      </c>
      <c r="J262" s="79" t="str">
        <f aca="false">IF(ISNA(VLOOKUP(B262,cngdata,7,FALSE())),"na",VLOOKUP(B262,cngdata,7,FALSE()))</f>
        <v>na</v>
      </c>
      <c r="K262" s="79" t="str">
        <f aca="false">IF(ISNA(VLOOKUP(B262,cngdata,13,FALSE())),"na",VLOOKUP(B262,cngdata,13,FALSE()))</f>
        <v>na</v>
      </c>
      <c r="L262" s="80" t="n">
        <f aca="false">L$3*98%</f>
        <v>2.352</v>
      </c>
      <c r="M262" s="79" t="n">
        <f aca="false">IF(ISNA(VLOOKUP(B262,cngdata,14,FALSE())),0,VLOOKUP(B262,cngdata,14,FALSE()))</f>
        <v>0</v>
      </c>
      <c r="O262" s="81" t="n">
        <v>0</v>
      </c>
      <c r="P262" s="82" t="n">
        <f aca="false">L262-O262</f>
        <v>2.352</v>
      </c>
      <c r="Q262" s="83" t="n">
        <f aca="false">M262*P262</f>
        <v>0</v>
      </c>
      <c r="R262" s="74"/>
      <c r="S262" s="79" t="n">
        <f aca="false">IF(ISNA(VLOOKUP(B262,SplitVol,5,FALSE())),0,VLOOKUP(B262,SplitVol,5,FALSE()))</f>
        <v>0</v>
      </c>
      <c r="T262" s="84" t="n">
        <f aca="false">+S262*L262</f>
        <v>0</v>
      </c>
      <c r="U262" s="79" t="n">
        <f aca="false">IF(ISNA(VLOOKUP(B262,SplitVol,6,FALSE())),0,VLOOKUP(B262,SplitVol,6,FALSE()))</f>
        <v>0</v>
      </c>
      <c r="V262" s="84" t="n">
        <f aca="false">+U262*L262</f>
        <v>0</v>
      </c>
      <c r="W262" s="85" t="str">
        <f aca="false">IF(ISBLANK(VLOOKUP(B262,EffDate,4,FALSE())),"na",VLOOKUP(B262,EffDate,4,FALSE()))</f>
        <v>na</v>
      </c>
      <c r="X262" s="86" t="n">
        <f aca="false">+M262-S262-U262</f>
        <v>0</v>
      </c>
    </row>
    <row r="263" customFormat="false" ht="15" hidden="false" customHeight="true" outlineLevel="0" collapsed="false">
      <c r="A263" s="4" t="s">
        <v>26</v>
      </c>
      <c r="B263" s="77" t="s">
        <v>348</v>
      </c>
      <c r="C263" s="4" t="s">
        <v>26</v>
      </c>
      <c r="D263" s="4" t="s">
        <v>341</v>
      </c>
      <c r="E263" s="72" t="s">
        <v>517</v>
      </c>
      <c r="F263" s="4"/>
      <c r="G263" s="78" t="n">
        <v>70062</v>
      </c>
      <c r="H263" s="78" t="s">
        <v>598</v>
      </c>
      <c r="I263" s="78" t="s">
        <v>599</v>
      </c>
      <c r="J263" s="79" t="str">
        <f aca="false">IF(ISNA(VLOOKUP(B263,cngdata,7,FALSE())),"na",VLOOKUP(B263,cngdata,7,FALSE()))</f>
        <v>na</v>
      </c>
      <c r="K263" s="79" t="str">
        <f aca="false">IF(ISNA(VLOOKUP(B263,cngdata,13,FALSE())),"na",VLOOKUP(B263,cngdata,13,FALSE()))</f>
        <v>na</v>
      </c>
      <c r="L263" s="80" t="n">
        <f aca="false">L$3*98%</f>
        <v>2.352</v>
      </c>
      <c r="M263" s="79" t="n">
        <f aca="false">IF(ISNA(VLOOKUP(B263,cngdata,14,FALSE())),0,VLOOKUP(B263,cngdata,14,FALSE()))</f>
        <v>0</v>
      </c>
      <c r="O263" s="81" t="n">
        <v>0</v>
      </c>
      <c r="P263" s="82" t="n">
        <f aca="false">L263-O263</f>
        <v>2.352</v>
      </c>
      <c r="Q263" s="83" t="n">
        <f aca="false">M263*P263</f>
        <v>0</v>
      </c>
      <c r="R263" s="74"/>
      <c r="S263" s="79" t="n">
        <f aca="false">IF(ISNA(VLOOKUP(B263,SplitVol,5,FALSE())),0,VLOOKUP(B263,SplitVol,5,FALSE()))</f>
        <v>0</v>
      </c>
      <c r="T263" s="84" t="n">
        <f aca="false">+S263*L263</f>
        <v>0</v>
      </c>
      <c r="U263" s="79" t="n">
        <f aca="false">IF(ISNA(VLOOKUP(B263,SplitVol,6,FALSE())),0,VLOOKUP(B263,SplitVol,6,FALSE()))</f>
        <v>0</v>
      </c>
      <c r="V263" s="84" t="n">
        <f aca="false">+U263*L263</f>
        <v>0</v>
      </c>
      <c r="W263" s="85" t="str">
        <f aca="false">IF(ISBLANK(VLOOKUP(B263,EffDate,4,FALSE())),"na",VLOOKUP(B263,EffDate,4,FALSE()))</f>
        <v>na</v>
      </c>
      <c r="X263" s="86" t="n">
        <f aca="false">+M263-S263-U263</f>
        <v>0</v>
      </c>
    </row>
    <row r="264" customFormat="false" ht="15" hidden="false" customHeight="true" outlineLevel="0" collapsed="false">
      <c r="A264" s="4" t="s">
        <v>26</v>
      </c>
      <c r="B264" s="77" t="s">
        <v>349</v>
      </c>
      <c r="C264" s="4" t="s">
        <v>26</v>
      </c>
      <c r="D264" s="4" t="s">
        <v>341</v>
      </c>
      <c r="E264" s="72" t="s">
        <v>517</v>
      </c>
      <c r="F264" s="4"/>
      <c r="G264" s="78" t="n">
        <v>70062</v>
      </c>
      <c r="H264" s="78" t="s">
        <v>598</v>
      </c>
      <c r="I264" s="78" t="s">
        <v>599</v>
      </c>
      <c r="J264" s="79" t="str">
        <f aca="false">IF(ISNA(VLOOKUP(B264,cngdata,7,FALSE())),"na",VLOOKUP(B264,cngdata,7,FALSE()))</f>
        <v>na</v>
      </c>
      <c r="K264" s="79" t="str">
        <f aca="false">IF(ISNA(VLOOKUP(B264,cngdata,13,FALSE())),"na",VLOOKUP(B264,cngdata,13,FALSE()))</f>
        <v>na</v>
      </c>
      <c r="L264" s="80" t="n">
        <f aca="false">L$3*98%</f>
        <v>2.352</v>
      </c>
      <c r="M264" s="79" t="n">
        <f aca="false">IF(ISNA(VLOOKUP(B264,cngdata,14,FALSE())),0,VLOOKUP(B264,cngdata,14,FALSE()))</f>
        <v>0</v>
      </c>
      <c r="O264" s="81" t="n">
        <v>0</v>
      </c>
      <c r="P264" s="82" t="n">
        <f aca="false">L264-O264</f>
        <v>2.352</v>
      </c>
      <c r="Q264" s="83" t="n">
        <f aca="false">M264*P264</f>
        <v>0</v>
      </c>
      <c r="R264" s="74"/>
      <c r="S264" s="79" t="n">
        <f aca="false">IF(ISNA(VLOOKUP(B264,SplitVol,5,FALSE())),0,VLOOKUP(B264,SplitVol,5,FALSE()))</f>
        <v>0</v>
      </c>
      <c r="T264" s="84" t="n">
        <f aca="false">+S264*L264</f>
        <v>0</v>
      </c>
      <c r="U264" s="79" t="n">
        <f aca="false">IF(ISNA(VLOOKUP(B264,SplitVol,6,FALSE())),0,VLOOKUP(B264,SplitVol,6,FALSE()))</f>
        <v>0</v>
      </c>
      <c r="V264" s="84" t="n">
        <f aca="false">+U264*L264</f>
        <v>0</v>
      </c>
      <c r="W264" s="85" t="str">
        <f aca="false">IF(ISBLANK(VLOOKUP(B264,EffDate,4,FALSE())),"na",VLOOKUP(B264,EffDate,4,FALSE()))</f>
        <v>na</v>
      </c>
      <c r="X264" s="86" t="n">
        <f aca="false">+M264-S264-U264</f>
        <v>0</v>
      </c>
    </row>
    <row r="265" customFormat="false" ht="15" hidden="false" customHeight="true" outlineLevel="0" collapsed="false">
      <c r="A265" s="4" t="s">
        <v>5</v>
      </c>
      <c r="B265" s="77" t="s">
        <v>350</v>
      </c>
      <c r="C265" s="4" t="n">
        <v>3001401</v>
      </c>
      <c r="D265" s="105" t="s">
        <v>351</v>
      </c>
      <c r="E265" s="106" t="n">
        <v>37228</v>
      </c>
      <c r="F265" s="102"/>
      <c r="G265" s="102" t="n">
        <v>70303</v>
      </c>
      <c r="H265" s="102" t="s">
        <v>600</v>
      </c>
      <c r="I265" s="105" t="s">
        <v>601</v>
      </c>
      <c r="J265" s="103" t="str">
        <f aca="false">IF(ISNA(VLOOKUP(B265,cngdata,7,FALSE())),"na",VLOOKUP(B265,cngdata,7,FALSE()))</f>
        <v>GW</v>
      </c>
      <c r="K265" s="79" t="n">
        <f aca="false">IF(ISNA(VLOOKUP(B265,cngdata,13,FALSE())),"na",VLOOKUP(B265,cngdata,13,FALSE()))</f>
        <v>0</v>
      </c>
      <c r="L265" s="95" t="n">
        <f aca="false">+CNGPricing!$H$147</f>
        <v>2.42</v>
      </c>
      <c r="M265" s="79" t="n">
        <f aca="false">IF(ISNA(VLOOKUP(B265,cngdata,14,FALSE())),0,VLOOKUP(B265,cngdata,14,FALSE()))</f>
        <v>434</v>
      </c>
      <c r="O265" s="81" t="n">
        <v>0</v>
      </c>
      <c r="P265" s="82" t="n">
        <f aca="false">L265-O265</f>
        <v>2.42</v>
      </c>
      <c r="Q265" s="83" t="n">
        <f aca="false">M265*P265</f>
        <v>1050.28</v>
      </c>
      <c r="R265" s="74"/>
      <c r="S265" s="79" t="n">
        <f aca="false">IF(ISNA(VLOOKUP(B265,SplitVol,5,FALSE())),0,VLOOKUP(B265,SplitVol,5,FALSE()))</f>
        <v>217</v>
      </c>
      <c r="T265" s="84" t="n">
        <f aca="false">+S265*L265</f>
        <v>525.14</v>
      </c>
      <c r="U265" s="79" t="n">
        <f aca="false">IF(ISNA(VLOOKUP(B265,SplitVol,6,FALSE())),0,VLOOKUP(B265,SplitVol,6,FALSE()))</f>
        <v>217</v>
      </c>
      <c r="V265" s="84" t="n">
        <f aca="false">+U265*L265</f>
        <v>525.14</v>
      </c>
      <c r="W265" s="85" t="n">
        <f aca="false">IF(ISBLANK(VLOOKUP(B265,EffDate,4,FALSE())),"na",VLOOKUP(B265,EffDate,4,FALSE()))</f>
        <v>37228</v>
      </c>
      <c r="X265" s="86" t="n">
        <f aca="false">+M265-S265-U265</f>
        <v>0</v>
      </c>
    </row>
    <row r="266" customFormat="false" ht="15" hidden="false" customHeight="true" outlineLevel="0" collapsed="false">
      <c r="A266" s="4" t="s">
        <v>5</v>
      </c>
      <c r="B266" s="77" t="s">
        <v>352</v>
      </c>
      <c r="C266" s="4" t="n">
        <v>3001601</v>
      </c>
      <c r="D266" s="105" t="s">
        <v>351</v>
      </c>
      <c r="E266" s="106" t="n">
        <v>37228</v>
      </c>
      <c r="F266" s="102"/>
      <c r="G266" s="102" t="n">
        <v>70303</v>
      </c>
      <c r="H266" s="102" t="s">
        <v>600</v>
      </c>
      <c r="I266" s="105" t="s">
        <v>601</v>
      </c>
      <c r="J266" s="103" t="str">
        <f aca="false">IF(ISNA(VLOOKUP(B266,cngdata,7,FALSE())),"na",VLOOKUP(B266,cngdata,7,FALSE()))</f>
        <v>GW</v>
      </c>
      <c r="K266" s="79" t="n">
        <f aca="false">IF(ISNA(VLOOKUP(B266,cngdata,13,FALSE())),"na",VLOOKUP(B266,cngdata,13,FALSE()))</f>
        <v>0</v>
      </c>
      <c r="L266" s="95" t="n">
        <f aca="false">+CNGPricing!$H$147</f>
        <v>2.42</v>
      </c>
      <c r="M266" s="79" t="n">
        <f aca="false">IF(ISNA(VLOOKUP(B266,cngdata,14,FALSE())),0,VLOOKUP(B266,cngdata,14,FALSE()))</f>
        <v>213</v>
      </c>
      <c r="O266" s="81" t="n">
        <v>0</v>
      </c>
      <c r="P266" s="82" t="n">
        <f aca="false">L266-O266</f>
        <v>2.42</v>
      </c>
      <c r="Q266" s="83" t="n">
        <f aca="false">M266*P266</f>
        <v>515.46</v>
      </c>
      <c r="R266" s="74"/>
      <c r="S266" s="79" t="n">
        <f aca="false">IF(ISNA(VLOOKUP(B266,SplitVol,5,FALSE())),0,VLOOKUP(B266,SplitVol,5,FALSE()))</f>
        <v>15</v>
      </c>
      <c r="T266" s="84" t="n">
        <f aca="false">+S266*L266</f>
        <v>36.3</v>
      </c>
      <c r="U266" s="79" t="n">
        <f aca="false">IF(ISNA(VLOOKUP(B266,SplitVol,6,FALSE())),0,VLOOKUP(B266,SplitVol,6,FALSE()))-1</f>
        <v>198</v>
      </c>
      <c r="V266" s="84" t="n">
        <f aca="false">+U266*L266</f>
        <v>479.16</v>
      </c>
      <c r="W266" s="85" t="n">
        <f aca="false">IF(ISBLANK(VLOOKUP(B266,EffDate,4,FALSE())),"na",VLOOKUP(B266,EffDate,4,FALSE()))</f>
        <v>37228</v>
      </c>
      <c r="X266" s="86" t="n">
        <f aca="false">+M266-S266-U266</f>
        <v>0</v>
      </c>
    </row>
    <row r="267" customFormat="false" ht="15" hidden="false" customHeight="true" outlineLevel="0" collapsed="false">
      <c r="A267" s="4" t="s">
        <v>5</v>
      </c>
      <c r="B267" s="77" t="s">
        <v>354</v>
      </c>
      <c r="C267" s="4" t="n">
        <v>3043201</v>
      </c>
      <c r="D267" s="105" t="s">
        <v>351</v>
      </c>
      <c r="E267" s="106" t="n">
        <v>37228</v>
      </c>
      <c r="F267" s="102"/>
      <c r="G267" s="102" t="n">
        <v>70303</v>
      </c>
      <c r="H267" s="102" t="s">
        <v>600</v>
      </c>
      <c r="I267" s="105" t="s">
        <v>601</v>
      </c>
      <c r="J267" s="103" t="str">
        <f aca="false">IF(ISNA(VLOOKUP(B267,cngdata,7,FALSE())),"na",VLOOKUP(B267,cngdata,7,FALSE()))</f>
        <v>GW</v>
      </c>
      <c r="K267" s="79" t="n">
        <f aca="false">IF(ISNA(VLOOKUP(B267,cngdata,13,FALSE())),"na",VLOOKUP(B267,cngdata,13,FALSE()))</f>
        <v>48</v>
      </c>
      <c r="L267" s="95" t="n">
        <f aca="false">+CNGPricing!$H$147</f>
        <v>2.42</v>
      </c>
      <c r="M267" s="79" t="n">
        <f aca="false">IF(ISNA(VLOOKUP(B267,cngdata,14,FALSE())),0,VLOOKUP(B267,cngdata,14,FALSE()))</f>
        <v>71</v>
      </c>
      <c r="O267" s="81" t="n">
        <v>0</v>
      </c>
      <c r="P267" s="82" t="n">
        <f aca="false">L267-O267</f>
        <v>2.42</v>
      </c>
      <c r="Q267" s="83" t="n">
        <f aca="false">M267*P267</f>
        <v>171.82</v>
      </c>
      <c r="R267" s="74"/>
      <c r="S267" s="79" t="n">
        <f aca="false">IF(ISNA(VLOOKUP(B267,SplitVol,5,FALSE())),0,VLOOKUP(B267,SplitVol,5,FALSE()))</f>
        <v>29</v>
      </c>
      <c r="T267" s="84" t="n">
        <f aca="false">+S267*L267</f>
        <v>70.18</v>
      </c>
      <c r="U267" s="79" t="n">
        <f aca="false">IF(ISNA(VLOOKUP(B267,SplitVol,6,FALSE())),0,VLOOKUP(B267,SplitVol,6,FALSE()))</f>
        <v>42</v>
      </c>
      <c r="V267" s="84" t="n">
        <f aca="false">+U267*L267</f>
        <v>101.64</v>
      </c>
      <c r="W267" s="85" t="n">
        <f aca="false">IF(ISBLANK(VLOOKUP(B267,EffDate,4,FALSE())),"na",VLOOKUP(B267,EffDate,4,FALSE()))</f>
        <v>37228</v>
      </c>
      <c r="X267" s="86" t="n">
        <f aca="false">+M267-S267-U267</f>
        <v>0</v>
      </c>
    </row>
    <row r="268" customFormat="false" ht="15" hidden="false" customHeight="true" outlineLevel="0" collapsed="false">
      <c r="A268" s="4" t="s">
        <v>5</v>
      </c>
      <c r="B268" s="77" t="s">
        <v>355</v>
      </c>
      <c r="C268" s="4" t="n">
        <v>3043401</v>
      </c>
      <c r="D268" s="105" t="s">
        <v>351</v>
      </c>
      <c r="E268" s="106" t="n">
        <v>37228</v>
      </c>
      <c r="F268" s="102"/>
      <c r="G268" s="102" t="n">
        <v>70303</v>
      </c>
      <c r="H268" s="102" t="s">
        <v>600</v>
      </c>
      <c r="I268" s="105" t="s">
        <v>601</v>
      </c>
      <c r="J268" s="103" t="str">
        <f aca="false">IF(ISNA(VLOOKUP(B268,cngdata,7,FALSE())),"na",VLOOKUP(B268,cngdata,7,FALSE()))</f>
        <v>GW</v>
      </c>
      <c r="K268" s="79" t="n">
        <f aca="false">IF(ISNA(VLOOKUP(B268,cngdata,13,FALSE())),"na",VLOOKUP(B268,cngdata,13,FALSE()))</f>
        <v>0</v>
      </c>
      <c r="L268" s="95" t="n">
        <f aca="false">+CNGPricing!$H$147</f>
        <v>2.42</v>
      </c>
      <c r="M268" s="79" t="n">
        <f aca="false">IF(ISNA(VLOOKUP(B268,cngdata,14,FALSE())),0,VLOOKUP(B268,cngdata,14,FALSE()))</f>
        <v>0</v>
      </c>
      <c r="O268" s="81" t="n">
        <v>0</v>
      </c>
      <c r="P268" s="82" t="n">
        <f aca="false">L268-O268</f>
        <v>2.42</v>
      </c>
      <c r="Q268" s="83" t="n">
        <f aca="false">M268*P268</f>
        <v>0</v>
      </c>
      <c r="R268" s="74"/>
      <c r="S268" s="79" t="n">
        <f aca="false">IF(ISNA(VLOOKUP(B268,SplitVol,5,FALSE())),0,VLOOKUP(B268,SplitVol,5,FALSE()))</f>
        <v>0</v>
      </c>
      <c r="T268" s="84" t="n">
        <f aca="false">+S268*L268</f>
        <v>0</v>
      </c>
      <c r="U268" s="79" t="n">
        <f aca="false">IF(ISNA(VLOOKUP(B268,SplitVol,6,FALSE())),0,VLOOKUP(B268,SplitVol,6,FALSE()))</f>
        <v>0</v>
      </c>
      <c r="V268" s="84" t="n">
        <f aca="false">+U268*L268</f>
        <v>0</v>
      </c>
      <c r="W268" s="85" t="n">
        <f aca="false">IF(ISBLANK(VLOOKUP(B268,EffDate,4,FALSE())),"na",VLOOKUP(B268,EffDate,4,FALSE()))</f>
        <v>37228</v>
      </c>
      <c r="X268" s="86" t="n">
        <f aca="false">+M268-S268-U268</f>
        <v>0</v>
      </c>
    </row>
    <row r="269" customFormat="false" ht="15" hidden="false" customHeight="true" outlineLevel="0" collapsed="false">
      <c r="A269" s="4" t="s">
        <v>5</v>
      </c>
      <c r="B269" s="77" t="s">
        <v>353</v>
      </c>
      <c r="C269" s="4" t="n">
        <v>3038201</v>
      </c>
      <c r="D269" s="105" t="s">
        <v>351</v>
      </c>
      <c r="E269" s="106" t="n">
        <v>37228</v>
      </c>
      <c r="F269" s="102"/>
      <c r="G269" s="102" t="n">
        <v>70303</v>
      </c>
      <c r="H269" s="102" t="s">
        <v>600</v>
      </c>
      <c r="I269" s="105" t="s">
        <v>601</v>
      </c>
      <c r="J269" s="103" t="str">
        <f aca="false">IF(ISNA(VLOOKUP(B269,cngdata,7,FALSE())),"na",VLOOKUP(B269,cngdata,7,FALSE()))</f>
        <v>GW</v>
      </c>
      <c r="K269" s="79" t="n">
        <f aca="false">IF(ISNA(VLOOKUP(B269,cngdata,13,FALSE())),"na",VLOOKUP(B269,cngdata,13,FALSE()))</f>
        <v>259</v>
      </c>
      <c r="L269" s="95" t="n">
        <f aca="false">+CNGPricing!$H$147</f>
        <v>2.42</v>
      </c>
      <c r="M269" s="79" t="n">
        <f aca="false">IF(ISNA(VLOOKUP(B269,cngdata,14,FALSE())),0,VLOOKUP(B269,cngdata,14,FALSE()))</f>
        <v>450</v>
      </c>
      <c r="O269" s="81" t="n">
        <v>0</v>
      </c>
      <c r="P269" s="82" t="n">
        <f aca="false">L269-O269</f>
        <v>2.42</v>
      </c>
      <c r="Q269" s="83" t="n">
        <f aca="false">M269*P269</f>
        <v>1089</v>
      </c>
      <c r="R269" s="74"/>
      <c r="S269" s="79" t="n">
        <f aca="false">IF(ISNA(VLOOKUP(B269,SplitVol,5,FALSE())),0,VLOOKUP(B269,SplitVol,5,FALSE()))</f>
        <v>80</v>
      </c>
      <c r="T269" s="84" t="n">
        <f aca="false">+S269*L269</f>
        <v>193.6</v>
      </c>
      <c r="U269" s="79" t="n">
        <f aca="false">IF(ISNA(VLOOKUP(B269,SplitVol,6,FALSE())),0,VLOOKUP(B269,SplitVol,6,FALSE()))</f>
        <v>370</v>
      </c>
      <c r="V269" s="84" t="n">
        <f aca="false">+U269*L269</f>
        <v>895.4</v>
      </c>
      <c r="W269" s="85" t="n">
        <f aca="false">IF(ISBLANK(VLOOKUP(B269,EffDate,4,FALSE())),"na",VLOOKUP(B269,EffDate,4,FALSE()))</f>
        <v>37228</v>
      </c>
      <c r="X269" s="86" t="n">
        <f aca="false">+M269-S269-U269</f>
        <v>0</v>
      </c>
    </row>
    <row r="270" customFormat="false" ht="15" hidden="false" customHeight="true" outlineLevel="0" collapsed="false">
      <c r="A270" s="4" t="s">
        <v>5</v>
      </c>
      <c r="B270" s="8" t="s">
        <v>358</v>
      </c>
      <c r="C270" s="4" t="n">
        <v>3130401</v>
      </c>
      <c r="D270" s="90" t="s">
        <v>602</v>
      </c>
      <c r="E270" s="91" t="n">
        <v>37257</v>
      </c>
      <c r="F270" s="4"/>
      <c r="G270" s="4" t="n">
        <v>71375</v>
      </c>
      <c r="H270" s="4" t="s">
        <v>584</v>
      </c>
      <c r="I270" s="4" t="s">
        <v>537</v>
      </c>
      <c r="J270" s="79" t="str">
        <f aca="false">IF(ISNA(VLOOKUP(B270,cngdata,7,FALSE())),"na",VLOOKUP(B270,cngdata,7,FALSE()))</f>
        <v>GW</v>
      </c>
      <c r="K270" s="79" t="n">
        <f aca="false">IF(ISNA(VLOOKUP(B270,cngdata,13,FALSE())),"na",VLOOKUP(B270,cngdata,13,FALSE()))</f>
        <v>14</v>
      </c>
      <c r="L270" s="80" t="n">
        <f aca="false">+CNGPricing!$H$158</f>
        <v>2.42</v>
      </c>
      <c r="M270" s="79" t="n">
        <f aca="false">IF(ISNA(VLOOKUP(B270,cngdata,14,FALSE())),0,VLOOKUP(B270,cngdata,14,FALSE()))</f>
        <v>17</v>
      </c>
      <c r="N270" s="114"/>
      <c r="O270" s="4" t="n">
        <v>0</v>
      </c>
      <c r="P270" s="132" t="n">
        <f aca="false">L270-O270</f>
        <v>2.42</v>
      </c>
      <c r="Q270" s="131" t="n">
        <f aca="false">M270*P270</f>
        <v>41.14</v>
      </c>
      <c r="R270" s="74"/>
      <c r="S270" s="79" t="n">
        <f aca="false">IF(ISNA(VLOOKUP(B270,SplitVol,5,FALSE())),0,VLOOKUP(B270,SplitVol,5,FALSE()))</f>
        <v>17</v>
      </c>
      <c r="T270" s="84" t="n">
        <f aca="false">+S270*L270</f>
        <v>41.14</v>
      </c>
      <c r="U270" s="79" t="n">
        <f aca="false">IF(ISNA(VLOOKUP(B270,SplitVol,6,FALSE())),0,VLOOKUP(B270,SplitVol,6,FALSE()))</f>
        <v>0</v>
      </c>
      <c r="V270" s="84" t="n">
        <f aca="false">+U270*L270</f>
        <v>0</v>
      </c>
      <c r="W270" s="85" t="n">
        <f aca="false">IF(ISBLANK(VLOOKUP(B270,EffDate,4,FALSE())),"na",VLOOKUP(B270,EffDate,4,FALSE()))</f>
        <v>37257</v>
      </c>
      <c r="X270" s="86" t="n">
        <f aca="false">+M270-S270-U270</f>
        <v>0</v>
      </c>
      <c r="Y270" s="143" t="s">
        <v>603</v>
      </c>
      <c r="Z270" s="114"/>
      <c r="AA270" s="114"/>
      <c r="AB270" s="114"/>
    </row>
    <row r="271" customFormat="false" ht="15" hidden="false" customHeight="true" outlineLevel="0" collapsed="false">
      <c r="A271" s="4" t="s">
        <v>5</v>
      </c>
      <c r="B271" s="8" t="s">
        <v>359</v>
      </c>
      <c r="C271" s="4" t="n">
        <v>3131001</v>
      </c>
      <c r="D271" s="90" t="s">
        <v>453</v>
      </c>
      <c r="E271" s="91" t="n">
        <v>37257</v>
      </c>
      <c r="F271" s="4"/>
      <c r="G271" s="4" t="n">
        <v>71375</v>
      </c>
      <c r="H271" s="4" t="s">
        <v>584</v>
      </c>
      <c r="I271" s="4" t="s">
        <v>537</v>
      </c>
      <c r="J271" s="79" t="str">
        <f aca="false">IF(ISNA(VLOOKUP(B271,cngdata,7,FALSE())),"na",VLOOKUP(B271,cngdata,7,FALSE()))</f>
        <v>GW</v>
      </c>
      <c r="K271" s="79" t="n">
        <f aca="false">IF(ISNA(VLOOKUP(B271,cngdata,13,FALSE())),"na",VLOOKUP(B271,cngdata,13,FALSE()))</f>
        <v>26</v>
      </c>
      <c r="L271" s="80" t="n">
        <f aca="false">+CNGPricing!$H$158</f>
        <v>2.42</v>
      </c>
      <c r="M271" s="79" t="n">
        <f aca="false">IF(ISNA(VLOOKUP(B271,cngdata,14,FALSE())),0,VLOOKUP(B271,cngdata,14,FALSE()))</f>
        <v>33</v>
      </c>
      <c r="N271" s="114"/>
      <c r="O271" s="4" t="n">
        <v>0</v>
      </c>
      <c r="P271" s="132" t="n">
        <f aca="false">L271-O271</f>
        <v>2.42</v>
      </c>
      <c r="Q271" s="131" t="n">
        <f aca="false">M271*P271</f>
        <v>79.86</v>
      </c>
      <c r="R271" s="74"/>
      <c r="S271" s="79" t="n">
        <f aca="false">IF(ISNA(VLOOKUP(B271,SplitVol,5,FALSE())),0,VLOOKUP(B271,SplitVol,5,FALSE()))</f>
        <v>33</v>
      </c>
      <c r="T271" s="84" t="n">
        <f aca="false">+S271*L271</f>
        <v>79.86</v>
      </c>
      <c r="U271" s="79" t="n">
        <f aca="false">IF(ISNA(VLOOKUP(B271,SplitVol,6,FALSE())),0,VLOOKUP(B271,SplitVol,6,FALSE()))</f>
        <v>0</v>
      </c>
      <c r="V271" s="84" t="n">
        <f aca="false">+U271*L271</f>
        <v>0</v>
      </c>
      <c r="W271" s="85" t="n">
        <f aca="false">IF(ISBLANK(VLOOKUP(B271,EffDate,4,FALSE())),"na",VLOOKUP(B271,EffDate,4,FALSE()))</f>
        <v>37257</v>
      </c>
      <c r="X271" s="86" t="n">
        <f aca="false">+M271-S271-U271</f>
        <v>0</v>
      </c>
      <c r="Y271" s="143" t="s">
        <v>603</v>
      </c>
      <c r="Z271" s="114"/>
      <c r="AA271" s="114"/>
      <c r="AB271" s="114"/>
    </row>
    <row r="272" customFormat="false" ht="15" hidden="false" customHeight="true" outlineLevel="0" collapsed="false">
      <c r="A272" s="4" t="s">
        <v>5</v>
      </c>
      <c r="B272" s="8" t="s">
        <v>356</v>
      </c>
      <c r="C272" s="4" t="n">
        <v>3127401</v>
      </c>
      <c r="D272" s="90" t="s">
        <v>453</v>
      </c>
      <c r="E272" s="91" t="n">
        <v>37257</v>
      </c>
      <c r="F272" s="4"/>
      <c r="G272" s="4" t="n">
        <v>71375</v>
      </c>
      <c r="H272" s="4" t="s">
        <v>584</v>
      </c>
      <c r="I272" s="4" t="s">
        <v>537</v>
      </c>
      <c r="J272" s="79" t="str">
        <f aca="false">IF(ISNA(VLOOKUP(B272,cngdata,7,FALSE())),"na",VLOOKUP(B272,cngdata,7,FALSE()))</f>
        <v>GW</v>
      </c>
      <c r="K272" s="79" t="n">
        <f aca="false">IF(ISNA(VLOOKUP(B272,cngdata,13,FALSE())),"na",VLOOKUP(B272,cngdata,13,FALSE()))</f>
        <v>33</v>
      </c>
      <c r="L272" s="80" t="n">
        <f aca="false">+CNGPricing!$H$158</f>
        <v>2.42</v>
      </c>
      <c r="M272" s="79" t="n">
        <f aca="false">IF(ISNA(VLOOKUP(B272,cngdata,14,FALSE())),0,VLOOKUP(B272,cngdata,14,FALSE()))</f>
        <v>48</v>
      </c>
      <c r="N272" s="114"/>
      <c r="O272" s="4" t="n">
        <v>0</v>
      </c>
      <c r="P272" s="132" t="n">
        <f aca="false">L272-O272</f>
        <v>2.42</v>
      </c>
      <c r="Q272" s="131" t="n">
        <f aca="false">M272*P272</f>
        <v>116.16</v>
      </c>
      <c r="R272" s="74"/>
      <c r="S272" s="79" t="n">
        <f aca="false">IF(ISNA(VLOOKUP(B272,SplitVol,5,FALSE())),0,VLOOKUP(B272,SplitVol,5,FALSE()))</f>
        <v>9</v>
      </c>
      <c r="T272" s="84" t="n">
        <f aca="false">+S272*L272</f>
        <v>21.78</v>
      </c>
      <c r="U272" s="79" t="n">
        <f aca="false">IF(ISNA(VLOOKUP(B272,SplitVol,6,FALSE())),0,VLOOKUP(B272,SplitVol,6,FALSE()))</f>
        <v>39</v>
      </c>
      <c r="V272" s="84" t="n">
        <f aca="false">+U272*L272</f>
        <v>94.38</v>
      </c>
      <c r="W272" s="85" t="n">
        <f aca="false">IF(ISBLANK(VLOOKUP(B272,EffDate,4,FALSE())),"na",VLOOKUP(B272,EffDate,4,FALSE()))</f>
        <v>37257</v>
      </c>
      <c r="X272" s="86" t="n">
        <f aca="false">+M272-S272-U272</f>
        <v>0</v>
      </c>
      <c r="Y272" s="143" t="s">
        <v>603</v>
      </c>
      <c r="Z272" s="114"/>
      <c r="AA272" s="114"/>
      <c r="AB272" s="114"/>
    </row>
    <row r="273" customFormat="false" ht="15" hidden="false" customHeight="true" outlineLevel="0" collapsed="false">
      <c r="A273" s="4" t="s">
        <v>5</v>
      </c>
      <c r="B273" s="8" t="s">
        <v>360</v>
      </c>
      <c r="C273" s="4" t="n">
        <v>3131101</v>
      </c>
      <c r="D273" s="90" t="s">
        <v>453</v>
      </c>
      <c r="E273" s="91" t="n">
        <v>37257</v>
      </c>
      <c r="F273" s="4"/>
      <c r="G273" s="4" t="n">
        <v>71375</v>
      </c>
      <c r="H273" s="4" t="s">
        <v>584</v>
      </c>
      <c r="I273" s="4" t="s">
        <v>537</v>
      </c>
      <c r="J273" s="79" t="str">
        <f aca="false">IF(ISNA(VLOOKUP(B273,cngdata,7,FALSE())),"na",VLOOKUP(B273,cngdata,7,FALSE()))</f>
        <v>GW</v>
      </c>
      <c r="K273" s="79" t="n">
        <f aca="false">IF(ISNA(VLOOKUP(B273,cngdata,13,FALSE())),"na",VLOOKUP(B273,cngdata,13,FALSE()))</f>
        <v>172</v>
      </c>
      <c r="L273" s="80" t="n">
        <f aca="false">+CNGPricing!$H$158</f>
        <v>2.42</v>
      </c>
      <c r="M273" s="79" t="n">
        <f aca="false">IF(ISNA(VLOOKUP(B273,cngdata,14,FALSE())),0,VLOOKUP(B273,cngdata,14,FALSE()))</f>
        <v>227</v>
      </c>
      <c r="N273" s="114"/>
      <c r="O273" s="4" t="n">
        <v>0</v>
      </c>
      <c r="P273" s="132" t="n">
        <f aca="false">L273-O273</f>
        <v>2.42</v>
      </c>
      <c r="Q273" s="131" t="n">
        <f aca="false">M273*P273</f>
        <v>549.34</v>
      </c>
      <c r="R273" s="74"/>
      <c r="S273" s="79" t="n">
        <f aca="false">IF(ISNA(VLOOKUP(B273,SplitVol,5,FALSE())),0,VLOOKUP(B273,SplitVol,5,FALSE()))</f>
        <v>87</v>
      </c>
      <c r="T273" s="84" t="n">
        <f aca="false">+S273*L273</f>
        <v>210.54</v>
      </c>
      <c r="U273" s="79" t="n">
        <f aca="false">IF(ISNA(VLOOKUP(B273,SplitVol,6,FALSE())),0,VLOOKUP(B273,SplitVol,6,FALSE()))-1</f>
        <v>140</v>
      </c>
      <c r="V273" s="84" t="n">
        <f aca="false">+U273*L273</f>
        <v>338.8</v>
      </c>
      <c r="W273" s="85" t="n">
        <f aca="false">IF(ISBLANK(VLOOKUP(B273,EffDate,4,FALSE())),"na",VLOOKUP(B273,EffDate,4,FALSE()))</f>
        <v>37257</v>
      </c>
      <c r="X273" s="86" t="n">
        <f aca="false">+M273-S273-U273</f>
        <v>0</v>
      </c>
      <c r="Y273" s="143" t="s">
        <v>603</v>
      </c>
      <c r="Z273" s="114"/>
      <c r="AA273" s="114"/>
      <c r="AB273" s="114"/>
    </row>
    <row r="274" customFormat="false" ht="15" hidden="false" customHeight="true" outlineLevel="0" collapsed="false">
      <c r="A274" s="4" t="s">
        <v>26</v>
      </c>
      <c r="B274" s="8" t="s">
        <v>363</v>
      </c>
      <c r="C274" s="4" t="s">
        <v>26</v>
      </c>
      <c r="D274" s="90" t="s">
        <v>453</v>
      </c>
      <c r="E274" s="91" t="n">
        <v>37257</v>
      </c>
      <c r="F274" s="4"/>
      <c r="G274" s="4" t="n">
        <v>71375</v>
      </c>
      <c r="H274" s="4" t="s">
        <v>584</v>
      </c>
      <c r="I274" s="4" t="s">
        <v>537</v>
      </c>
      <c r="J274" s="79" t="str">
        <f aca="false">IF(ISNA(VLOOKUP(B274,cngdata,7,FALSE())),"na",VLOOKUP(B274,cngdata,7,FALSE()))</f>
        <v>na</v>
      </c>
      <c r="K274" s="79" t="str">
        <f aca="false">IF(ISNA(VLOOKUP(B274,cngdata,13,FALSE())),"na",VLOOKUP(B274,cngdata,13,FALSE()))</f>
        <v>na</v>
      </c>
      <c r="L274" s="80" t="n">
        <f aca="false">+CNGPricing!$H$158</f>
        <v>2.42</v>
      </c>
      <c r="M274" s="79" t="n">
        <f aca="false">IF(ISNA(VLOOKUP(B274,cngdata,14,FALSE())),0,VLOOKUP(B274,cngdata,14,FALSE()))</f>
        <v>0</v>
      </c>
      <c r="N274" s="114"/>
      <c r="O274" s="4" t="n">
        <v>0</v>
      </c>
      <c r="P274" s="132" t="n">
        <f aca="false">L274-O274</f>
        <v>2.42</v>
      </c>
      <c r="Q274" s="131" t="n">
        <f aca="false">M274*P274</f>
        <v>0</v>
      </c>
      <c r="R274" s="74"/>
      <c r="S274" s="79" t="n">
        <f aca="false">IF(ISNA(VLOOKUP(B274,SplitVol,5,FALSE())),0,VLOOKUP(B274,SplitVol,5,FALSE()))</f>
        <v>0</v>
      </c>
      <c r="T274" s="84" t="n">
        <f aca="false">+S274*L274</f>
        <v>0</v>
      </c>
      <c r="U274" s="79" t="n">
        <f aca="false">IF(ISNA(VLOOKUP(B274,SplitVol,6,FALSE())),0,VLOOKUP(B274,SplitVol,6,FALSE()))</f>
        <v>0</v>
      </c>
      <c r="V274" s="84" t="n">
        <f aca="false">+U274*L274</f>
        <v>0</v>
      </c>
      <c r="W274" s="85" t="n">
        <f aca="false">IF(ISBLANK(VLOOKUP(B274,EffDate,4,FALSE())),"na",VLOOKUP(B274,EffDate,4,FALSE()))</f>
        <v>37257</v>
      </c>
      <c r="X274" s="86" t="n">
        <f aca="false">+M274-S274-U274</f>
        <v>0</v>
      </c>
      <c r="Y274" s="143" t="s">
        <v>603</v>
      </c>
      <c r="Z274" s="114"/>
      <c r="AA274" s="114"/>
      <c r="AB274" s="114"/>
    </row>
    <row r="275" customFormat="false" ht="15" hidden="false" customHeight="true" outlineLevel="0" collapsed="false">
      <c r="A275" s="4" t="s">
        <v>5</v>
      </c>
      <c r="B275" s="8" t="s">
        <v>361</v>
      </c>
      <c r="C275" s="4" t="n">
        <v>3327701</v>
      </c>
      <c r="D275" s="90" t="s">
        <v>453</v>
      </c>
      <c r="E275" s="91" t="n">
        <v>37257</v>
      </c>
      <c r="F275" s="4"/>
      <c r="G275" s="4" t="n">
        <v>71375</v>
      </c>
      <c r="H275" s="4" t="s">
        <v>584</v>
      </c>
      <c r="I275" s="4" t="s">
        <v>537</v>
      </c>
      <c r="J275" s="79" t="str">
        <f aca="false">IF(ISNA(VLOOKUP(B275,cngdata,7,FALSE())),"na",VLOOKUP(B275,cngdata,7,FALSE()))</f>
        <v>GW</v>
      </c>
      <c r="K275" s="79" t="n">
        <f aca="false">IF(ISNA(VLOOKUP(B275,cngdata,13,FALSE())),"na",VLOOKUP(B275,cngdata,13,FALSE()))</f>
        <v>56</v>
      </c>
      <c r="L275" s="80" t="n">
        <f aca="false">+CNGPricing!$H$158</f>
        <v>2.42</v>
      </c>
      <c r="M275" s="79" t="n">
        <f aca="false">IF(ISNA(VLOOKUP(B275,cngdata,14,FALSE())),0,VLOOKUP(B275,cngdata,14,FALSE()))</f>
        <v>75</v>
      </c>
      <c r="N275" s="114"/>
      <c r="O275" s="4" t="n">
        <v>0</v>
      </c>
      <c r="P275" s="132" t="n">
        <f aca="false">L275-O275</f>
        <v>2.42</v>
      </c>
      <c r="Q275" s="131" t="n">
        <f aca="false">M275*P275</f>
        <v>181.5</v>
      </c>
      <c r="R275" s="74"/>
      <c r="S275" s="79" t="n">
        <f aca="false">IF(ISNA(VLOOKUP(B275,SplitVol,5,FALSE())),0,VLOOKUP(B275,SplitVol,5,FALSE()))</f>
        <v>17</v>
      </c>
      <c r="T275" s="84" t="n">
        <f aca="false">+S275*L275</f>
        <v>41.14</v>
      </c>
      <c r="U275" s="79" t="n">
        <f aca="false">IF(ISNA(VLOOKUP(B275,SplitVol,6,FALSE())),0,VLOOKUP(B275,SplitVol,6,FALSE()))+1</f>
        <v>58</v>
      </c>
      <c r="V275" s="84" t="n">
        <f aca="false">+U275*L275</f>
        <v>140.36</v>
      </c>
      <c r="W275" s="85" t="n">
        <f aca="false">IF(ISBLANK(VLOOKUP(B275,EffDate,4,FALSE())),"na",VLOOKUP(B275,EffDate,4,FALSE()))</f>
        <v>37257</v>
      </c>
      <c r="X275" s="86" t="n">
        <f aca="false">+M275-S275-U275</f>
        <v>0</v>
      </c>
      <c r="Y275" s="143" t="s">
        <v>603</v>
      </c>
      <c r="Z275" s="114"/>
      <c r="AA275" s="114"/>
      <c r="AB275" s="114"/>
    </row>
    <row r="276" customFormat="false" ht="15" hidden="false" customHeight="true" outlineLevel="0" collapsed="false">
      <c r="A276" s="4" t="s">
        <v>5</v>
      </c>
      <c r="B276" s="8" t="s">
        <v>362</v>
      </c>
      <c r="C276" s="4" t="n">
        <v>3330401</v>
      </c>
      <c r="D276" s="90" t="s">
        <v>357</v>
      </c>
      <c r="E276" s="91" t="n">
        <v>37257</v>
      </c>
      <c r="F276" s="4"/>
      <c r="G276" s="4" t="n">
        <v>71375</v>
      </c>
      <c r="H276" s="4" t="s">
        <v>584</v>
      </c>
      <c r="I276" s="4" t="s">
        <v>537</v>
      </c>
      <c r="J276" s="79" t="str">
        <f aca="false">IF(ISNA(VLOOKUP(B276,cngdata,7,FALSE())),"na",VLOOKUP(B276,cngdata,7,FALSE()))</f>
        <v>GW</v>
      </c>
      <c r="K276" s="79" t="n">
        <f aca="false">IF(ISNA(VLOOKUP(B276,cngdata,13,FALSE())),"na",VLOOKUP(B276,cngdata,13,FALSE()))</f>
        <v>679</v>
      </c>
      <c r="L276" s="80" t="n">
        <f aca="false">+CNGPricing!$H$158</f>
        <v>2.42</v>
      </c>
      <c r="M276" s="79" t="n">
        <f aca="false">IF(ISNA(VLOOKUP(B276,cngdata,14,FALSE())),0,VLOOKUP(B276,cngdata,14,FALSE()))</f>
        <v>809</v>
      </c>
      <c r="N276" s="114"/>
      <c r="O276" s="4" t="n">
        <v>0</v>
      </c>
      <c r="P276" s="132" t="n">
        <f aca="false">L276-O276</f>
        <v>2.42</v>
      </c>
      <c r="Q276" s="131" t="n">
        <f aca="false">M276*P276</f>
        <v>1957.78</v>
      </c>
      <c r="R276" s="74"/>
      <c r="S276" s="79" t="n">
        <f aca="false">IF(ISNA(VLOOKUP(B276,SplitVol,5,FALSE())),0,VLOOKUP(B276,SplitVol,5,FALSE()))</f>
        <v>113</v>
      </c>
      <c r="T276" s="84" t="n">
        <f aca="false">+S276*L276</f>
        <v>273.46</v>
      </c>
      <c r="U276" s="79" t="n">
        <f aca="false">IF(ISNA(VLOOKUP(B276,SplitVol,6,FALSE())),0,VLOOKUP(B276,SplitVol,6,FALSE()))</f>
        <v>696</v>
      </c>
      <c r="V276" s="84" t="n">
        <f aca="false">+U276*L276</f>
        <v>1684.32</v>
      </c>
      <c r="W276" s="85" t="n">
        <f aca="false">IF(ISBLANK(VLOOKUP(B276,EffDate,4,FALSE())),"na",VLOOKUP(B276,EffDate,4,FALSE()))</f>
        <v>37257</v>
      </c>
      <c r="X276" s="86" t="n">
        <f aca="false">+M276-S276-U276</f>
        <v>0</v>
      </c>
      <c r="Y276" s="143" t="s">
        <v>603</v>
      </c>
      <c r="Z276" s="114"/>
      <c r="AA276" s="114"/>
      <c r="AB276" s="114"/>
    </row>
    <row r="277" customFormat="false" ht="15" hidden="false" customHeight="true" outlineLevel="0" collapsed="false">
      <c r="A277" s="4" t="s">
        <v>5</v>
      </c>
      <c r="B277" s="77" t="s">
        <v>364</v>
      </c>
      <c r="C277" s="4" t="n">
        <v>3225601</v>
      </c>
      <c r="D277" s="105" t="s">
        <v>365</v>
      </c>
      <c r="E277" s="106" t="n">
        <v>37228</v>
      </c>
      <c r="F277" s="102"/>
      <c r="G277" s="102" t="n">
        <v>73629</v>
      </c>
      <c r="H277" s="102" t="s">
        <v>604</v>
      </c>
      <c r="I277" s="102" t="s">
        <v>605</v>
      </c>
      <c r="J277" s="103" t="str">
        <f aca="false">IF(ISNA(VLOOKUP(B277,cngdata,7,FALSE())),"na",VLOOKUP(B277,cngdata,7,FALSE()))</f>
        <v>GW</v>
      </c>
      <c r="K277" s="79" t="n">
        <f aca="false">IF(ISNA(VLOOKUP(B277,cngdata,13,FALSE())),"na",VLOOKUP(B277,cngdata,13,FALSE()))</f>
        <v>5</v>
      </c>
      <c r="L277" s="119" t="n">
        <f aca="false">+CNGPricing!$H$169</f>
        <v>2.42</v>
      </c>
      <c r="M277" s="79" t="n">
        <f aca="false">IF(ISNA(VLOOKUP(B277,cngdata,14,FALSE())),0,VLOOKUP(B277,cngdata,14,FALSE()))</f>
        <v>9</v>
      </c>
      <c r="O277" s="81" t="n">
        <v>0</v>
      </c>
      <c r="P277" s="82" t="n">
        <f aca="false">L277-O277</f>
        <v>2.42</v>
      </c>
      <c r="Q277" s="83" t="n">
        <f aca="false">M277*P277</f>
        <v>21.78</v>
      </c>
      <c r="R277" s="74"/>
      <c r="S277" s="79" t="n">
        <f aca="false">IF(ISNA(VLOOKUP(B277,SplitVol,5,FALSE())),0,VLOOKUP(B277,SplitVol,5,FALSE()))</f>
        <v>0</v>
      </c>
      <c r="T277" s="84" t="n">
        <f aca="false">+S277*L277</f>
        <v>0</v>
      </c>
      <c r="U277" s="79" t="n">
        <f aca="false">IF(ISNA(VLOOKUP(B277,SplitVol,6,FALSE())),0,VLOOKUP(B277,SplitVol,6,FALSE()))</f>
        <v>9</v>
      </c>
      <c r="V277" s="84" t="n">
        <f aca="false">+U277*L277</f>
        <v>21.78</v>
      </c>
      <c r="W277" s="85" t="n">
        <f aca="false">IF(ISBLANK(VLOOKUP(B277,EffDate,4,FALSE())),"na",VLOOKUP(B277,EffDate,4,FALSE()))</f>
        <v>37228</v>
      </c>
      <c r="X277" s="86" t="n">
        <f aca="false">+M277-S277-U277</f>
        <v>0</v>
      </c>
    </row>
    <row r="278" customFormat="false" ht="15" hidden="false" customHeight="true" outlineLevel="0" collapsed="false">
      <c r="A278" s="4" t="s">
        <v>5</v>
      </c>
      <c r="B278" s="77" t="s">
        <v>367</v>
      </c>
      <c r="C278" s="4" t="n">
        <v>3250501</v>
      </c>
      <c r="D278" s="105" t="s">
        <v>365</v>
      </c>
      <c r="E278" s="106" t="n">
        <v>37228</v>
      </c>
      <c r="F278" s="102"/>
      <c r="G278" s="102" t="n">
        <v>73629</v>
      </c>
      <c r="H278" s="102" t="s">
        <v>604</v>
      </c>
      <c r="I278" s="102" t="s">
        <v>605</v>
      </c>
      <c r="J278" s="103" t="str">
        <f aca="false">IF(ISNA(VLOOKUP(B278,cngdata,7,FALSE())),"na",VLOOKUP(B278,cngdata,7,FALSE()))</f>
        <v>GW</v>
      </c>
      <c r="K278" s="79" t="n">
        <f aca="false">IF(ISNA(VLOOKUP(B278,cngdata,13,FALSE())),"na",VLOOKUP(B278,cngdata,13,FALSE()))</f>
        <v>84</v>
      </c>
      <c r="L278" s="119" t="n">
        <f aca="false">+CNGPricing!$H$169</f>
        <v>2.42</v>
      </c>
      <c r="M278" s="79" t="n">
        <f aca="false">IF(ISNA(VLOOKUP(B278,cngdata,14,FALSE())),0,VLOOKUP(B278,cngdata,14,FALSE()))</f>
        <v>113</v>
      </c>
      <c r="O278" s="81" t="n">
        <v>0</v>
      </c>
      <c r="P278" s="82" t="n">
        <f aca="false">L278-O278</f>
        <v>2.42</v>
      </c>
      <c r="Q278" s="83" t="n">
        <f aca="false">M278*P278</f>
        <v>273.46</v>
      </c>
      <c r="R278" s="74"/>
      <c r="S278" s="79" t="n">
        <f aca="false">IF(ISNA(VLOOKUP(B278,SplitVol,5,FALSE())),0,VLOOKUP(B278,SplitVol,5,FALSE()))</f>
        <v>23</v>
      </c>
      <c r="T278" s="84" t="n">
        <f aca="false">+S278*L278</f>
        <v>55.66</v>
      </c>
      <c r="U278" s="79" t="n">
        <f aca="false">IF(ISNA(VLOOKUP(B278,SplitVol,6,FALSE())),0,VLOOKUP(B278,SplitVol,6,FALSE()))</f>
        <v>90</v>
      </c>
      <c r="V278" s="84" t="n">
        <f aca="false">+U278*L278</f>
        <v>217.8</v>
      </c>
      <c r="W278" s="85" t="n">
        <f aca="false">IF(ISBLANK(VLOOKUP(B278,EffDate,4,FALSE())),"na",VLOOKUP(B278,EffDate,4,FALSE()))</f>
        <v>37228</v>
      </c>
      <c r="X278" s="86" t="n">
        <f aca="false">+M278-S278-U278</f>
        <v>0</v>
      </c>
    </row>
    <row r="279" customFormat="false" ht="15" hidden="false" customHeight="true" outlineLevel="0" collapsed="false">
      <c r="A279" s="4" t="s">
        <v>5</v>
      </c>
      <c r="B279" s="77" t="s">
        <v>366</v>
      </c>
      <c r="C279" s="4" t="n">
        <v>3231101</v>
      </c>
      <c r="D279" s="105" t="s">
        <v>365</v>
      </c>
      <c r="E279" s="106" t="n">
        <v>37228</v>
      </c>
      <c r="F279" s="102"/>
      <c r="G279" s="102" t="n">
        <v>73629</v>
      </c>
      <c r="H279" s="102" t="s">
        <v>604</v>
      </c>
      <c r="I279" s="102" t="s">
        <v>605</v>
      </c>
      <c r="J279" s="103" t="str">
        <f aca="false">IF(ISNA(VLOOKUP(B279,cngdata,7,FALSE())),"na",VLOOKUP(B279,cngdata,7,FALSE()))</f>
        <v>GW</v>
      </c>
      <c r="K279" s="79" t="n">
        <f aca="false">IF(ISNA(VLOOKUP(B279,cngdata,13,FALSE())),"na",VLOOKUP(B279,cngdata,13,FALSE()))</f>
        <v>320</v>
      </c>
      <c r="L279" s="119" t="n">
        <f aca="false">+CNGPricing!$H$169</f>
        <v>2.42</v>
      </c>
      <c r="M279" s="79" t="n">
        <f aca="false">IF(ISNA(VLOOKUP(B279,cngdata,14,FALSE())),0,VLOOKUP(B279,cngdata,14,FALSE()))</f>
        <v>401</v>
      </c>
      <c r="O279" s="81" t="n">
        <v>0</v>
      </c>
      <c r="P279" s="82" t="n">
        <f aca="false">L279-O279</f>
        <v>2.42</v>
      </c>
      <c r="Q279" s="83" t="n">
        <f aca="false">M279*P279</f>
        <v>970.42</v>
      </c>
      <c r="R279" s="74"/>
      <c r="S279" s="79" t="n">
        <f aca="false">IF(ISNA(VLOOKUP(B279,SplitVol,5,FALSE())),0,VLOOKUP(B279,SplitVol,5,FALSE()))</f>
        <v>66</v>
      </c>
      <c r="T279" s="84" t="n">
        <f aca="false">+S279*L279</f>
        <v>159.72</v>
      </c>
      <c r="U279" s="79" t="n">
        <f aca="false">IF(ISNA(VLOOKUP(B279,SplitVol,6,FALSE())),0,VLOOKUP(B279,SplitVol,6,FALSE()))</f>
        <v>335</v>
      </c>
      <c r="V279" s="84" t="n">
        <f aca="false">+U279*L279</f>
        <v>810.7</v>
      </c>
      <c r="W279" s="85" t="n">
        <f aca="false">IF(ISBLANK(VLOOKUP(B279,EffDate,4,FALSE())),"na",VLOOKUP(B279,EffDate,4,FALSE()))</f>
        <v>37228</v>
      </c>
      <c r="X279" s="86" t="n">
        <f aca="false">+M279-S279-U279</f>
        <v>0</v>
      </c>
    </row>
    <row r="280" customFormat="false" ht="15" hidden="false" customHeight="true" outlineLevel="0" collapsed="false">
      <c r="A280" s="4" t="s">
        <v>5</v>
      </c>
      <c r="B280" s="77" t="s">
        <v>368</v>
      </c>
      <c r="C280" s="4" t="n">
        <v>3325801</v>
      </c>
      <c r="D280" s="90" t="s">
        <v>369</v>
      </c>
      <c r="E280" s="91" t="n">
        <v>37257</v>
      </c>
      <c r="F280" s="4"/>
      <c r="G280" s="78" t="n">
        <v>73632</v>
      </c>
      <c r="H280" s="78" t="s">
        <v>606</v>
      </c>
      <c r="I280" s="78" t="s">
        <v>546</v>
      </c>
      <c r="J280" s="79" t="str">
        <f aca="false">IF(ISNA(VLOOKUP(B280,cngdata,7,FALSE())),"na",VLOOKUP(B280,cngdata,7,FALSE()))</f>
        <v>GW</v>
      </c>
      <c r="K280" s="79" t="n">
        <f aca="false">IF(ISNA(VLOOKUP(B280,cngdata,13,FALSE())),"na",VLOOKUP(B280,cngdata,13,FALSE()))</f>
        <v>207</v>
      </c>
      <c r="L280" s="80" t="n">
        <f aca="false">L$2*99%</f>
        <v>2.3958</v>
      </c>
      <c r="M280" s="79" t="n">
        <f aca="false">IF(ISNA(VLOOKUP(B280,cngdata,14,FALSE())),0,VLOOKUP(B280,cngdata,14,FALSE()))</f>
        <v>265</v>
      </c>
      <c r="O280" s="81" t="n">
        <v>0</v>
      </c>
      <c r="P280" s="82" t="n">
        <f aca="false">L280-O280</f>
        <v>2.3958</v>
      </c>
      <c r="Q280" s="83" t="n">
        <f aca="false">M280*P280</f>
        <v>634.887</v>
      </c>
      <c r="R280" s="74"/>
      <c r="S280" s="79" t="n">
        <f aca="false">IF(ISNA(VLOOKUP(B280,SplitVol,5,FALSE())),0,VLOOKUP(B280,SplitVol,5,FALSE()))</f>
        <v>16</v>
      </c>
      <c r="T280" s="84" t="n">
        <f aca="false">+S280*L280</f>
        <v>38.3328</v>
      </c>
      <c r="U280" s="79" t="n">
        <f aca="false">IF(ISNA(VLOOKUP(B280,SplitVol,6,FALSE())),0,VLOOKUP(B280,SplitVol,6,FALSE()))+1</f>
        <v>249</v>
      </c>
      <c r="V280" s="84" t="n">
        <f aca="false">+U280*L280</f>
        <v>596.5542</v>
      </c>
      <c r="W280" s="85" t="n">
        <f aca="false">IF(ISBLANK(VLOOKUP(B280,EffDate,4,FALSE())),"na",VLOOKUP(B280,EffDate,4,FALSE()))</f>
        <v>37257</v>
      </c>
      <c r="X280" s="86" t="n">
        <f aca="false">+M280-S280-U280</f>
        <v>0</v>
      </c>
    </row>
    <row r="281" customFormat="false" ht="15" hidden="false" customHeight="true" outlineLevel="0" collapsed="false">
      <c r="A281" s="78" t="s">
        <v>273</v>
      </c>
      <c r="B281" s="78" t="s">
        <v>377</v>
      </c>
      <c r="C281" s="78" t="n">
        <v>3425601</v>
      </c>
      <c r="D281" s="90" t="s">
        <v>371</v>
      </c>
      <c r="E281" s="91" t="n">
        <v>37257</v>
      </c>
      <c r="F281" s="4"/>
      <c r="G281" s="78" t="n">
        <v>73632</v>
      </c>
      <c r="H281" s="78" t="s">
        <v>545</v>
      </c>
      <c r="I281" s="78" t="s">
        <v>546</v>
      </c>
      <c r="J281" s="79" t="str">
        <f aca="false">IF(ISNA(VLOOKUP(B281,cngdata,7,FALSE())),"na",VLOOKUP(B281,cngdata,7,FALSE()))</f>
        <v>GW</v>
      </c>
      <c r="K281" s="79" t="n">
        <f aca="false">IF(ISNA(VLOOKUP(B281,cngdata,13,FALSE())),"na",VLOOKUP(B281,cngdata,13,FALSE()))</f>
        <v>250</v>
      </c>
      <c r="L281" s="80" t="n">
        <f aca="false">L$2*99%</f>
        <v>2.3958</v>
      </c>
      <c r="M281" s="79" t="n">
        <f aca="false">IF(ISNA(VLOOKUP(B281,cngdata,14,FALSE())),0,VLOOKUP(B281,cngdata,14,FALSE()))</f>
        <v>347</v>
      </c>
      <c r="O281" s="81" t="n">
        <v>0</v>
      </c>
      <c r="P281" s="82" t="n">
        <f aca="false">L281-O281</f>
        <v>2.3958</v>
      </c>
      <c r="Q281" s="83" t="n">
        <f aca="false">M281*P281</f>
        <v>831.3426</v>
      </c>
      <c r="R281" s="74"/>
      <c r="S281" s="79" t="n">
        <f aca="false">IF(ISNA(VLOOKUP(B281,SplitVol,5,FALSE())),0,VLOOKUP(B281,SplitVol,5,FALSE()))</f>
        <v>12</v>
      </c>
      <c r="T281" s="84" t="n">
        <f aca="false">+S281*L281</f>
        <v>28.7496</v>
      </c>
      <c r="U281" s="79" t="n">
        <f aca="false">IF(ISNA(VLOOKUP(B281,SplitVol,6,FALSE())),0,VLOOKUP(B281,SplitVol,6,FALSE()))</f>
        <v>335</v>
      </c>
      <c r="V281" s="84" t="n">
        <f aca="false">+U281*L281</f>
        <v>802.593</v>
      </c>
      <c r="W281" s="85" t="n">
        <f aca="false">IF(ISBLANK(VLOOKUP(B281,EffDate,4,FALSE())),"na",VLOOKUP(B281,EffDate,4,FALSE()))</f>
        <v>37257</v>
      </c>
      <c r="X281" s="86" t="n">
        <f aca="false">+M281-S281-U281</f>
        <v>0</v>
      </c>
    </row>
    <row r="282" customFormat="false" ht="15" hidden="false" customHeight="true" outlineLevel="0" collapsed="false">
      <c r="A282" s="78" t="s">
        <v>273</v>
      </c>
      <c r="B282" s="78" t="s">
        <v>379</v>
      </c>
      <c r="C282" s="78" t="n">
        <v>3587701</v>
      </c>
      <c r="D282" s="90" t="s">
        <v>371</v>
      </c>
      <c r="E282" s="91" t="n">
        <v>37257</v>
      </c>
      <c r="F282" s="4"/>
      <c r="G282" s="78" t="n">
        <v>73632</v>
      </c>
      <c r="H282" s="78" t="s">
        <v>545</v>
      </c>
      <c r="I282" s="78" t="s">
        <v>546</v>
      </c>
      <c r="J282" s="79" t="str">
        <f aca="false">IF(ISNA(VLOOKUP(B282,cngdata,7,FALSE())),"na",VLOOKUP(B282,cngdata,7,FALSE()))</f>
        <v>GW</v>
      </c>
      <c r="K282" s="79" t="n">
        <f aca="false">IF(ISNA(VLOOKUP(B282,cngdata,13,FALSE())),"na",VLOOKUP(B282,cngdata,13,FALSE()))</f>
        <v>132</v>
      </c>
      <c r="L282" s="80" t="n">
        <f aca="false">L$2*99%</f>
        <v>2.3958</v>
      </c>
      <c r="M282" s="79" t="n">
        <f aca="false">IF(ISNA(VLOOKUP(B282,cngdata,14,FALSE())),0,VLOOKUP(B282,cngdata,14,FALSE()))</f>
        <v>163</v>
      </c>
      <c r="O282" s="81" t="n">
        <v>0</v>
      </c>
      <c r="P282" s="82" t="n">
        <f aca="false">L282-O282</f>
        <v>2.3958</v>
      </c>
      <c r="Q282" s="83" t="n">
        <f aca="false">M282*P282</f>
        <v>390.5154</v>
      </c>
      <c r="R282" s="74"/>
      <c r="S282" s="79" t="n">
        <f aca="false">IF(ISNA(VLOOKUP(B282,SplitVol,5,FALSE())),0,VLOOKUP(B282,SplitVol,5,FALSE()))</f>
        <v>9</v>
      </c>
      <c r="T282" s="84" t="n">
        <f aca="false">+S282*L282</f>
        <v>21.5622</v>
      </c>
      <c r="U282" s="79" t="n">
        <f aca="false">IF(ISNA(VLOOKUP(B282,SplitVol,6,FALSE())),0,VLOOKUP(B282,SplitVol,6,FALSE()))</f>
        <v>154</v>
      </c>
      <c r="V282" s="84" t="n">
        <f aca="false">+U282*L282</f>
        <v>368.9532</v>
      </c>
      <c r="W282" s="85" t="n">
        <f aca="false">IF(ISBLANK(VLOOKUP(B282,EffDate,4,FALSE())),"na",VLOOKUP(B282,EffDate,4,FALSE()))</f>
        <v>37257</v>
      </c>
      <c r="X282" s="86" t="n">
        <f aca="false">+M282-S282-U282</f>
        <v>0</v>
      </c>
    </row>
    <row r="283" customFormat="false" ht="15" hidden="false" customHeight="true" outlineLevel="0" collapsed="false">
      <c r="A283" s="78" t="s">
        <v>273</v>
      </c>
      <c r="B283" s="78" t="s">
        <v>373</v>
      </c>
      <c r="C283" s="78" t="n">
        <v>3241501</v>
      </c>
      <c r="D283" s="90" t="s">
        <v>371</v>
      </c>
      <c r="E283" s="91" t="n">
        <v>37257</v>
      </c>
      <c r="F283" s="4"/>
      <c r="G283" s="78" t="n">
        <v>73632</v>
      </c>
      <c r="H283" s="78" t="s">
        <v>545</v>
      </c>
      <c r="I283" s="78" t="s">
        <v>546</v>
      </c>
      <c r="J283" s="79" t="str">
        <f aca="false">IF(ISNA(VLOOKUP(B283,cngdata,7,FALSE())),"na",VLOOKUP(B283,cngdata,7,FALSE()))</f>
        <v>GW</v>
      </c>
      <c r="K283" s="79" t="n">
        <f aca="false">IF(ISNA(VLOOKUP(B283,cngdata,13,FALSE())),"na",VLOOKUP(B283,cngdata,13,FALSE()))</f>
        <v>310</v>
      </c>
      <c r="L283" s="80" t="n">
        <f aca="false">L$2*99%</f>
        <v>2.3958</v>
      </c>
      <c r="M283" s="79" t="n">
        <f aca="false">IF(ISNA(VLOOKUP(B283,cngdata,14,FALSE())),0,VLOOKUP(B283,cngdata,14,FALSE()))</f>
        <v>370</v>
      </c>
      <c r="O283" s="81" t="n">
        <v>0</v>
      </c>
      <c r="P283" s="82" t="n">
        <f aca="false">L283-O283</f>
        <v>2.3958</v>
      </c>
      <c r="Q283" s="83" t="n">
        <f aca="false">M283*P283</f>
        <v>886.446</v>
      </c>
      <c r="R283" s="74"/>
      <c r="S283" s="79" t="n">
        <f aca="false">IF(ISNA(VLOOKUP(B283,SplitVol,5,FALSE())),0,VLOOKUP(B283,SplitVol,5,FALSE()))</f>
        <v>24</v>
      </c>
      <c r="T283" s="84" t="n">
        <f aca="false">+S283*L283</f>
        <v>57.4992</v>
      </c>
      <c r="U283" s="79" t="n">
        <f aca="false">IF(ISNA(VLOOKUP(B283,SplitVol,6,FALSE())),0,VLOOKUP(B283,SplitVol,6,FALSE()))+1</f>
        <v>346</v>
      </c>
      <c r="V283" s="84" t="n">
        <f aca="false">+U283*L283</f>
        <v>828.9468</v>
      </c>
      <c r="W283" s="85" t="n">
        <f aca="false">IF(ISBLANK(VLOOKUP(B283,EffDate,4,FALSE())),"na",VLOOKUP(B283,EffDate,4,FALSE()))</f>
        <v>37257</v>
      </c>
      <c r="X283" s="86" t="n">
        <f aca="false">+M283-S283-U283</f>
        <v>0</v>
      </c>
    </row>
    <row r="284" customFormat="false" ht="15" hidden="false" customHeight="true" outlineLevel="0" collapsed="false">
      <c r="A284" s="78" t="s">
        <v>273</v>
      </c>
      <c r="B284" s="78" t="s">
        <v>378</v>
      </c>
      <c r="C284" s="78" t="n">
        <v>3533901</v>
      </c>
      <c r="D284" s="90" t="s">
        <v>371</v>
      </c>
      <c r="E284" s="91" t="n">
        <v>37257</v>
      </c>
      <c r="F284" s="4"/>
      <c r="G284" s="78" t="n">
        <v>73632</v>
      </c>
      <c r="H284" s="78" t="s">
        <v>545</v>
      </c>
      <c r="I284" s="78" t="s">
        <v>546</v>
      </c>
      <c r="J284" s="79" t="str">
        <f aca="false">IF(ISNA(VLOOKUP(B284,cngdata,7,FALSE())),"na",VLOOKUP(B284,cngdata,7,FALSE()))</f>
        <v>GW</v>
      </c>
      <c r="K284" s="79" t="n">
        <f aca="false">IF(ISNA(VLOOKUP(B284,cngdata,13,FALSE())),"na",VLOOKUP(B284,cngdata,13,FALSE()))</f>
        <v>142</v>
      </c>
      <c r="L284" s="80" t="n">
        <f aca="false">L$2*99%</f>
        <v>2.3958</v>
      </c>
      <c r="M284" s="79" t="n">
        <f aca="false">IF(ISNA(VLOOKUP(B284,cngdata,14,FALSE())),0,VLOOKUP(B284,cngdata,14,FALSE()))</f>
        <v>180</v>
      </c>
      <c r="O284" s="81" t="n">
        <v>0</v>
      </c>
      <c r="P284" s="82" t="n">
        <f aca="false">L284-O284</f>
        <v>2.3958</v>
      </c>
      <c r="Q284" s="83" t="n">
        <f aca="false">M284*P284</f>
        <v>431.244</v>
      </c>
      <c r="R284" s="74"/>
      <c r="S284" s="79" t="n">
        <f aca="false">IF(ISNA(VLOOKUP(B284,SplitVol,5,FALSE())),0,VLOOKUP(B284,SplitVol,5,FALSE()))</f>
        <v>14</v>
      </c>
      <c r="T284" s="84" t="n">
        <f aca="false">+S284*L284</f>
        <v>33.5412</v>
      </c>
      <c r="U284" s="79" t="n">
        <f aca="false">IF(ISNA(VLOOKUP(B284,SplitVol,6,FALSE())),0,VLOOKUP(B284,SplitVol,6,FALSE()))-1</f>
        <v>166</v>
      </c>
      <c r="V284" s="84" t="n">
        <f aca="false">+U284*L284</f>
        <v>397.7028</v>
      </c>
      <c r="W284" s="85" t="n">
        <f aca="false">IF(ISBLANK(VLOOKUP(B284,EffDate,4,FALSE())),"na",VLOOKUP(B284,EffDate,4,FALSE()))</f>
        <v>37257</v>
      </c>
      <c r="X284" s="86" t="n">
        <f aca="false">+M284-S284-U284</f>
        <v>0</v>
      </c>
    </row>
    <row r="285" customFormat="false" ht="15" hidden="false" customHeight="true" outlineLevel="0" collapsed="false">
      <c r="A285" s="78" t="s">
        <v>273</v>
      </c>
      <c r="B285" s="78" t="s">
        <v>376</v>
      </c>
      <c r="C285" s="78" t="n">
        <v>3415201</v>
      </c>
      <c r="D285" s="90" t="s">
        <v>371</v>
      </c>
      <c r="E285" s="91" t="n">
        <v>37257</v>
      </c>
      <c r="F285" s="4"/>
      <c r="G285" s="78" t="n">
        <v>73632</v>
      </c>
      <c r="H285" s="78" t="s">
        <v>545</v>
      </c>
      <c r="I285" s="78" t="s">
        <v>546</v>
      </c>
      <c r="J285" s="79" t="str">
        <f aca="false">IF(ISNA(VLOOKUP(B285,cngdata,7,FALSE())),"na",VLOOKUP(B285,cngdata,7,FALSE()))</f>
        <v>GW</v>
      </c>
      <c r="K285" s="79" t="n">
        <f aca="false">IF(ISNA(VLOOKUP(B285,cngdata,13,FALSE())),"na",VLOOKUP(B285,cngdata,13,FALSE()))</f>
        <v>0</v>
      </c>
      <c r="L285" s="80" t="n">
        <f aca="false">L$2*99%</f>
        <v>2.3958</v>
      </c>
      <c r="M285" s="79" t="n">
        <f aca="false">IF(ISNA(VLOOKUP(B285,cngdata,14,FALSE())),0,VLOOKUP(B285,cngdata,14,FALSE()))</f>
        <v>0</v>
      </c>
      <c r="O285" s="81" t="n">
        <v>0</v>
      </c>
      <c r="P285" s="82" t="n">
        <f aca="false">L285-O285</f>
        <v>2.3958</v>
      </c>
      <c r="Q285" s="83" t="n">
        <f aca="false">M285*P285</f>
        <v>0</v>
      </c>
      <c r="R285" s="74"/>
      <c r="S285" s="79" t="n">
        <f aca="false">IF(ISNA(VLOOKUP(B285,SplitVol,5,FALSE())),0,VLOOKUP(B285,SplitVol,5,FALSE()))</f>
        <v>0</v>
      </c>
      <c r="T285" s="84" t="n">
        <f aca="false">+S285*L285</f>
        <v>0</v>
      </c>
      <c r="U285" s="79" t="n">
        <f aca="false">IF(ISNA(VLOOKUP(B285,SplitVol,6,FALSE())),0,VLOOKUP(B285,SplitVol,6,FALSE()))</f>
        <v>0</v>
      </c>
      <c r="V285" s="84" t="n">
        <f aca="false">+U285*L285</f>
        <v>0</v>
      </c>
      <c r="W285" s="85" t="n">
        <f aca="false">IF(ISBLANK(VLOOKUP(B285,EffDate,4,FALSE())),"na",VLOOKUP(B285,EffDate,4,FALSE()))</f>
        <v>37257</v>
      </c>
      <c r="X285" s="86" t="n">
        <f aca="false">+M285-S285-U285</f>
        <v>0</v>
      </c>
    </row>
    <row r="286" customFormat="false" ht="15" hidden="false" customHeight="true" outlineLevel="0" collapsed="false">
      <c r="A286" s="78" t="s">
        <v>273</v>
      </c>
      <c r="B286" s="78" t="s">
        <v>372</v>
      </c>
      <c r="C286" s="78" t="n">
        <v>3133001</v>
      </c>
      <c r="D286" s="90" t="s">
        <v>371</v>
      </c>
      <c r="E286" s="91" t="n">
        <v>37257</v>
      </c>
      <c r="F286" s="4"/>
      <c r="G286" s="78" t="n">
        <v>73632</v>
      </c>
      <c r="H286" s="78" t="s">
        <v>545</v>
      </c>
      <c r="I286" s="78" t="s">
        <v>546</v>
      </c>
      <c r="J286" s="79" t="str">
        <f aca="false">IF(ISNA(VLOOKUP(B286,cngdata,7,FALSE())),"na",VLOOKUP(B286,cngdata,7,FALSE()))</f>
        <v>GW</v>
      </c>
      <c r="K286" s="79" t="n">
        <f aca="false">IF(ISNA(VLOOKUP(B286,cngdata,13,FALSE())),"na",VLOOKUP(B286,cngdata,13,FALSE()))</f>
        <v>160</v>
      </c>
      <c r="L286" s="80" t="n">
        <f aca="false">L$2*99%</f>
        <v>2.3958</v>
      </c>
      <c r="M286" s="79" t="n">
        <f aca="false">IF(ISNA(VLOOKUP(B286,cngdata,14,FALSE())),0,VLOOKUP(B286,cngdata,14,FALSE()))</f>
        <v>219</v>
      </c>
      <c r="O286" s="81" t="n">
        <v>0</v>
      </c>
      <c r="P286" s="82" t="n">
        <f aca="false">L286-O286</f>
        <v>2.3958</v>
      </c>
      <c r="Q286" s="83" t="n">
        <f aca="false">M286*P286</f>
        <v>524.6802</v>
      </c>
      <c r="R286" s="74"/>
      <c r="S286" s="79" t="n">
        <f aca="false">IF(ISNA(VLOOKUP(B286,SplitVol,5,FALSE())),0,VLOOKUP(B286,SplitVol,5,FALSE()))</f>
        <v>12</v>
      </c>
      <c r="T286" s="84" t="n">
        <f aca="false">+S286*L286</f>
        <v>28.7496</v>
      </c>
      <c r="U286" s="79" t="n">
        <f aca="false">IF(ISNA(VLOOKUP(B286,SplitVol,6,FALSE())),0,VLOOKUP(B286,SplitVol,6,FALSE()))</f>
        <v>207</v>
      </c>
      <c r="V286" s="84" t="n">
        <f aca="false">+U286*L286</f>
        <v>495.9306</v>
      </c>
      <c r="W286" s="85" t="n">
        <f aca="false">IF(ISBLANK(VLOOKUP(B286,EffDate,4,FALSE())),"na",VLOOKUP(B286,EffDate,4,FALSE()))</f>
        <v>37257</v>
      </c>
      <c r="X286" s="86" t="n">
        <f aca="false">+M286-S286-U286</f>
        <v>0</v>
      </c>
    </row>
    <row r="287" customFormat="false" ht="15" hidden="false" customHeight="true" outlineLevel="0" collapsed="false">
      <c r="A287" s="4" t="s">
        <v>5</v>
      </c>
      <c r="B287" s="77" t="s">
        <v>370</v>
      </c>
      <c r="C287" s="4" t="n">
        <v>3130301</v>
      </c>
      <c r="D287" s="90" t="s">
        <v>371</v>
      </c>
      <c r="E287" s="91" t="n">
        <v>37257</v>
      </c>
      <c r="F287" s="4"/>
      <c r="G287" s="78" t="n">
        <v>73632</v>
      </c>
      <c r="H287" s="78" t="s">
        <v>545</v>
      </c>
      <c r="I287" s="78" t="s">
        <v>546</v>
      </c>
      <c r="J287" s="79" t="str">
        <f aca="false">IF(ISNA(VLOOKUP(B287,cngdata,7,FALSE())),"na",VLOOKUP(B287,cngdata,7,FALSE()))</f>
        <v>GW</v>
      </c>
      <c r="K287" s="79" t="n">
        <f aca="false">IF(ISNA(VLOOKUP(B287,cngdata,13,FALSE())),"na",VLOOKUP(B287,cngdata,13,FALSE()))</f>
        <v>435</v>
      </c>
      <c r="L287" s="80" t="n">
        <f aca="false">L$2*99%</f>
        <v>2.3958</v>
      </c>
      <c r="M287" s="79" t="n">
        <f aca="false">IF(ISNA(VLOOKUP(B287,cngdata,14,FALSE())),0,VLOOKUP(B287,cngdata,14,FALSE()))</f>
        <v>553</v>
      </c>
      <c r="O287" s="81" t="n">
        <v>0</v>
      </c>
      <c r="P287" s="82" t="n">
        <f aca="false">L287-O287</f>
        <v>2.3958</v>
      </c>
      <c r="Q287" s="83" t="n">
        <f aca="false">M287*P287</f>
        <v>1324.8774</v>
      </c>
      <c r="R287" s="74"/>
      <c r="S287" s="79" t="n">
        <f aca="false">IF(ISNA(VLOOKUP(B287,SplitVol,5,FALSE())),0,VLOOKUP(B287,SplitVol,5,FALSE()))</f>
        <v>35</v>
      </c>
      <c r="T287" s="84" t="n">
        <f aca="false">+S287*L287</f>
        <v>83.853</v>
      </c>
      <c r="U287" s="79" t="n">
        <f aca="false">IF(ISNA(VLOOKUP(B287,SplitVol,6,FALSE())),0,VLOOKUP(B287,SplitVol,6,FALSE()))</f>
        <v>518</v>
      </c>
      <c r="V287" s="84" t="n">
        <f aca="false">+U287*L287</f>
        <v>1241.0244</v>
      </c>
      <c r="W287" s="85" t="n">
        <f aca="false">IF(ISBLANK(VLOOKUP(B287,EffDate,4,FALSE())),"na",VLOOKUP(B287,EffDate,4,FALSE()))</f>
        <v>37257</v>
      </c>
      <c r="X287" s="86" t="n">
        <f aca="false">+M287-S287-U287</f>
        <v>0</v>
      </c>
    </row>
    <row r="288" customFormat="false" ht="15" hidden="false" customHeight="true" outlineLevel="0" collapsed="false">
      <c r="A288" s="4" t="s">
        <v>104</v>
      </c>
      <c r="B288" s="77" t="s">
        <v>374</v>
      </c>
      <c r="C288" s="4" t="n">
        <v>3394401</v>
      </c>
      <c r="D288" s="90" t="s">
        <v>371</v>
      </c>
      <c r="E288" s="91" t="n">
        <v>37257</v>
      </c>
      <c r="F288" s="4"/>
      <c r="G288" s="78" t="n">
        <v>73632</v>
      </c>
      <c r="H288" s="78" t="s">
        <v>545</v>
      </c>
      <c r="I288" s="78" t="s">
        <v>546</v>
      </c>
      <c r="J288" s="79" t="str">
        <f aca="false">IF(ISNA(VLOOKUP(B288,cngdata,7,FALSE())),"na",VLOOKUP(B288,cngdata,7,FALSE()))</f>
        <v>TW</v>
      </c>
      <c r="K288" s="79" t="n">
        <f aca="false">IF(ISNA(VLOOKUP(B288,cngdata,13,FALSE())),"na",VLOOKUP(B288,cngdata,13,FALSE()))</f>
        <v>307</v>
      </c>
      <c r="L288" s="80" t="n">
        <f aca="false">L$2*99%</f>
        <v>2.3958</v>
      </c>
      <c r="M288" s="79" t="n">
        <f aca="false">IF(ISNA(VLOOKUP(B288,cngdata,14,FALSE())),0,VLOOKUP(B288,cngdata,14,FALSE()))</f>
        <v>437</v>
      </c>
      <c r="O288" s="81" t="n">
        <v>0</v>
      </c>
      <c r="P288" s="82" t="n">
        <f aca="false">L288-O288</f>
        <v>2.3958</v>
      </c>
      <c r="Q288" s="83" t="n">
        <f aca="false">M288*P288</f>
        <v>1046.9646</v>
      </c>
      <c r="R288" s="74"/>
      <c r="S288" s="79" t="n">
        <f aca="false">IF(ISNA(VLOOKUP(B288,SplitVol,5,FALSE())),0,VLOOKUP(B288,SplitVol,5,FALSE()))</f>
        <v>29</v>
      </c>
      <c r="T288" s="84" t="n">
        <f aca="false">+S288*L288</f>
        <v>69.4782</v>
      </c>
      <c r="U288" s="79" t="n">
        <f aca="false">IF(ISNA(VLOOKUP(B288,SplitVol,6,FALSE())),0,VLOOKUP(B288,SplitVol,6,FALSE()))</f>
        <v>408</v>
      </c>
      <c r="V288" s="84" t="n">
        <f aca="false">+U288*L288</f>
        <v>977.4864</v>
      </c>
      <c r="W288" s="85" t="n">
        <f aca="false">IF(ISBLANK(VLOOKUP(B288,EffDate,4,FALSE())),"na",VLOOKUP(B288,EffDate,4,FALSE()))</f>
        <v>37257</v>
      </c>
      <c r="X288" s="86" t="n">
        <f aca="false">+M288-S288-U288</f>
        <v>0</v>
      </c>
    </row>
    <row r="289" customFormat="false" ht="15" hidden="false" customHeight="true" outlineLevel="0" collapsed="false">
      <c r="A289" s="4" t="s">
        <v>5</v>
      </c>
      <c r="B289" s="77" t="s">
        <v>381</v>
      </c>
      <c r="C289" s="4" t="n">
        <v>4243601</v>
      </c>
      <c r="D289" s="90" t="s">
        <v>371</v>
      </c>
      <c r="E289" s="91" t="n">
        <v>37257</v>
      </c>
      <c r="F289" s="4"/>
      <c r="G289" s="78" t="n">
        <v>73632</v>
      </c>
      <c r="H289" s="78" t="s">
        <v>545</v>
      </c>
      <c r="I289" s="78" t="s">
        <v>546</v>
      </c>
      <c r="J289" s="79" t="str">
        <f aca="false">IF(ISNA(VLOOKUP(B289,cngdata,7,FALSE())),"na",VLOOKUP(B289,cngdata,7,FALSE()))</f>
        <v>GW</v>
      </c>
      <c r="K289" s="79" t="n">
        <f aca="false">IF(ISNA(VLOOKUP(B289,cngdata,13,FALSE())),"na",VLOOKUP(B289,cngdata,13,FALSE()))</f>
        <v>213</v>
      </c>
      <c r="L289" s="80" t="n">
        <f aca="false">L$2*99%</f>
        <v>2.3958</v>
      </c>
      <c r="M289" s="79" t="n">
        <f aca="false">IF(ISNA(VLOOKUP(B289,cngdata,14,FALSE())),0,VLOOKUP(B289,cngdata,14,FALSE()))</f>
        <v>264</v>
      </c>
      <c r="O289" s="81" t="n">
        <v>0</v>
      </c>
      <c r="P289" s="82" t="n">
        <f aca="false">L289-O289</f>
        <v>2.3958</v>
      </c>
      <c r="Q289" s="83" t="n">
        <f aca="false">M289*P289</f>
        <v>632.4912</v>
      </c>
      <c r="R289" s="74"/>
      <c r="S289" s="79" t="n">
        <f aca="false">IF(ISNA(VLOOKUP(B289,SplitVol,5,FALSE())),0,VLOOKUP(B289,SplitVol,5,FALSE()))</f>
        <v>21</v>
      </c>
      <c r="T289" s="84" t="n">
        <f aca="false">+S289*L289</f>
        <v>50.3118</v>
      </c>
      <c r="U289" s="79" t="n">
        <f aca="false">IF(ISNA(VLOOKUP(B289,SplitVol,6,FALSE())),0,VLOOKUP(B289,SplitVol,6,FALSE()))</f>
        <v>243</v>
      </c>
      <c r="V289" s="84" t="n">
        <f aca="false">+U289*L289</f>
        <v>582.1794</v>
      </c>
      <c r="W289" s="85" t="n">
        <f aca="false">IF(ISBLANK(VLOOKUP(B289,EffDate,4,FALSE())),"na",VLOOKUP(B289,EffDate,4,FALSE()))</f>
        <v>37257</v>
      </c>
      <c r="X289" s="86" t="n">
        <f aca="false">+M289-S289-U289</f>
        <v>0</v>
      </c>
    </row>
    <row r="290" customFormat="false" ht="15" hidden="false" customHeight="true" outlineLevel="0" collapsed="false">
      <c r="A290" s="14" t="s">
        <v>94</v>
      </c>
      <c r="B290" s="42" t="s">
        <v>380</v>
      </c>
      <c r="C290" s="14" t="n">
        <v>4156001</v>
      </c>
      <c r="D290" s="90" t="s">
        <v>371</v>
      </c>
      <c r="E290" s="91" t="n">
        <v>37257</v>
      </c>
      <c r="F290" s="4"/>
      <c r="G290" s="78" t="n">
        <v>73632</v>
      </c>
      <c r="H290" s="78" t="s">
        <v>545</v>
      </c>
      <c r="I290" s="78" t="s">
        <v>546</v>
      </c>
      <c r="J290" s="79" t="str">
        <f aca="false">IF(ISNA(VLOOKUP(B290,cngdata,7,FALSE())),"na",VLOOKUP(B290,cngdata,7,FALSE()))</f>
        <v>GD</v>
      </c>
      <c r="K290" s="79" t="n">
        <f aca="false">IF(ISNA(VLOOKUP(B290,cngdata,13,FALSE())),"na",VLOOKUP(B290,cngdata,13,FALSE()))</f>
        <v>0</v>
      </c>
      <c r="L290" s="80" t="n">
        <f aca="false">L$2*99%</f>
        <v>2.3958</v>
      </c>
      <c r="M290" s="79" t="n">
        <f aca="false">IF(ISNA(VLOOKUP(B290,cngdata,14,FALSE())),0,VLOOKUP(B290,cngdata,14,FALSE()))</f>
        <v>0</v>
      </c>
      <c r="O290" s="81" t="n">
        <v>0</v>
      </c>
      <c r="P290" s="82" t="n">
        <f aca="false">L290-O290</f>
        <v>2.3958</v>
      </c>
      <c r="Q290" s="83" t="n">
        <f aca="false">M290*P290</f>
        <v>0</v>
      </c>
      <c r="R290" s="74"/>
      <c r="S290" s="79" t="n">
        <f aca="false">IF(ISNA(VLOOKUP(B290,SplitVol,5,FALSE())),0,VLOOKUP(B290,SplitVol,5,FALSE()))</f>
        <v>0</v>
      </c>
      <c r="T290" s="84" t="n">
        <f aca="false">+S290*L290</f>
        <v>0</v>
      </c>
      <c r="U290" s="79" t="n">
        <f aca="false">IF(ISNA(VLOOKUP(B290,SplitVol,6,FALSE())),0,VLOOKUP(B290,SplitVol,6,FALSE()))</f>
        <v>0</v>
      </c>
      <c r="V290" s="84" t="n">
        <f aca="false">+U290*L290</f>
        <v>0</v>
      </c>
      <c r="W290" s="85" t="n">
        <f aca="false">IF(ISBLANK(VLOOKUP(B290,EffDate,4,FALSE())),"na",VLOOKUP(B290,EffDate,4,FALSE()))</f>
        <v>37257</v>
      </c>
      <c r="X290" s="86" t="n">
        <f aca="false">+M290-S290-U290</f>
        <v>0</v>
      </c>
    </row>
    <row r="291" customFormat="false" ht="15" hidden="false" customHeight="true" outlineLevel="0" collapsed="false">
      <c r="A291" s="78" t="s">
        <v>273</v>
      </c>
      <c r="B291" s="78" t="s">
        <v>375</v>
      </c>
      <c r="C291" s="78" t="n">
        <v>3410301</v>
      </c>
      <c r="D291" s="90" t="s">
        <v>371</v>
      </c>
      <c r="E291" s="91" t="n">
        <v>37257</v>
      </c>
      <c r="F291" s="4"/>
      <c r="G291" s="78" t="n">
        <v>73632</v>
      </c>
      <c r="H291" s="78" t="s">
        <v>545</v>
      </c>
      <c r="I291" s="78" t="s">
        <v>546</v>
      </c>
      <c r="J291" s="79" t="str">
        <f aca="false">IF(ISNA(VLOOKUP(B291,cngdata,7,FALSE())),"na",VLOOKUP(B291,cngdata,7,FALSE()))</f>
        <v>GW</v>
      </c>
      <c r="K291" s="79" t="n">
        <f aca="false">IF(ISNA(VLOOKUP(B291,cngdata,13,FALSE())),"na",VLOOKUP(B291,cngdata,13,FALSE()))</f>
        <v>58</v>
      </c>
      <c r="L291" s="80" t="n">
        <f aca="false">L$2*99%</f>
        <v>2.3958</v>
      </c>
      <c r="M291" s="79" t="n">
        <f aca="false">IF(ISNA(VLOOKUP(B291,cngdata,14,FALSE())),0,VLOOKUP(B291,cngdata,14,FALSE()))</f>
        <v>108</v>
      </c>
      <c r="O291" s="81" t="n">
        <v>0</v>
      </c>
      <c r="P291" s="82" t="n">
        <f aca="false">L291-O291</f>
        <v>2.3958</v>
      </c>
      <c r="Q291" s="83" t="n">
        <f aca="false">M291*P291</f>
        <v>258.7464</v>
      </c>
      <c r="R291" s="74"/>
      <c r="S291" s="79" t="n">
        <f aca="false">IF(ISNA(VLOOKUP(B291,SplitVol,5,FALSE())),0,VLOOKUP(B291,SplitVol,5,FALSE()))</f>
        <v>7</v>
      </c>
      <c r="T291" s="84" t="n">
        <f aca="false">+S291*L291</f>
        <v>16.7706</v>
      </c>
      <c r="U291" s="79" t="n">
        <f aca="false">IF(ISNA(VLOOKUP(B291,SplitVol,6,FALSE())),0,VLOOKUP(B291,SplitVol,6,FALSE()))</f>
        <v>101</v>
      </c>
      <c r="V291" s="84" t="n">
        <f aca="false">+U291*L291</f>
        <v>241.9758</v>
      </c>
      <c r="W291" s="85" t="n">
        <f aca="false">IF(ISBLANK(VLOOKUP(B291,EffDate,4,FALSE())),"na",VLOOKUP(B291,EffDate,4,FALSE()))</f>
        <v>37257</v>
      </c>
      <c r="X291" s="86" t="n">
        <f aca="false">+M291-S291-U291</f>
        <v>0</v>
      </c>
    </row>
    <row r="292" customFormat="false" ht="15" hidden="false" customHeight="true" outlineLevel="0" collapsed="false">
      <c r="A292" s="4" t="s">
        <v>5</v>
      </c>
      <c r="B292" s="77" t="s">
        <v>382</v>
      </c>
      <c r="C292" s="4" t="n">
        <v>3422001</v>
      </c>
      <c r="D292" s="4" t="s">
        <v>383</v>
      </c>
      <c r="E292" s="72" t="s">
        <v>517</v>
      </c>
      <c r="F292" s="4"/>
      <c r="G292" s="78" t="n">
        <v>74123</v>
      </c>
      <c r="H292" s="78" t="s">
        <v>607</v>
      </c>
      <c r="I292" s="78" t="s">
        <v>608</v>
      </c>
      <c r="J292" s="79" t="str">
        <f aca="false">IF(ISNA(VLOOKUP(B292,cngdata,7,FALSE())),"na",VLOOKUP(B292,cngdata,7,FALSE()))</f>
        <v>GW</v>
      </c>
      <c r="K292" s="79" t="n">
        <f aca="false">IF(ISNA(VLOOKUP(B292,cngdata,13,FALSE())),"na",VLOOKUP(B292,cngdata,13,FALSE()))</f>
        <v>0</v>
      </c>
      <c r="L292" s="80" t="n">
        <f aca="false">L$2*96%</f>
        <v>2.3232</v>
      </c>
      <c r="M292" s="79" t="n">
        <f aca="false">IF(ISNA(VLOOKUP(B292,cngdata,14,FALSE())),0,VLOOKUP(B292,cngdata,14,FALSE()))</f>
        <v>0</v>
      </c>
      <c r="O292" s="81" t="n">
        <v>0</v>
      </c>
      <c r="P292" s="82" t="n">
        <f aca="false">L292-O292</f>
        <v>2.3232</v>
      </c>
      <c r="Q292" s="83" t="n">
        <f aca="false">M292*P292</f>
        <v>0</v>
      </c>
      <c r="R292" s="74"/>
      <c r="S292" s="79" t="n">
        <f aca="false">IF(ISNA(VLOOKUP(B292,SplitVol,5,FALSE())),0,VLOOKUP(B292,SplitVol,5,FALSE()))</f>
        <v>0</v>
      </c>
      <c r="T292" s="84" t="n">
        <f aca="false">+S292*L292</f>
        <v>0</v>
      </c>
      <c r="U292" s="79" t="n">
        <f aca="false">IF(ISNA(VLOOKUP(B292,SplitVol,6,FALSE())),0,VLOOKUP(B292,SplitVol,6,FALSE()))</f>
        <v>0</v>
      </c>
      <c r="V292" s="84" t="n">
        <f aca="false">+U292*L292</f>
        <v>0</v>
      </c>
      <c r="W292" s="85" t="n">
        <f aca="false">IF(ISBLANK(VLOOKUP(B292,EffDate,4,FALSE())),"na",VLOOKUP(B292,EffDate,4,FALSE()))</f>
        <v>37228</v>
      </c>
      <c r="X292" s="86" t="n">
        <f aca="false">+M292-S292-U292</f>
        <v>0</v>
      </c>
    </row>
    <row r="293" customFormat="false" ht="15" hidden="false" customHeight="true" outlineLevel="0" collapsed="false">
      <c r="A293" s="4" t="s">
        <v>26</v>
      </c>
      <c r="B293" s="77" t="s">
        <v>386</v>
      </c>
      <c r="C293" s="4" t="s">
        <v>26</v>
      </c>
      <c r="D293" s="8" t="s">
        <v>385</v>
      </c>
      <c r="E293" s="72" t="s">
        <v>517</v>
      </c>
      <c r="F293" s="144"/>
      <c r="G293" s="144" t="n">
        <v>76053</v>
      </c>
      <c r="H293" s="144" t="s">
        <v>609</v>
      </c>
      <c r="I293" s="145" t="s">
        <v>610</v>
      </c>
      <c r="J293" s="79" t="str">
        <f aca="false">IF(ISNA(VLOOKUP(B293,cngdata,7,FALSE())),"na",VLOOKUP(B293,cngdata,7,FALSE()))</f>
        <v>na</v>
      </c>
      <c r="K293" s="79" t="str">
        <f aca="false">IF(ISNA(VLOOKUP(B293,cngdata,13,FALSE())),"na",VLOOKUP(B293,cngdata,13,FALSE()))</f>
        <v>na</v>
      </c>
      <c r="L293" s="146" t="n">
        <v>0</v>
      </c>
      <c r="M293" s="79" t="n">
        <f aca="false">IF(ISNA(VLOOKUP(B293,cngdata,14,FALSE())),0,VLOOKUP(B293,cngdata,14,FALSE()))</f>
        <v>0</v>
      </c>
      <c r="O293" s="81" t="n">
        <v>0</v>
      </c>
      <c r="P293" s="96" t="n">
        <f aca="false">L293-O293</f>
        <v>0</v>
      </c>
      <c r="Q293" s="97" t="n">
        <f aca="false">M293*P293</f>
        <v>0</v>
      </c>
      <c r="R293" s="98"/>
      <c r="S293" s="79" t="n">
        <f aca="false">IF(ISNA(VLOOKUP(B293,SplitVol,5,FALSE())),0,VLOOKUP(B293,SplitVol,5,FALSE()))</f>
        <v>0</v>
      </c>
      <c r="T293" s="84" t="n">
        <f aca="false">+S293*L293</f>
        <v>0</v>
      </c>
      <c r="U293" s="79" t="n">
        <f aca="false">IF(ISNA(VLOOKUP(B293,SplitVol,6,FALSE())),0,VLOOKUP(B293,SplitVol,6,FALSE()))</f>
        <v>0</v>
      </c>
      <c r="V293" s="84" t="n">
        <f aca="false">+U293*L293</f>
        <v>0</v>
      </c>
      <c r="W293" s="85" t="str">
        <f aca="false">IF(ISBLANK(VLOOKUP(B293,EffDate,4,FALSE())),"na",VLOOKUP(B293,EffDate,4,FALSE()))</f>
        <v>na</v>
      </c>
      <c r="X293" s="86" t="n">
        <f aca="false">+M293-S293-U293</f>
        <v>0</v>
      </c>
    </row>
    <row r="294" customFormat="false" ht="15" hidden="false" customHeight="true" outlineLevel="0" collapsed="false">
      <c r="A294" s="4" t="s">
        <v>26</v>
      </c>
      <c r="B294" s="77" t="s">
        <v>387</v>
      </c>
      <c r="C294" s="4" t="s">
        <v>26</v>
      </c>
      <c r="D294" s="8" t="s">
        <v>385</v>
      </c>
      <c r="E294" s="72" t="s">
        <v>517</v>
      </c>
      <c r="F294" s="144"/>
      <c r="G294" s="144" t="n">
        <v>76053</v>
      </c>
      <c r="H294" s="144" t="s">
        <v>609</v>
      </c>
      <c r="I294" s="145" t="s">
        <v>610</v>
      </c>
      <c r="J294" s="79" t="str">
        <f aca="false">IF(ISNA(VLOOKUP(B294,cngdata,7,FALSE())),"na",VLOOKUP(B294,cngdata,7,FALSE()))</f>
        <v>na</v>
      </c>
      <c r="K294" s="79" t="str">
        <f aca="false">IF(ISNA(VLOOKUP(B294,cngdata,13,FALSE())),"na",VLOOKUP(B294,cngdata,13,FALSE()))</f>
        <v>na</v>
      </c>
      <c r="L294" s="146" t="n">
        <v>0</v>
      </c>
      <c r="M294" s="79" t="n">
        <f aca="false">IF(ISNA(VLOOKUP(B294,cngdata,14,FALSE())),0,VLOOKUP(B294,cngdata,14,FALSE()))</f>
        <v>0</v>
      </c>
      <c r="O294" s="81" t="n">
        <v>0</v>
      </c>
      <c r="P294" s="96" t="n">
        <f aca="false">L294-O294</f>
        <v>0</v>
      </c>
      <c r="Q294" s="97" t="n">
        <f aca="false">M294*P294</f>
        <v>0</v>
      </c>
      <c r="R294" s="98"/>
      <c r="S294" s="79" t="n">
        <f aca="false">IF(ISNA(VLOOKUP(B294,SplitVol,5,FALSE())),0,VLOOKUP(B294,SplitVol,5,FALSE()))</f>
        <v>0</v>
      </c>
      <c r="T294" s="84" t="n">
        <f aca="false">+S294*L294</f>
        <v>0</v>
      </c>
      <c r="U294" s="79" t="n">
        <f aca="false">IF(ISNA(VLOOKUP(B294,SplitVol,6,FALSE())),0,VLOOKUP(B294,SplitVol,6,FALSE()))</f>
        <v>0</v>
      </c>
      <c r="V294" s="84" t="n">
        <f aca="false">+U294*L294</f>
        <v>0</v>
      </c>
      <c r="W294" s="85" t="str">
        <f aca="false">IF(ISBLANK(VLOOKUP(B294,EffDate,4,FALSE())),"na",VLOOKUP(B294,EffDate,4,FALSE()))</f>
        <v>na</v>
      </c>
      <c r="X294" s="86" t="n">
        <f aca="false">+M294-S294-U294</f>
        <v>0</v>
      </c>
    </row>
    <row r="295" customFormat="false" ht="15" hidden="false" customHeight="true" outlineLevel="0" collapsed="false">
      <c r="A295" s="4" t="s">
        <v>26</v>
      </c>
      <c r="B295" s="77" t="s">
        <v>388</v>
      </c>
      <c r="C295" s="4" t="s">
        <v>26</v>
      </c>
      <c r="D295" s="8" t="s">
        <v>385</v>
      </c>
      <c r="E295" s="72" t="s">
        <v>517</v>
      </c>
      <c r="F295" s="144"/>
      <c r="G295" s="144" t="n">
        <v>76053</v>
      </c>
      <c r="H295" s="144" t="s">
        <v>609</v>
      </c>
      <c r="I295" s="145" t="s">
        <v>610</v>
      </c>
      <c r="J295" s="79" t="str">
        <f aca="false">IF(ISNA(VLOOKUP(B295,cngdata,7,FALSE())),"na",VLOOKUP(B295,cngdata,7,FALSE()))</f>
        <v>na</v>
      </c>
      <c r="K295" s="79" t="str">
        <f aca="false">IF(ISNA(VLOOKUP(B295,cngdata,13,FALSE())),"na",VLOOKUP(B295,cngdata,13,FALSE()))</f>
        <v>na</v>
      </c>
      <c r="L295" s="146" t="n">
        <v>0</v>
      </c>
      <c r="M295" s="79" t="n">
        <f aca="false">IF(ISNA(VLOOKUP(B295,cngdata,14,FALSE())),0,VLOOKUP(B295,cngdata,14,FALSE()))</f>
        <v>0</v>
      </c>
      <c r="O295" s="81" t="n">
        <v>0</v>
      </c>
      <c r="P295" s="96" t="n">
        <f aca="false">L295-O295</f>
        <v>0</v>
      </c>
      <c r="Q295" s="97" t="n">
        <f aca="false">M295*P295</f>
        <v>0</v>
      </c>
      <c r="R295" s="98"/>
      <c r="S295" s="79" t="n">
        <f aca="false">IF(ISNA(VLOOKUP(B295,SplitVol,5,FALSE())),0,VLOOKUP(B295,SplitVol,5,FALSE()))</f>
        <v>0</v>
      </c>
      <c r="T295" s="84" t="n">
        <f aca="false">+S295*L295</f>
        <v>0</v>
      </c>
      <c r="U295" s="79" t="n">
        <f aca="false">IF(ISNA(VLOOKUP(B295,SplitVol,6,FALSE())),0,VLOOKUP(B295,SplitVol,6,FALSE()))</f>
        <v>0</v>
      </c>
      <c r="V295" s="84" t="n">
        <f aca="false">+U295*L295</f>
        <v>0</v>
      </c>
      <c r="W295" s="85" t="str">
        <f aca="false">IF(ISBLANK(VLOOKUP(B295,EffDate,4,FALSE())),"na",VLOOKUP(B295,EffDate,4,FALSE()))</f>
        <v>na</v>
      </c>
      <c r="X295" s="86" t="n">
        <f aca="false">+M295-S295-U295</f>
        <v>0</v>
      </c>
    </row>
    <row r="296" customFormat="false" ht="15" hidden="false" customHeight="true" outlineLevel="0" collapsed="false">
      <c r="A296" s="4" t="s">
        <v>26</v>
      </c>
      <c r="B296" s="77" t="s">
        <v>389</v>
      </c>
      <c r="C296" s="4" t="s">
        <v>26</v>
      </c>
      <c r="D296" s="8" t="s">
        <v>385</v>
      </c>
      <c r="E296" s="72" t="s">
        <v>517</v>
      </c>
      <c r="F296" s="144"/>
      <c r="G296" s="144" t="n">
        <v>76053</v>
      </c>
      <c r="H296" s="144" t="s">
        <v>609</v>
      </c>
      <c r="I296" s="145" t="s">
        <v>610</v>
      </c>
      <c r="J296" s="79" t="str">
        <f aca="false">IF(ISNA(VLOOKUP(B296,cngdata,7,FALSE())),"na",VLOOKUP(B296,cngdata,7,FALSE()))</f>
        <v>na</v>
      </c>
      <c r="K296" s="79" t="str">
        <f aca="false">IF(ISNA(VLOOKUP(B296,cngdata,13,FALSE())),"na",VLOOKUP(B296,cngdata,13,FALSE()))</f>
        <v>na</v>
      </c>
      <c r="L296" s="146" t="n">
        <v>0</v>
      </c>
      <c r="M296" s="79" t="n">
        <f aca="false">IF(ISNA(VLOOKUP(B296,cngdata,14,FALSE())),0,VLOOKUP(B296,cngdata,14,FALSE()))</f>
        <v>0</v>
      </c>
      <c r="O296" s="81" t="n">
        <v>0</v>
      </c>
      <c r="P296" s="96" t="n">
        <f aca="false">L296-O296</f>
        <v>0</v>
      </c>
      <c r="Q296" s="97" t="n">
        <f aca="false">M296*P296</f>
        <v>0</v>
      </c>
      <c r="R296" s="98"/>
      <c r="S296" s="79" t="n">
        <f aca="false">IF(ISNA(VLOOKUP(B296,SplitVol,5,FALSE())),0,VLOOKUP(B296,SplitVol,5,FALSE()))</f>
        <v>0</v>
      </c>
      <c r="T296" s="84" t="n">
        <f aca="false">+S296*L296</f>
        <v>0</v>
      </c>
      <c r="U296" s="79" t="n">
        <f aca="false">IF(ISNA(VLOOKUP(B296,SplitVol,6,FALSE())),0,VLOOKUP(B296,SplitVol,6,FALSE()))</f>
        <v>0</v>
      </c>
      <c r="V296" s="84" t="n">
        <f aca="false">+U296*L296</f>
        <v>0</v>
      </c>
      <c r="W296" s="85" t="str">
        <f aca="false">IF(ISBLANK(VLOOKUP(B296,EffDate,4,FALSE())),"na",VLOOKUP(B296,EffDate,4,FALSE()))</f>
        <v>na</v>
      </c>
      <c r="X296" s="86" t="n">
        <f aca="false">+M296-S296-U296</f>
        <v>0</v>
      </c>
    </row>
    <row r="297" customFormat="false" ht="15" hidden="false" customHeight="true" outlineLevel="0" collapsed="false">
      <c r="A297" s="4" t="s">
        <v>26</v>
      </c>
      <c r="B297" s="77" t="s">
        <v>390</v>
      </c>
      <c r="C297" s="4" t="s">
        <v>26</v>
      </c>
      <c r="D297" s="8" t="s">
        <v>385</v>
      </c>
      <c r="E297" s="72" t="s">
        <v>517</v>
      </c>
      <c r="F297" s="144"/>
      <c r="G297" s="144" t="n">
        <v>76053</v>
      </c>
      <c r="H297" s="144" t="s">
        <v>609</v>
      </c>
      <c r="I297" s="145" t="s">
        <v>610</v>
      </c>
      <c r="J297" s="79" t="str">
        <f aca="false">IF(ISNA(VLOOKUP(B297,cngdata,7,FALSE())),"na",VLOOKUP(B297,cngdata,7,FALSE()))</f>
        <v>na</v>
      </c>
      <c r="K297" s="79" t="str">
        <f aca="false">IF(ISNA(VLOOKUP(B297,cngdata,13,FALSE())),"na",VLOOKUP(B297,cngdata,13,FALSE()))</f>
        <v>na</v>
      </c>
      <c r="L297" s="146" t="n">
        <v>0</v>
      </c>
      <c r="M297" s="79" t="n">
        <f aca="false">IF(ISNA(VLOOKUP(B297,cngdata,14,FALSE())),0,VLOOKUP(B297,cngdata,14,FALSE()))</f>
        <v>0</v>
      </c>
      <c r="O297" s="81" t="n">
        <v>0</v>
      </c>
      <c r="P297" s="96" t="n">
        <f aca="false">L297-O297</f>
        <v>0</v>
      </c>
      <c r="Q297" s="97" t="n">
        <f aca="false">M297*P297</f>
        <v>0</v>
      </c>
      <c r="R297" s="98"/>
      <c r="S297" s="79" t="n">
        <f aca="false">IF(ISNA(VLOOKUP(B297,SplitVol,5,FALSE())),0,VLOOKUP(B297,SplitVol,5,FALSE()))</f>
        <v>0</v>
      </c>
      <c r="T297" s="84" t="n">
        <f aca="false">+S297*L297</f>
        <v>0</v>
      </c>
      <c r="U297" s="79" t="n">
        <f aca="false">IF(ISNA(VLOOKUP(B297,SplitVol,6,FALSE())),0,VLOOKUP(B297,SplitVol,6,FALSE()))</f>
        <v>0</v>
      </c>
      <c r="V297" s="84" t="n">
        <f aca="false">+U297*L297</f>
        <v>0</v>
      </c>
      <c r="W297" s="85" t="str">
        <f aca="false">IF(ISBLANK(VLOOKUP(B297,EffDate,4,FALSE())),"na",VLOOKUP(B297,EffDate,4,FALSE()))</f>
        <v>na</v>
      </c>
      <c r="X297" s="86" t="n">
        <f aca="false">+M297-S297-U297</f>
        <v>0</v>
      </c>
    </row>
    <row r="298" customFormat="false" ht="15" hidden="false" customHeight="true" outlineLevel="0" collapsed="false">
      <c r="A298" s="4" t="s">
        <v>26</v>
      </c>
      <c r="B298" s="77" t="s">
        <v>391</v>
      </c>
      <c r="C298" s="4" t="s">
        <v>26</v>
      </c>
      <c r="D298" s="8" t="s">
        <v>385</v>
      </c>
      <c r="E298" s="72" t="s">
        <v>517</v>
      </c>
      <c r="F298" s="144"/>
      <c r="G298" s="144" t="n">
        <v>76053</v>
      </c>
      <c r="H298" s="144" t="s">
        <v>609</v>
      </c>
      <c r="I298" s="145" t="s">
        <v>610</v>
      </c>
      <c r="J298" s="79" t="str">
        <f aca="false">IF(ISNA(VLOOKUP(B298,cngdata,7,FALSE())),"na",VLOOKUP(B298,cngdata,7,FALSE()))</f>
        <v>na</v>
      </c>
      <c r="K298" s="79" t="str">
        <f aca="false">IF(ISNA(VLOOKUP(B298,cngdata,13,FALSE())),"na",VLOOKUP(B298,cngdata,13,FALSE()))</f>
        <v>na</v>
      </c>
      <c r="L298" s="146" t="n">
        <v>0</v>
      </c>
      <c r="M298" s="79" t="n">
        <f aca="false">IF(ISNA(VLOOKUP(B298,cngdata,14,FALSE())),0,VLOOKUP(B298,cngdata,14,FALSE()))</f>
        <v>0</v>
      </c>
      <c r="O298" s="81" t="n">
        <v>0</v>
      </c>
      <c r="P298" s="96" t="n">
        <f aca="false">L298-O298</f>
        <v>0</v>
      </c>
      <c r="Q298" s="97" t="n">
        <f aca="false">M298*P298</f>
        <v>0</v>
      </c>
      <c r="R298" s="98"/>
      <c r="S298" s="79" t="n">
        <f aca="false">IF(ISNA(VLOOKUP(B298,SplitVol,5,FALSE())),0,VLOOKUP(B298,SplitVol,5,FALSE()))</f>
        <v>0</v>
      </c>
      <c r="T298" s="84" t="n">
        <f aca="false">+S298*L298</f>
        <v>0</v>
      </c>
      <c r="U298" s="79" t="n">
        <f aca="false">IF(ISNA(VLOOKUP(B298,SplitVol,6,FALSE())),0,VLOOKUP(B298,SplitVol,6,FALSE()))</f>
        <v>0</v>
      </c>
      <c r="V298" s="84" t="n">
        <f aca="false">+U298*L298</f>
        <v>0</v>
      </c>
      <c r="W298" s="85" t="str">
        <f aca="false">IF(ISBLANK(VLOOKUP(B298,EffDate,4,FALSE())),"na",VLOOKUP(B298,EffDate,4,FALSE()))</f>
        <v>na</v>
      </c>
      <c r="X298" s="86" t="n">
        <f aca="false">+M298-S298-U298</f>
        <v>0</v>
      </c>
    </row>
    <row r="299" customFormat="false" ht="15" hidden="false" customHeight="true" outlineLevel="0" collapsed="false">
      <c r="A299" s="4" t="s">
        <v>26</v>
      </c>
      <c r="B299" s="77" t="s">
        <v>392</v>
      </c>
      <c r="C299" s="4" t="s">
        <v>26</v>
      </c>
      <c r="D299" s="8" t="s">
        <v>385</v>
      </c>
      <c r="E299" s="72" t="s">
        <v>517</v>
      </c>
      <c r="F299" s="144"/>
      <c r="G299" s="144" t="n">
        <v>76053</v>
      </c>
      <c r="H299" s="144" t="s">
        <v>609</v>
      </c>
      <c r="I299" s="145" t="s">
        <v>610</v>
      </c>
      <c r="J299" s="79" t="str">
        <f aca="false">IF(ISNA(VLOOKUP(B299,cngdata,7,FALSE())),"na",VLOOKUP(B299,cngdata,7,FALSE()))</f>
        <v>na</v>
      </c>
      <c r="K299" s="79" t="str">
        <f aca="false">IF(ISNA(VLOOKUP(B299,cngdata,13,FALSE())),"na",VLOOKUP(B299,cngdata,13,FALSE()))</f>
        <v>na</v>
      </c>
      <c r="L299" s="146" t="n">
        <v>0</v>
      </c>
      <c r="M299" s="79" t="n">
        <f aca="false">IF(ISNA(VLOOKUP(B299,cngdata,14,FALSE())),0,VLOOKUP(B299,cngdata,14,FALSE()))</f>
        <v>0</v>
      </c>
      <c r="O299" s="81" t="n">
        <v>0</v>
      </c>
      <c r="P299" s="96" t="n">
        <f aca="false">L299-O299</f>
        <v>0</v>
      </c>
      <c r="Q299" s="97" t="n">
        <f aca="false">M299*P299</f>
        <v>0</v>
      </c>
      <c r="R299" s="98"/>
      <c r="S299" s="79" t="n">
        <f aca="false">IF(ISNA(VLOOKUP(B299,SplitVol,5,FALSE())),0,VLOOKUP(B299,SplitVol,5,FALSE()))</f>
        <v>0</v>
      </c>
      <c r="T299" s="84" t="n">
        <f aca="false">+S299*L299</f>
        <v>0</v>
      </c>
      <c r="U299" s="79" t="n">
        <f aca="false">IF(ISNA(VLOOKUP(B299,SplitVol,6,FALSE())),0,VLOOKUP(B299,SplitVol,6,FALSE()))</f>
        <v>0</v>
      </c>
      <c r="V299" s="84" t="n">
        <f aca="false">+U299*L299</f>
        <v>0</v>
      </c>
      <c r="W299" s="85" t="str">
        <f aca="false">IF(ISBLANK(VLOOKUP(B299,EffDate,4,FALSE())),"na",VLOOKUP(B299,EffDate,4,FALSE()))</f>
        <v>na</v>
      </c>
      <c r="X299" s="86" t="n">
        <f aca="false">+M299-S299-U299</f>
        <v>0</v>
      </c>
    </row>
    <row r="300" customFormat="false" ht="15" hidden="false" customHeight="true" outlineLevel="0" collapsed="false">
      <c r="A300" s="4" t="s">
        <v>26</v>
      </c>
      <c r="B300" s="77" t="s">
        <v>393</v>
      </c>
      <c r="C300" s="4" t="s">
        <v>26</v>
      </c>
      <c r="D300" s="8" t="s">
        <v>385</v>
      </c>
      <c r="E300" s="72" t="s">
        <v>517</v>
      </c>
      <c r="F300" s="144"/>
      <c r="G300" s="144" t="n">
        <v>76053</v>
      </c>
      <c r="H300" s="144" t="s">
        <v>609</v>
      </c>
      <c r="I300" s="145" t="s">
        <v>610</v>
      </c>
      <c r="J300" s="79" t="str">
        <f aca="false">IF(ISNA(VLOOKUP(B300,cngdata,7,FALSE())),"na",VLOOKUP(B300,cngdata,7,FALSE()))</f>
        <v>na</v>
      </c>
      <c r="K300" s="79" t="str">
        <f aca="false">IF(ISNA(VLOOKUP(B300,cngdata,13,FALSE())),"na",VLOOKUP(B300,cngdata,13,FALSE()))</f>
        <v>na</v>
      </c>
      <c r="L300" s="146" t="n">
        <v>0</v>
      </c>
      <c r="M300" s="79" t="n">
        <f aca="false">IF(ISNA(VLOOKUP(B300,cngdata,14,FALSE())),0,VLOOKUP(B300,cngdata,14,FALSE()))</f>
        <v>0</v>
      </c>
      <c r="O300" s="81" t="n">
        <v>0</v>
      </c>
      <c r="P300" s="96" t="n">
        <f aca="false">L300-O300</f>
        <v>0</v>
      </c>
      <c r="Q300" s="97" t="n">
        <f aca="false">M300*P300</f>
        <v>0</v>
      </c>
      <c r="R300" s="98"/>
      <c r="S300" s="79" t="n">
        <f aca="false">IF(ISNA(VLOOKUP(B300,SplitVol,5,FALSE())),0,VLOOKUP(B300,SplitVol,5,FALSE()))</f>
        <v>0</v>
      </c>
      <c r="T300" s="84" t="n">
        <f aca="false">+S300*L300</f>
        <v>0</v>
      </c>
      <c r="U300" s="79" t="n">
        <f aca="false">IF(ISNA(VLOOKUP(B300,SplitVol,6,FALSE())),0,VLOOKUP(B300,SplitVol,6,FALSE()))</f>
        <v>0</v>
      </c>
      <c r="V300" s="84" t="n">
        <f aca="false">+U300*L300</f>
        <v>0</v>
      </c>
      <c r="W300" s="85" t="str">
        <f aca="false">IF(ISBLANK(VLOOKUP(B300,EffDate,4,FALSE())),"na",VLOOKUP(B300,EffDate,4,FALSE()))</f>
        <v>na</v>
      </c>
      <c r="X300" s="86" t="n">
        <f aca="false">+M300-S300-U300</f>
        <v>0</v>
      </c>
    </row>
    <row r="301" customFormat="false" ht="15" hidden="false" customHeight="true" outlineLevel="0" collapsed="false">
      <c r="A301" s="4" t="s">
        <v>26</v>
      </c>
      <c r="B301" s="77" t="s">
        <v>394</v>
      </c>
      <c r="C301" s="4" t="s">
        <v>26</v>
      </c>
      <c r="D301" s="8" t="s">
        <v>385</v>
      </c>
      <c r="E301" s="72" t="s">
        <v>517</v>
      </c>
      <c r="F301" s="144"/>
      <c r="G301" s="144" t="n">
        <v>76053</v>
      </c>
      <c r="H301" s="144" t="s">
        <v>609</v>
      </c>
      <c r="I301" s="145" t="s">
        <v>610</v>
      </c>
      <c r="J301" s="79" t="str">
        <f aca="false">IF(ISNA(VLOOKUP(B301,cngdata,7,FALSE())),"na",VLOOKUP(B301,cngdata,7,FALSE()))</f>
        <v>na</v>
      </c>
      <c r="K301" s="79" t="str">
        <f aca="false">IF(ISNA(VLOOKUP(B301,cngdata,13,FALSE())),"na",VLOOKUP(B301,cngdata,13,FALSE()))</f>
        <v>na</v>
      </c>
      <c r="L301" s="146" t="n">
        <v>0</v>
      </c>
      <c r="M301" s="79" t="n">
        <f aca="false">IF(ISNA(VLOOKUP(B301,cngdata,14,FALSE())),0,VLOOKUP(B301,cngdata,14,FALSE()))</f>
        <v>0</v>
      </c>
      <c r="O301" s="81" t="n">
        <v>0</v>
      </c>
      <c r="P301" s="96" t="n">
        <f aca="false">L301-O301</f>
        <v>0</v>
      </c>
      <c r="Q301" s="97" t="n">
        <f aca="false">M301*P301</f>
        <v>0</v>
      </c>
      <c r="R301" s="98"/>
      <c r="S301" s="79" t="n">
        <f aca="false">IF(ISNA(VLOOKUP(B301,SplitVol,5,FALSE())),0,VLOOKUP(B301,SplitVol,5,FALSE()))</f>
        <v>0</v>
      </c>
      <c r="T301" s="84" t="n">
        <f aca="false">+S301*L301</f>
        <v>0</v>
      </c>
      <c r="U301" s="79" t="n">
        <f aca="false">IF(ISNA(VLOOKUP(B301,SplitVol,6,FALSE())),0,VLOOKUP(B301,SplitVol,6,FALSE()))</f>
        <v>0</v>
      </c>
      <c r="V301" s="84" t="n">
        <f aca="false">+U301*L301</f>
        <v>0</v>
      </c>
      <c r="W301" s="85" t="str">
        <f aca="false">IF(ISBLANK(VLOOKUP(B301,EffDate,4,FALSE())),"na",VLOOKUP(B301,EffDate,4,FALSE()))</f>
        <v>na</v>
      </c>
      <c r="X301" s="86" t="n">
        <f aca="false">+M301-S301-U301</f>
        <v>0</v>
      </c>
    </row>
    <row r="302" customFormat="false" ht="15" hidden="false" customHeight="true" outlineLevel="0" collapsed="false">
      <c r="A302" s="4" t="s">
        <v>94</v>
      </c>
      <c r="B302" s="142" t="s">
        <v>384</v>
      </c>
      <c r="C302" s="4" t="n">
        <v>4315601</v>
      </c>
      <c r="D302" s="147" t="s">
        <v>611</v>
      </c>
      <c r="E302" s="72" t="s">
        <v>517</v>
      </c>
      <c r="F302" s="148"/>
      <c r="G302" s="142" t="n">
        <v>76053</v>
      </c>
      <c r="H302" s="142" t="s">
        <v>609</v>
      </c>
      <c r="I302" s="149" t="s">
        <v>610</v>
      </c>
      <c r="J302" s="79" t="str">
        <f aca="false">IF(ISNA(VLOOKUP(B302,cngdata,7,FALSE())),"na",VLOOKUP(B302,cngdata,7,FALSE()))</f>
        <v>GD</v>
      </c>
      <c r="K302" s="79" t="e">
        <f aca="false">IF(ISNA(VLOOKUP(B302,cngdata,13,FALSE())),"na",VLOOKUP(B302,cngdata,13,FALSE()))</f>
        <v>#VALUE!</v>
      </c>
      <c r="L302" s="80" t="n">
        <f aca="false">$L$2</f>
        <v>2.42</v>
      </c>
      <c r="M302" s="79" t="n">
        <f aca="false">IF(ISNA(VLOOKUP(B302,cngdata,14,FALSE())),0,VLOOKUP(B302,cngdata,14,FALSE()))</f>
        <v>0</v>
      </c>
      <c r="O302" s="81" t="n">
        <v>0</v>
      </c>
      <c r="P302" s="150" t="n">
        <f aca="false">L302-O302</f>
        <v>2.42</v>
      </c>
      <c r="Q302" s="84" t="n">
        <f aca="false">M302*P302</f>
        <v>0</v>
      </c>
      <c r="R302" s="151"/>
      <c r="S302" s="79" t="n">
        <f aca="false">IF(ISNA(VLOOKUP(B302,SplitVol,5,FALSE())),0,VLOOKUP(B302,SplitVol,5,FALSE()))</f>
        <v>0</v>
      </c>
      <c r="T302" s="84" t="n">
        <f aca="false">+S302*L302</f>
        <v>0</v>
      </c>
      <c r="U302" s="79" t="n">
        <f aca="false">IF(ISNA(VLOOKUP(B302,SplitVol,6,FALSE())),0,VLOOKUP(B302,SplitVol,6,FALSE()))</f>
        <v>0</v>
      </c>
      <c r="V302" s="84" t="n">
        <f aca="false">+U302*L302</f>
        <v>0</v>
      </c>
      <c r="W302" s="85" t="str">
        <f aca="false">IF(ISBLANK(VLOOKUP(B302,EffDate,4,FALSE())),"na",VLOOKUP(B302,EffDate,4,FALSE()))</f>
        <v>na</v>
      </c>
      <c r="X302" s="86" t="n">
        <f aca="false">+M302-S302-U302</f>
        <v>0</v>
      </c>
    </row>
    <row r="303" customFormat="false" ht="15" hidden="false" customHeight="true" outlineLevel="0" collapsed="false">
      <c r="A303" s="4" t="s">
        <v>213</v>
      </c>
      <c r="B303" s="77" t="s">
        <v>395</v>
      </c>
      <c r="C303" s="4" t="n">
        <v>2095501</v>
      </c>
      <c r="D303" s="4" t="s">
        <v>396</v>
      </c>
      <c r="E303" s="72" t="s">
        <v>517</v>
      </c>
      <c r="F303" s="4"/>
      <c r="G303" s="78" t="n">
        <v>76198</v>
      </c>
      <c r="H303" s="78" t="s">
        <v>612</v>
      </c>
      <c r="I303" s="78" t="s">
        <v>543</v>
      </c>
      <c r="J303" s="79" t="str">
        <f aca="false">IF(ISNA(VLOOKUP(B303,cngdata,7,FALSE())),"na",VLOOKUP(B303,cngdata,7,FALSE()))</f>
        <v>GD</v>
      </c>
      <c r="K303" s="79" t="n">
        <f aca="false">IF(ISNA(VLOOKUP(B303,cngdata,13,FALSE())),"na",VLOOKUP(B303,cngdata,13,FALSE()))</f>
        <v>0</v>
      </c>
      <c r="L303" s="80" t="n">
        <f aca="false">$L$2*97%</f>
        <v>2.3474</v>
      </c>
      <c r="M303" s="79" t="n">
        <f aca="false">IF(ISNA(VLOOKUP(B303,cngdata,14,FALSE())),0,VLOOKUP(B303,cngdata,14,FALSE()))</f>
        <v>92</v>
      </c>
      <c r="O303" s="81" t="n">
        <v>0</v>
      </c>
      <c r="P303" s="82" t="n">
        <f aca="false">L303-O303</f>
        <v>2.3474</v>
      </c>
      <c r="Q303" s="83" t="n">
        <f aca="false">M303*P303</f>
        <v>215.9608</v>
      </c>
      <c r="R303" s="74"/>
      <c r="S303" s="79" t="n">
        <f aca="false">IF(ISNA(VLOOKUP(B303,SplitVol,5,FALSE())),0,VLOOKUP(B303,SplitVol,5,FALSE()))</f>
        <v>7</v>
      </c>
      <c r="T303" s="84" t="n">
        <f aca="false">+S303*L303</f>
        <v>16.4318</v>
      </c>
      <c r="U303" s="79" t="n">
        <f aca="false">IF(ISNA(VLOOKUP(B303,SplitVol,6,FALSE())),0,VLOOKUP(B303,SplitVol,6,FALSE()))+1</f>
        <v>85</v>
      </c>
      <c r="V303" s="84" t="n">
        <f aca="false">+U303*L303</f>
        <v>199.529</v>
      </c>
      <c r="W303" s="85" t="str">
        <f aca="false">IF(ISBLANK(VLOOKUP(B303,EffDate,4,FALSE())),"na",VLOOKUP(B303,EffDate,4,FALSE()))</f>
        <v>na</v>
      </c>
      <c r="X303" s="86" t="n">
        <f aca="false">+M303-S303-U303</f>
        <v>0</v>
      </c>
    </row>
    <row r="304" customFormat="false" ht="15" hidden="false" customHeight="true" outlineLevel="0" collapsed="false">
      <c r="A304" s="4" t="s">
        <v>5</v>
      </c>
      <c r="B304" s="77" t="s">
        <v>397</v>
      </c>
      <c r="C304" s="4" t="n">
        <v>3127501</v>
      </c>
      <c r="D304" s="4" t="s">
        <v>398</v>
      </c>
      <c r="E304" s="72" t="s">
        <v>517</v>
      </c>
      <c r="F304" s="4"/>
      <c r="G304" s="78" t="n">
        <v>77665</v>
      </c>
      <c r="H304" s="78" t="s">
        <v>613</v>
      </c>
      <c r="I304" s="78" t="s">
        <v>614</v>
      </c>
      <c r="J304" s="79" t="str">
        <f aca="false">IF(ISNA(VLOOKUP(B304,cngdata,7,FALSE())),"na",VLOOKUP(B304,cngdata,7,FALSE()))</f>
        <v>GW</v>
      </c>
      <c r="K304" s="79" t="n">
        <f aca="false">IF(ISNA(VLOOKUP(B304,cngdata,13,FALSE())),"na",VLOOKUP(B304,cngdata,13,FALSE()))</f>
        <v>183</v>
      </c>
      <c r="L304" s="80" t="n">
        <f aca="false">$L$2*85%</f>
        <v>2.057</v>
      </c>
      <c r="M304" s="79" t="n">
        <f aca="false">IF(ISNA(VLOOKUP(B304,cngdata,14,FALSE())),0,VLOOKUP(B304,cngdata,14,FALSE()))</f>
        <v>239</v>
      </c>
      <c r="O304" s="81" t="n">
        <v>0</v>
      </c>
      <c r="P304" s="82" t="n">
        <f aca="false">L304-O304</f>
        <v>2.057</v>
      </c>
      <c r="Q304" s="83" t="n">
        <f aca="false">M304*P304</f>
        <v>491.623</v>
      </c>
      <c r="R304" s="74"/>
      <c r="S304" s="79" t="n">
        <f aca="false">IF(ISNA(VLOOKUP(B304,SplitVol,5,FALSE())),0,VLOOKUP(B304,SplitVol,5,FALSE()))</f>
        <v>17</v>
      </c>
      <c r="T304" s="84" t="n">
        <f aca="false">+S304*L304</f>
        <v>34.969</v>
      </c>
      <c r="U304" s="79" t="n">
        <f aca="false">IF(ISNA(VLOOKUP(B304,SplitVol,6,FALSE())),0,VLOOKUP(B304,SplitVol,6,FALSE()))+1</f>
        <v>222</v>
      </c>
      <c r="V304" s="84" t="n">
        <f aca="false">+U304*L304</f>
        <v>456.654</v>
      </c>
      <c r="W304" s="85" t="str">
        <f aca="false">IF(ISBLANK(VLOOKUP(B304,EffDate,4,FALSE())),"na",VLOOKUP(B304,EffDate,4,FALSE()))</f>
        <v>na</v>
      </c>
      <c r="X304" s="86" t="n">
        <f aca="false">+M304-S304-U304</f>
        <v>0</v>
      </c>
    </row>
    <row r="305" customFormat="false" ht="15" hidden="false" customHeight="true" outlineLevel="0" collapsed="false">
      <c r="A305" s="4" t="s">
        <v>5</v>
      </c>
      <c r="B305" s="77" t="s">
        <v>399</v>
      </c>
      <c r="C305" s="4" t="n">
        <v>3402401</v>
      </c>
      <c r="D305" s="18" t="s">
        <v>400</v>
      </c>
      <c r="E305" s="72" t="s">
        <v>517</v>
      </c>
      <c r="F305" s="152" t="s">
        <v>465</v>
      </c>
      <c r="G305" s="78" t="n">
        <v>32469</v>
      </c>
      <c r="H305" s="78" t="s">
        <v>615</v>
      </c>
      <c r="I305" s="78" t="s">
        <v>537</v>
      </c>
      <c r="J305" s="79" t="str">
        <f aca="false">IF(ISNA(VLOOKUP(B305,cngdata,7,FALSE())),"na",VLOOKUP(B305,cngdata,7,FALSE()))</f>
        <v>GW</v>
      </c>
      <c r="K305" s="79" t="n">
        <f aca="false">IF(ISNA(VLOOKUP(B305,cngdata,13,FALSE())),"na",VLOOKUP(B305,cngdata,13,FALSE()))</f>
        <v>369</v>
      </c>
      <c r="L305" s="80" t="n">
        <f aca="false">L$2*100%</f>
        <v>2.42</v>
      </c>
      <c r="M305" s="79" t="n">
        <f aca="false">IF(ISNA(VLOOKUP(B305,cngdata,14,FALSE())),0,VLOOKUP(B305,cngdata,14,FALSE()))</f>
        <v>488</v>
      </c>
      <c r="O305" s="81" t="n">
        <v>0</v>
      </c>
      <c r="P305" s="82" t="n">
        <f aca="false">L305-O305</f>
        <v>2.42</v>
      </c>
      <c r="Q305" s="83" t="n">
        <f aca="false">M305*P305</f>
        <v>1180.96</v>
      </c>
      <c r="R305" s="74"/>
      <c r="S305" s="79" t="n">
        <f aca="false">IF(ISNA(VLOOKUP(B305,SplitVol,5,FALSE())),0,VLOOKUP(B305,SplitVol,5,FALSE()))</f>
        <v>43</v>
      </c>
      <c r="T305" s="84" t="n">
        <f aca="false">+S305*L305</f>
        <v>104.06</v>
      </c>
      <c r="U305" s="79" t="n">
        <f aca="false">IF(ISNA(VLOOKUP(B305,SplitVol,6,FALSE())),0,VLOOKUP(B305,SplitVol,6,FALSE()))+1</f>
        <v>445</v>
      </c>
      <c r="V305" s="84" t="n">
        <f aca="false">+U305*L305</f>
        <v>1076.9</v>
      </c>
      <c r="W305" s="85" t="n">
        <f aca="false">IF(ISBLANK(VLOOKUP(B305,EffDate,4,FALSE())),"na",VLOOKUP(B305,EffDate,4,FALSE()))</f>
        <v>37347</v>
      </c>
      <c r="X305" s="86" t="n">
        <f aca="false">+M305-S305-U305</f>
        <v>0</v>
      </c>
    </row>
    <row r="306" customFormat="false" ht="15" hidden="false" customHeight="true" outlineLevel="0" collapsed="false">
      <c r="A306" s="78" t="s">
        <v>8</v>
      </c>
      <c r="B306" s="78" t="s">
        <v>401</v>
      </c>
      <c r="C306" s="88" t="n">
        <v>3245701</v>
      </c>
      <c r="D306" s="4" t="s">
        <v>402</v>
      </c>
      <c r="E306" s="72" t="s">
        <v>517</v>
      </c>
      <c r="F306" s="4" t="s">
        <v>402</v>
      </c>
      <c r="G306" s="88" t="n">
        <v>212365</v>
      </c>
      <c r="H306" s="88"/>
      <c r="I306" s="89" t="s">
        <v>616</v>
      </c>
      <c r="J306" s="79" t="str">
        <f aca="false">IF(ISNA(VLOOKUP(B306,cngdata,7,FALSE())),"na",VLOOKUP(B306,cngdata,7,FALSE()))</f>
        <v>GW</v>
      </c>
      <c r="K306" s="79" t="n">
        <f aca="false">IF(ISNA(VLOOKUP(B306,cngdata,13,FALSE())),"na",VLOOKUP(B306,cngdata,13,FALSE()))</f>
        <v>424</v>
      </c>
      <c r="L306" s="80" t="n">
        <f aca="false">$L$2</f>
        <v>2.42</v>
      </c>
      <c r="M306" s="79" t="n">
        <f aca="false">IF(ISNA(VLOOKUP(B306,cngdata,14,FALSE())),0,VLOOKUP(B306,cngdata,14,FALSE()))</f>
        <v>544</v>
      </c>
      <c r="O306" s="81" t="n">
        <v>0</v>
      </c>
      <c r="P306" s="82" t="n">
        <f aca="false">L306-O306</f>
        <v>2.42</v>
      </c>
      <c r="Q306" s="83" t="n">
        <f aca="false">M306*P306</f>
        <v>1316.48</v>
      </c>
      <c r="R306" s="74"/>
      <c r="S306" s="79" t="n">
        <f aca="false">IF(ISNA(VLOOKUP(B306,SplitVol,5,FALSE())),0,VLOOKUP(B306,SplitVol,5,FALSE()))</f>
        <v>61</v>
      </c>
      <c r="T306" s="84" t="n">
        <f aca="false">+S306*L306</f>
        <v>147.62</v>
      </c>
      <c r="U306" s="79" t="n">
        <f aca="false">IF(ISNA(VLOOKUP(B306,SplitVol,6,FALSE())),0,VLOOKUP(B306,SplitVol,6,FALSE()))</f>
        <v>483</v>
      </c>
      <c r="V306" s="84" t="n">
        <f aca="false">+U306*L306</f>
        <v>1168.86</v>
      </c>
      <c r="W306" s="85" t="n">
        <f aca="false">IF(ISBLANK(VLOOKUP(B306,EffDate,4,FALSE())),"na",VLOOKUP(B306,EffDate,4,FALSE()))</f>
        <v>37228</v>
      </c>
      <c r="X306" s="86" t="n">
        <f aca="false">+M306-S306-U306</f>
        <v>0</v>
      </c>
    </row>
    <row r="307" customFormat="false" ht="15" hidden="false" customHeight="true" outlineLevel="0" collapsed="false">
      <c r="A307" s="4" t="s">
        <v>5</v>
      </c>
      <c r="B307" s="77" t="s">
        <v>403</v>
      </c>
      <c r="C307" s="4" t="n">
        <v>4366901</v>
      </c>
      <c r="D307" s="94" t="s">
        <v>404</v>
      </c>
      <c r="E307" s="106" t="s">
        <v>617</v>
      </c>
      <c r="F307" s="8"/>
      <c r="G307" s="77" t="n">
        <v>64327</v>
      </c>
      <c r="H307" s="77" t="s">
        <v>618</v>
      </c>
      <c r="I307" s="8" t="s">
        <v>619</v>
      </c>
      <c r="J307" s="79" t="str">
        <f aca="false">IF(ISNA(VLOOKUP(B307,cngdata,7,FALSE())),"na",VLOOKUP(B307,cngdata,7,FALSE()))</f>
        <v>GW</v>
      </c>
      <c r="K307" s="79" t="n">
        <f aca="false">IF(ISNA(VLOOKUP(B307,cngdata,13,FALSE())),"na",VLOOKUP(B307,cngdata,13,FALSE()))</f>
        <v>528</v>
      </c>
      <c r="L307" s="135" t="n">
        <f aca="false">$L$2</f>
        <v>2.42</v>
      </c>
      <c r="M307" s="79" t="n">
        <f aca="false">IF(ISNA(VLOOKUP(B307,cngdata,14,FALSE())),0,VLOOKUP(B307,cngdata,14,FALSE()))</f>
        <v>583</v>
      </c>
      <c r="O307" s="81" t="n">
        <v>0</v>
      </c>
      <c r="P307" s="96" t="n">
        <f aca="false">L307-O307</f>
        <v>2.42</v>
      </c>
      <c r="Q307" s="97" t="n">
        <f aca="false">M307*P307</f>
        <v>1410.86</v>
      </c>
      <c r="R307" s="98"/>
      <c r="S307" s="79" t="n">
        <f aca="false">IF(ISNA(VLOOKUP(B307,SplitVol,5,FALSE())),0,VLOOKUP(B307,SplitVol,5,FALSE()))</f>
        <v>36</v>
      </c>
      <c r="T307" s="84" t="n">
        <f aca="false">+S307*L307</f>
        <v>87.12</v>
      </c>
      <c r="U307" s="79" t="n">
        <f aca="false">IF(ISNA(VLOOKUP(B307,SplitVol,6,FALSE())),0,VLOOKUP(B307,SplitVol,6,FALSE()))</f>
        <v>547</v>
      </c>
      <c r="V307" s="84" t="n">
        <f aca="false">+U307*L307</f>
        <v>1323.74</v>
      </c>
      <c r="W307" s="85" t="n">
        <f aca="false">IF(ISBLANK(VLOOKUP(B307,EffDate,4,FALSE())),"na",VLOOKUP(B307,EffDate,4,FALSE()))</f>
        <v>37228</v>
      </c>
      <c r="X307" s="86" t="n">
        <f aca="false">+M307-S307-U307</f>
        <v>0</v>
      </c>
    </row>
    <row r="308" customFormat="false" ht="15" hidden="false" customHeight="true" outlineLevel="0" collapsed="false">
      <c r="A308" s="4" t="s">
        <v>26</v>
      </c>
      <c r="B308" s="77" t="s">
        <v>411</v>
      </c>
      <c r="C308" s="4" t="s">
        <v>26</v>
      </c>
      <c r="D308" s="90" t="s">
        <v>406</v>
      </c>
      <c r="E308" s="91" t="n">
        <v>37257</v>
      </c>
      <c r="F308" s="4"/>
      <c r="G308" s="78" t="n">
        <v>82500</v>
      </c>
      <c r="H308" s="78" t="s">
        <v>620</v>
      </c>
      <c r="I308" s="78" t="s">
        <v>621</v>
      </c>
      <c r="J308" s="79" t="str">
        <f aca="false">IF(ISNA(VLOOKUP(B308,cngdata,7,FALSE())),"na",VLOOKUP(B308,cngdata,7,FALSE()))</f>
        <v>na</v>
      </c>
      <c r="K308" s="79" t="str">
        <f aca="false">IF(ISNA(VLOOKUP(B308,cngdata,13,FALSE())),"na",VLOOKUP(B308,cngdata,13,FALSE()))</f>
        <v>na</v>
      </c>
      <c r="L308" s="80" t="n">
        <f aca="false">$L$2</f>
        <v>2.42</v>
      </c>
      <c r="M308" s="79" t="n">
        <f aca="false">IF(ISNA(VLOOKUP(B308,cngdata,14,FALSE())),0,VLOOKUP(B308,cngdata,14,FALSE()))</f>
        <v>0</v>
      </c>
      <c r="O308" s="81" t="n">
        <v>0</v>
      </c>
      <c r="P308" s="82" t="n">
        <f aca="false">L308-O308</f>
        <v>2.42</v>
      </c>
      <c r="Q308" s="83" t="n">
        <f aca="false">M308*P308</f>
        <v>0</v>
      </c>
      <c r="R308" s="74"/>
      <c r="S308" s="79" t="n">
        <f aca="false">IF(ISNA(VLOOKUP(B308,SplitVol,5,FALSE())),0,VLOOKUP(B308,SplitVol,5,FALSE()))</f>
        <v>0</v>
      </c>
      <c r="T308" s="84" t="n">
        <f aca="false">+S308*L308</f>
        <v>0</v>
      </c>
      <c r="U308" s="79" t="n">
        <f aca="false">IF(ISNA(VLOOKUP(B308,SplitVol,6,FALSE())),0,VLOOKUP(B308,SplitVol,6,FALSE()))</f>
        <v>0</v>
      </c>
      <c r="V308" s="84" t="n">
        <f aca="false">+U308*L308</f>
        <v>0</v>
      </c>
      <c r="W308" s="85" t="n">
        <f aca="false">IF(ISBLANK(VLOOKUP(B308,EffDate,4,FALSE())),"na",VLOOKUP(B308,EffDate,4,FALSE()))</f>
        <v>37257</v>
      </c>
      <c r="X308" s="86" t="n">
        <f aca="false">+M308-S308-U308</f>
        <v>0</v>
      </c>
    </row>
    <row r="309" customFormat="false" ht="15" hidden="false" customHeight="true" outlineLevel="0" collapsed="false">
      <c r="A309" s="4" t="s">
        <v>5</v>
      </c>
      <c r="B309" s="77" t="s">
        <v>407</v>
      </c>
      <c r="C309" s="4" t="n">
        <v>3234701</v>
      </c>
      <c r="D309" s="90" t="s">
        <v>406</v>
      </c>
      <c r="E309" s="91" t="n">
        <v>37257</v>
      </c>
      <c r="F309" s="4"/>
      <c r="G309" s="78" t="n">
        <v>82500</v>
      </c>
      <c r="H309" s="78" t="s">
        <v>620</v>
      </c>
      <c r="I309" s="78" t="s">
        <v>621</v>
      </c>
      <c r="J309" s="79" t="str">
        <f aca="false">IF(ISNA(VLOOKUP(B309,cngdata,7,FALSE())),"na",VLOOKUP(B309,cngdata,7,FALSE()))</f>
        <v>GW</v>
      </c>
      <c r="K309" s="79" t="n">
        <f aca="false">IF(ISNA(VLOOKUP(B309,cngdata,13,FALSE())),"na",VLOOKUP(B309,cngdata,13,FALSE()))</f>
        <v>0</v>
      </c>
      <c r="L309" s="80" t="n">
        <f aca="false">$L$2</f>
        <v>2.42</v>
      </c>
      <c r="M309" s="79" t="n">
        <f aca="false">IF(ISNA(VLOOKUP(B309,cngdata,14,FALSE())),0,VLOOKUP(B309,cngdata,14,FALSE()))</f>
        <v>0</v>
      </c>
      <c r="O309" s="81" t="n">
        <v>0</v>
      </c>
      <c r="P309" s="82" t="n">
        <f aca="false">L309-O309</f>
        <v>2.42</v>
      </c>
      <c r="Q309" s="83" t="n">
        <f aca="false">M309*P309</f>
        <v>0</v>
      </c>
      <c r="R309" s="74"/>
      <c r="S309" s="79" t="n">
        <f aca="false">IF(ISNA(VLOOKUP(B309,SplitVol,5,FALSE())),0,VLOOKUP(B309,SplitVol,5,FALSE()))</f>
        <v>0</v>
      </c>
      <c r="T309" s="84" t="n">
        <f aca="false">+S309*L309</f>
        <v>0</v>
      </c>
      <c r="U309" s="79" t="n">
        <f aca="false">IF(ISNA(VLOOKUP(B309,SplitVol,6,FALSE())),0,VLOOKUP(B309,SplitVol,6,FALSE()))</f>
        <v>0</v>
      </c>
      <c r="V309" s="84" t="n">
        <f aca="false">+U309*L309</f>
        <v>0</v>
      </c>
      <c r="W309" s="85" t="n">
        <f aca="false">IF(ISBLANK(VLOOKUP(B309,EffDate,4,FALSE())),"na",VLOOKUP(B309,EffDate,4,FALSE()))</f>
        <v>37257</v>
      </c>
      <c r="X309" s="86" t="n">
        <f aca="false">+M309-S309-U309</f>
        <v>0</v>
      </c>
    </row>
    <row r="310" customFormat="false" ht="15" hidden="false" customHeight="true" outlineLevel="0" collapsed="false">
      <c r="A310" s="4" t="s">
        <v>104</v>
      </c>
      <c r="B310" s="77" t="s">
        <v>409</v>
      </c>
      <c r="C310" s="4" t="n">
        <v>3514402</v>
      </c>
      <c r="D310" s="90" t="s">
        <v>406</v>
      </c>
      <c r="E310" s="91" t="n">
        <v>37257</v>
      </c>
      <c r="F310" s="4"/>
      <c r="G310" s="78" t="n">
        <v>82500</v>
      </c>
      <c r="H310" s="78" t="s">
        <v>620</v>
      </c>
      <c r="I310" s="78" t="s">
        <v>621</v>
      </c>
      <c r="J310" s="79" t="str">
        <f aca="false">IF(ISNA(VLOOKUP(B310,cngdata,7,FALSE())),"na",VLOOKUP(B310,cngdata,7,FALSE()))</f>
        <v>TW</v>
      </c>
      <c r="K310" s="79" t="n">
        <f aca="false">IF(ISNA(VLOOKUP(B310,cngdata,13,FALSE())),"na",VLOOKUP(B310,cngdata,13,FALSE()))</f>
        <v>0</v>
      </c>
      <c r="L310" s="80" t="n">
        <f aca="false">$L$2</f>
        <v>2.42</v>
      </c>
      <c r="M310" s="79" t="n">
        <f aca="false">IF(ISNA(VLOOKUP(B310,cngdata,14,FALSE())),0,VLOOKUP(B310,cngdata,14,FALSE()))</f>
        <v>0</v>
      </c>
      <c r="O310" s="81" t="n">
        <v>0</v>
      </c>
      <c r="P310" s="82" t="n">
        <f aca="false">L310-O310</f>
        <v>2.42</v>
      </c>
      <c r="Q310" s="83" t="n">
        <f aca="false">M310*P310</f>
        <v>0</v>
      </c>
      <c r="R310" s="74"/>
      <c r="S310" s="79" t="n">
        <f aca="false">IF(ISNA(VLOOKUP(B310,SplitVol,5,FALSE())),0,VLOOKUP(B310,SplitVol,5,FALSE()))</f>
        <v>0</v>
      </c>
      <c r="T310" s="84" t="n">
        <f aca="false">+S310*L310</f>
        <v>0</v>
      </c>
      <c r="U310" s="79" t="n">
        <f aca="false">IF(ISNA(VLOOKUP(B310,SplitVol,6,FALSE())),0,VLOOKUP(B310,SplitVol,6,FALSE()))</f>
        <v>0</v>
      </c>
      <c r="V310" s="84" t="n">
        <f aca="false">+U310*L310</f>
        <v>0</v>
      </c>
      <c r="W310" s="85" t="n">
        <f aca="false">IF(ISBLANK(VLOOKUP(B310,EffDate,4,FALSE())),"na",VLOOKUP(B310,EffDate,4,FALSE()))</f>
        <v>37257</v>
      </c>
      <c r="X310" s="86" t="n">
        <f aca="false">+M310-S310-U310</f>
        <v>0</v>
      </c>
    </row>
    <row r="311" customFormat="false" ht="15" hidden="false" customHeight="true" outlineLevel="0" collapsed="false">
      <c r="A311" s="4" t="s">
        <v>5</v>
      </c>
      <c r="B311" s="77" t="s">
        <v>410</v>
      </c>
      <c r="C311" s="4" t="n">
        <v>4044101</v>
      </c>
      <c r="D311" s="90" t="s">
        <v>406</v>
      </c>
      <c r="E311" s="91" t="n">
        <v>37257</v>
      </c>
      <c r="F311" s="4"/>
      <c r="G311" s="78" t="n">
        <v>82500</v>
      </c>
      <c r="H311" s="78" t="s">
        <v>620</v>
      </c>
      <c r="I311" s="78" t="s">
        <v>621</v>
      </c>
      <c r="J311" s="79" t="str">
        <f aca="false">IF(ISNA(VLOOKUP(B311,cngdata,7,FALSE())),"na",VLOOKUP(B311,cngdata,7,FALSE()))</f>
        <v>GW</v>
      </c>
      <c r="K311" s="79" t="n">
        <f aca="false">IF(ISNA(VLOOKUP(B311,cngdata,13,FALSE())),"na",VLOOKUP(B311,cngdata,13,FALSE()))</f>
        <v>0</v>
      </c>
      <c r="L311" s="80" t="n">
        <f aca="false">$L$2</f>
        <v>2.42</v>
      </c>
      <c r="M311" s="79" t="n">
        <f aca="false">IF(ISNA(VLOOKUP(B311,cngdata,14,FALSE())),0,VLOOKUP(B311,cngdata,14,FALSE()))</f>
        <v>0</v>
      </c>
      <c r="O311" s="81" t="n">
        <v>0</v>
      </c>
      <c r="P311" s="82" t="n">
        <f aca="false">L311-O311</f>
        <v>2.42</v>
      </c>
      <c r="Q311" s="83" t="n">
        <f aca="false">M311*P311</f>
        <v>0</v>
      </c>
      <c r="R311" s="74"/>
      <c r="S311" s="79" t="n">
        <f aca="false">IF(ISNA(VLOOKUP(B311,SplitVol,5,FALSE())),0,VLOOKUP(B311,SplitVol,5,FALSE()))</f>
        <v>0</v>
      </c>
      <c r="T311" s="84" t="n">
        <f aca="false">+S311*L311</f>
        <v>0</v>
      </c>
      <c r="U311" s="79" t="n">
        <f aca="false">IF(ISNA(VLOOKUP(B311,SplitVol,6,FALSE())),0,VLOOKUP(B311,SplitVol,6,FALSE()))</f>
        <v>0</v>
      </c>
      <c r="V311" s="84" t="n">
        <f aca="false">+U311*L311</f>
        <v>0</v>
      </c>
      <c r="W311" s="85" t="n">
        <f aca="false">IF(ISBLANK(VLOOKUP(B311,EffDate,4,FALSE())),"na",VLOOKUP(B311,EffDate,4,FALSE()))</f>
        <v>37257</v>
      </c>
      <c r="X311" s="86" t="n">
        <f aca="false">+M311-S311-U311</f>
        <v>0</v>
      </c>
    </row>
    <row r="312" customFormat="false" ht="15" hidden="false" customHeight="true" outlineLevel="0" collapsed="false">
      <c r="A312" s="4" t="s">
        <v>5</v>
      </c>
      <c r="B312" s="77" t="s">
        <v>405</v>
      </c>
      <c r="C312" s="4" t="n">
        <v>3007601</v>
      </c>
      <c r="D312" s="90" t="s">
        <v>406</v>
      </c>
      <c r="E312" s="91" t="n">
        <v>37257</v>
      </c>
      <c r="F312" s="4"/>
      <c r="G312" s="78" t="n">
        <v>82500</v>
      </c>
      <c r="H312" s="78" t="s">
        <v>620</v>
      </c>
      <c r="I312" s="78" t="s">
        <v>621</v>
      </c>
      <c r="J312" s="79" t="str">
        <f aca="false">IF(ISNA(VLOOKUP(B312,cngdata,7,FALSE())),"na",VLOOKUP(B312,cngdata,7,FALSE()))</f>
        <v>GW</v>
      </c>
      <c r="K312" s="79" t="n">
        <f aca="false">IF(ISNA(VLOOKUP(B312,cngdata,13,FALSE())),"na",VLOOKUP(B312,cngdata,13,FALSE()))</f>
        <v>0</v>
      </c>
      <c r="L312" s="80" t="n">
        <f aca="false">$L$2</f>
        <v>2.42</v>
      </c>
      <c r="M312" s="79" t="n">
        <f aca="false">IF(ISNA(VLOOKUP(B312,cngdata,14,FALSE())),0,VLOOKUP(B312,cngdata,14,FALSE()))</f>
        <v>49</v>
      </c>
      <c r="O312" s="81" t="n">
        <v>0</v>
      </c>
      <c r="P312" s="82" t="n">
        <f aca="false">L312-O312</f>
        <v>2.42</v>
      </c>
      <c r="Q312" s="83" t="n">
        <f aca="false">M312*P312</f>
        <v>118.58</v>
      </c>
      <c r="R312" s="74"/>
      <c r="S312" s="79" t="n">
        <f aca="false">IF(ISNA(VLOOKUP(B312,SplitVol,5,FALSE())),0,VLOOKUP(B312,SplitVol,5,FALSE()))</f>
        <v>24</v>
      </c>
      <c r="T312" s="84" t="n">
        <f aca="false">+S312*L312</f>
        <v>58.08</v>
      </c>
      <c r="U312" s="79" t="n">
        <f aca="false">IF(ISNA(VLOOKUP(B312,SplitVol,6,FALSE())),0,VLOOKUP(B312,SplitVol,6,FALSE()))+1</f>
        <v>25</v>
      </c>
      <c r="V312" s="84" t="n">
        <f aca="false">+U312*L312</f>
        <v>60.5</v>
      </c>
      <c r="W312" s="85" t="n">
        <f aca="false">IF(ISBLANK(VLOOKUP(B312,EffDate,4,FALSE())),"na",VLOOKUP(B312,EffDate,4,FALSE()))</f>
        <v>37257</v>
      </c>
      <c r="X312" s="86" t="n">
        <f aca="false">+M312-S312-U312</f>
        <v>0</v>
      </c>
    </row>
    <row r="313" customFormat="false" ht="15" hidden="false" customHeight="true" outlineLevel="0" collapsed="false">
      <c r="A313" s="4" t="s">
        <v>5</v>
      </c>
      <c r="B313" s="77" t="s">
        <v>408</v>
      </c>
      <c r="C313" s="4" t="n">
        <v>3427701</v>
      </c>
      <c r="D313" s="90" t="s">
        <v>406</v>
      </c>
      <c r="E313" s="91" t="n">
        <v>37257</v>
      </c>
      <c r="F313" s="4"/>
      <c r="G313" s="78" t="n">
        <v>82500</v>
      </c>
      <c r="H313" s="78" t="s">
        <v>620</v>
      </c>
      <c r="I313" s="78" t="s">
        <v>621</v>
      </c>
      <c r="J313" s="79" t="str">
        <f aca="false">IF(ISNA(VLOOKUP(B313,cngdata,7,FALSE())),"na",VLOOKUP(B313,cngdata,7,FALSE()))</f>
        <v>GW</v>
      </c>
      <c r="K313" s="79" t="n">
        <f aca="false">IF(ISNA(VLOOKUP(B313,cngdata,13,FALSE())),"na",VLOOKUP(B313,cngdata,13,FALSE()))</f>
        <v>101</v>
      </c>
      <c r="L313" s="80" t="n">
        <f aca="false">$L$2</f>
        <v>2.42</v>
      </c>
      <c r="M313" s="79" t="n">
        <f aca="false">IF(ISNA(VLOOKUP(B313,cngdata,14,FALSE())),0,VLOOKUP(B313,cngdata,14,FALSE()))</f>
        <v>116</v>
      </c>
      <c r="O313" s="81" t="n">
        <v>0</v>
      </c>
      <c r="P313" s="82" t="n">
        <f aca="false">L313-O313</f>
        <v>2.42</v>
      </c>
      <c r="Q313" s="83" t="n">
        <f aca="false">M313*P313</f>
        <v>280.72</v>
      </c>
      <c r="R313" s="74"/>
      <c r="S313" s="79" t="n">
        <f aca="false">IF(ISNA(VLOOKUP(B313,SplitVol,5,FALSE())),0,VLOOKUP(B313,SplitVol,5,FALSE()))</f>
        <v>38</v>
      </c>
      <c r="T313" s="84" t="n">
        <f aca="false">+S313*L313</f>
        <v>91.96</v>
      </c>
      <c r="U313" s="79" t="n">
        <f aca="false">IF(ISNA(VLOOKUP(B313,SplitVol,6,FALSE())),0,VLOOKUP(B313,SplitVol,6,FALSE()))</f>
        <v>78</v>
      </c>
      <c r="V313" s="84" t="n">
        <f aca="false">+U313*L313</f>
        <v>188.76</v>
      </c>
      <c r="W313" s="85" t="n">
        <f aca="false">IF(ISBLANK(VLOOKUP(B313,EffDate,4,FALSE())),"na",VLOOKUP(B313,EffDate,4,FALSE()))</f>
        <v>37257</v>
      </c>
      <c r="X313" s="86" t="n">
        <f aca="false">+M313-S313-U313</f>
        <v>0</v>
      </c>
    </row>
    <row r="314" customFormat="false" ht="15" hidden="false" customHeight="true" outlineLevel="0" collapsed="false">
      <c r="A314" s="4" t="s">
        <v>5</v>
      </c>
      <c r="B314" s="77" t="s">
        <v>412</v>
      </c>
      <c r="C314" s="4" t="n">
        <v>4324601</v>
      </c>
      <c r="D314" s="105" t="s">
        <v>413</v>
      </c>
      <c r="E314" s="106" t="n">
        <v>37228</v>
      </c>
      <c r="F314" s="4"/>
      <c r="G314" s="78" t="n">
        <v>83231</v>
      </c>
      <c r="H314" s="78" t="s">
        <v>622</v>
      </c>
      <c r="I314" s="78" t="s">
        <v>555</v>
      </c>
      <c r="J314" s="79" t="str">
        <f aca="false">IF(ISNA(VLOOKUP(B314,cngdata,7,FALSE())),"na",VLOOKUP(B314,cngdata,7,FALSE()))</f>
        <v>GW</v>
      </c>
      <c r="K314" s="79" t="n">
        <f aca="false">IF(ISNA(VLOOKUP(B314,cngdata,13,FALSE())),"na",VLOOKUP(B314,cngdata,13,FALSE()))</f>
        <v>89</v>
      </c>
      <c r="L314" s="80" t="n">
        <f aca="false">$L$3*99%</f>
        <v>2.376</v>
      </c>
      <c r="M314" s="79" t="n">
        <f aca="false">IF(ISNA(VLOOKUP(B314,cngdata,14,FALSE())),0,VLOOKUP(B314,cngdata,14,FALSE()))</f>
        <v>111</v>
      </c>
      <c r="O314" s="81" t="n">
        <v>0</v>
      </c>
      <c r="P314" s="82" t="n">
        <f aca="false">L314-O314</f>
        <v>2.376</v>
      </c>
      <c r="Q314" s="83" t="n">
        <f aca="false">M314*P314</f>
        <v>263.736</v>
      </c>
      <c r="R314" s="74"/>
      <c r="S314" s="79" t="n">
        <f aca="false">IF(ISNA(VLOOKUP(B314,SplitVol,5,FALSE())),0,VLOOKUP(B314,SplitVol,5,FALSE()))</f>
        <v>9</v>
      </c>
      <c r="T314" s="84" t="n">
        <f aca="false">+S314*L314</f>
        <v>21.384</v>
      </c>
      <c r="U314" s="79" t="n">
        <f aca="false">IF(ISNA(VLOOKUP(B314,SplitVol,6,FALSE())),0,VLOOKUP(B314,SplitVol,6,FALSE()))</f>
        <v>102</v>
      </c>
      <c r="V314" s="84" t="n">
        <f aca="false">+U314*L314</f>
        <v>242.352</v>
      </c>
      <c r="W314" s="85" t="n">
        <f aca="false">IF(ISBLANK(VLOOKUP(B314,EffDate,4,FALSE())),"na",VLOOKUP(B314,EffDate,4,FALSE()))</f>
        <v>37228</v>
      </c>
      <c r="X314" s="86" t="n">
        <f aca="false">+M314-S314-U314</f>
        <v>0</v>
      </c>
    </row>
    <row r="315" customFormat="false" ht="15" hidden="false" customHeight="true" outlineLevel="0" collapsed="false">
      <c r="A315" s="4" t="s">
        <v>26</v>
      </c>
      <c r="B315" s="77" t="s">
        <v>414</v>
      </c>
      <c r="C315" s="4" t="s">
        <v>26</v>
      </c>
      <c r="D315" s="8" t="s">
        <v>415</v>
      </c>
      <c r="E315" s="72" t="s">
        <v>517</v>
      </c>
      <c r="F315" s="8"/>
      <c r="G315" s="77" t="n">
        <v>83849</v>
      </c>
      <c r="H315" s="77" t="s">
        <v>623</v>
      </c>
      <c r="I315" s="142" t="s">
        <v>624</v>
      </c>
      <c r="J315" s="79" t="str">
        <f aca="false">IF(ISNA(VLOOKUP(B315,cngdata,7,FALSE())),"na",VLOOKUP(B315,cngdata,7,FALSE()))</f>
        <v>na</v>
      </c>
      <c r="K315" s="79" t="str">
        <f aca="false">IF(ISNA(VLOOKUP(B315,cngdata,13,FALSE())),"na",VLOOKUP(B315,cngdata,13,FALSE()))</f>
        <v>na</v>
      </c>
      <c r="L315" s="135" t="n">
        <f aca="false">$L$2*98%</f>
        <v>2.3716</v>
      </c>
      <c r="M315" s="79" t="n">
        <f aca="false">IF(ISNA(VLOOKUP(B315,cngdata,14,FALSE())),0,VLOOKUP(B315,cngdata,14,FALSE()))</f>
        <v>0</v>
      </c>
      <c r="O315" s="81" t="n">
        <v>0</v>
      </c>
      <c r="P315" s="96" t="n">
        <f aca="false">L315-O315</f>
        <v>2.3716</v>
      </c>
      <c r="Q315" s="97" t="n">
        <f aca="false">M315*P315</f>
        <v>0</v>
      </c>
      <c r="R315" s="98"/>
      <c r="S315" s="79" t="n">
        <f aca="false">IF(ISNA(VLOOKUP(B315,SplitVol,5,FALSE())),0,VLOOKUP(B315,SplitVol,5,FALSE()))</f>
        <v>0</v>
      </c>
      <c r="T315" s="84" t="n">
        <f aca="false">+S315*L315</f>
        <v>0</v>
      </c>
      <c r="U315" s="79" t="n">
        <f aca="false">IF(ISNA(VLOOKUP(B315,SplitVol,6,FALSE())),0,VLOOKUP(B315,SplitVol,6,FALSE()))</f>
        <v>0</v>
      </c>
      <c r="V315" s="84" t="n">
        <f aca="false">+U315*L315</f>
        <v>0</v>
      </c>
      <c r="W315" s="85" t="str">
        <f aca="false">IF(ISBLANK(VLOOKUP(B315,EffDate,4,FALSE())),"na",VLOOKUP(B315,EffDate,4,FALSE()))</f>
        <v>na</v>
      </c>
      <c r="X315" s="86" t="n">
        <f aca="false">+M315-S315-U315</f>
        <v>0</v>
      </c>
    </row>
    <row r="316" customFormat="false" ht="15" hidden="false" customHeight="true" outlineLevel="0" collapsed="false">
      <c r="A316" s="4" t="s">
        <v>26</v>
      </c>
      <c r="B316" s="77" t="s">
        <v>416</v>
      </c>
      <c r="C316" s="4" t="s">
        <v>26</v>
      </c>
      <c r="D316" s="8" t="s">
        <v>417</v>
      </c>
      <c r="E316" s="72" t="s">
        <v>517</v>
      </c>
      <c r="F316" s="8"/>
      <c r="G316" s="77" t="n">
        <v>83849</v>
      </c>
      <c r="H316" s="77" t="s">
        <v>623</v>
      </c>
      <c r="I316" s="142" t="s">
        <v>624</v>
      </c>
      <c r="J316" s="79" t="str">
        <f aca="false">IF(ISNA(VLOOKUP(B316,cngdata,7,FALSE())),"na",VLOOKUP(B316,cngdata,7,FALSE()))</f>
        <v>na</v>
      </c>
      <c r="K316" s="79" t="str">
        <f aca="false">IF(ISNA(VLOOKUP(B316,cngdata,13,FALSE())),"na",VLOOKUP(B316,cngdata,13,FALSE()))</f>
        <v>na</v>
      </c>
      <c r="L316" s="135" t="n">
        <f aca="false">$L$2*98%</f>
        <v>2.3716</v>
      </c>
      <c r="M316" s="79" t="n">
        <f aca="false">IF(ISNA(VLOOKUP(B316,cngdata,14,FALSE())),0,VLOOKUP(B316,cngdata,14,FALSE()))</f>
        <v>0</v>
      </c>
      <c r="O316" s="81" t="n">
        <v>0</v>
      </c>
      <c r="P316" s="96" t="n">
        <f aca="false">L316-O316</f>
        <v>2.3716</v>
      </c>
      <c r="Q316" s="97" t="n">
        <f aca="false">M316*P316</f>
        <v>0</v>
      </c>
      <c r="R316" s="98"/>
      <c r="S316" s="79" t="n">
        <f aca="false">IF(ISNA(VLOOKUP(B316,SplitVol,5,FALSE())),0,VLOOKUP(B316,SplitVol,5,FALSE()))</f>
        <v>0</v>
      </c>
      <c r="T316" s="84" t="n">
        <f aca="false">+S316*L316</f>
        <v>0</v>
      </c>
      <c r="U316" s="79" t="n">
        <f aca="false">IF(ISNA(VLOOKUP(B316,SplitVol,6,FALSE())),0,VLOOKUP(B316,SplitVol,6,FALSE()))</f>
        <v>0</v>
      </c>
      <c r="V316" s="84" t="n">
        <f aca="false">+U316*L316</f>
        <v>0</v>
      </c>
      <c r="W316" s="85" t="str">
        <f aca="false">IF(ISBLANK(VLOOKUP(B316,EffDate,4,FALSE())),"na",VLOOKUP(B316,EffDate,4,FALSE()))</f>
        <v>na</v>
      </c>
      <c r="X316" s="86" t="n">
        <f aca="false">+M316-S316-U316</f>
        <v>0</v>
      </c>
    </row>
    <row r="317" customFormat="false" ht="15" hidden="false" customHeight="true" outlineLevel="0" collapsed="false">
      <c r="A317" s="4" t="s">
        <v>26</v>
      </c>
      <c r="B317" s="77" t="s">
        <v>418</v>
      </c>
      <c r="C317" s="4" t="s">
        <v>26</v>
      </c>
      <c r="D317" s="8" t="s">
        <v>419</v>
      </c>
      <c r="E317" s="72" t="s">
        <v>517</v>
      </c>
      <c r="F317" s="8"/>
      <c r="G317" s="77" t="n">
        <v>83849</v>
      </c>
      <c r="H317" s="77" t="s">
        <v>623</v>
      </c>
      <c r="I317" s="142" t="s">
        <v>624</v>
      </c>
      <c r="J317" s="79" t="str">
        <f aca="false">IF(ISNA(VLOOKUP(B317,cngdata,7,FALSE())),"na",VLOOKUP(B317,cngdata,7,FALSE()))</f>
        <v>na</v>
      </c>
      <c r="K317" s="79" t="str">
        <f aca="false">IF(ISNA(VLOOKUP(B317,cngdata,13,FALSE())),"na",VLOOKUP(B317,cngdata,13,FALSE()))</f>
        <v>na</v>
      </c>
      <c r="L317" s="135" t="n">
        <f aca="false">$L$2*98%</f>
        <v>2.3716</v>
      </c>
      <c r="M317" s="79" t="n">
        <f aca="false">IF(ISNA(VLOOKUP(B317,cngdata,14,FALSE())),0,VLOOKUP(B317,cngdata,14,FALSE()))</f>
        <v>0</v>
      </c>
      <c r="O317" s="81" t="n">
        <v>0</v>
      </c>
      <c r="P317" s="96" t="n">
        <f aca="false">L317-O317</f>
        <v>2.3716</v>
      </c>
      <c r="Q317" s="97" t="n">
        <f aca="false">M317*P317</f>
        <v>0</v>
      </c>
      <c r="R317" s="98"/>
      <c r="S317" s="79" t="n">
        <f aca="false">IF(ISNA(VLOOKUP(B317,SplitVol,5,FALSE())),0,VLOOKUP(B317,SplitVol,5,FALSE()))</f>
        <v>0</v>
      </c>
      <c r="T317" s="84" t="n">
        <f aca="false">+S317*L317</f>
        <v>0</v>
      </c>
      <c r="U317" s="79" t="n">
        <f aca="false">IF(ISNA(VLOOKUP(B317,SplitVol,6,FALSE())),0,VLOOKUP(B317,SplitVol,6,FALSE()))</f>
        <v>0</v>
      </c>
      <c r="V317" s="84" t="n">
        <f aca="false">+U317*L317</f>
        <v>0</v>
      </c>
      <c r="W317" s="85" t="str">
        <f aca="false">IF(ISBLANK(VLOOKUP(B317,EffDate,4,FALSE())),"na",VLOOKUP(B317,EffDate,4,FALSE()))</f>
        <v>na</v>
      </c>
      <c r="X317" s="86" t="n">
        <f aca="false">+M317-S317-U317</f>
        <v>0</v>
      </c>
    </row>
    <row r="318" customFormat="false" ht="15" hidden="false" customHeight="true" outlineLevel="0" collapsed="false">
      <c r="A318" s="4" t="s">
        <v>26</v>
      </c>
      <c r="B318" s="77" t="s">
        <v>420</v>
      </c>
      <c r="C318" s="4" t="s">
        <v>26</v>
      </c>
      <c r="D318" s="8" t="s">
        <v>419</v>
      </c>
      <c r="E318" s="72" t="s">
        <v>517</v>
      </c>
      <c r="F318" s="8"/>
      <c r="G318" s="77" t="n">
        <v>83849</v>
      </c>
      <c r="H318" s="77" t="s">
        <v>623</v>
      </c>
      <c r="I318" s="142" t="s">
        <v>624</v>
      </c>
      <c r="J318" s="79" t="str">
        <f aca="false">IF(ISNA(VLOOKUP(B318,cngdata,7,FALSE())),"na",VLOOKUP(B318,cngdata,7,FALSE()))</f>
        <v>na</v>
      </c>
      <c r="K318" s="79" t="str">
        <f aca="false">IF(ISNA(VLOOKUP(B318,cngdata,13,FALSE())),"na",VLOOKUP(B318,cngdata,13,FALSE()))</f>
        <v>na</v>
      </c>
      <c r="L318" s="135" t="n">
        <f aca="false">$L$2*98%</f>
        <v>2.3716</v>
      </c>
      <c r="M318" s="79" t="n">
        <f aca="false">IF(ISNA(VLOOKUP(B318,cngdata,14,FALSE())),0,VLOOKUP(B318,cngdata,14,FALSE()))</f>
        <v>0</v>
      </c>
      <c r="O318" s="81" t="n">
        <v>0</v>
      </c>
      <c r="P318" s="96" t="n">
        <f aca="false">L318-O318</f>
        <v>2.3716</v>
      </c>
      <c r="Q318" s="97" t="n">
        <f aca="false">M318*P318</f>
        <v>0</v>
      </c>
      <c r="R318" s="98"/>
      <c r="S318" s="79" t="n">
        <f aca="false">IF(ISNA(VLOOKUP(B318,SplitVol,5,FALSE())),0,VLOOKUP(B318,SplitVol,5,FALSE()))</f>
        <v>0</v>
      </c>
      <c r="T318" s="84" t="n">
        <f aca="false">+S318*L318</f>
        <v>0</v>
      </c>
      <c r="U318" s="79" t="n">
        <f aca="false">IF(ISNA(VLOOKUP(B318,SplitVol,6,FALSE())),0,VLOOKUP(B318,SplitVol,6,FALSE()))</f>
        <v>0</v>
      </c>
      <c r="V318" s="84" t="n">
        <f aca="false">+U318*L318</f>
        <v>0</v>
      </c>
      <c r="W318" s="85" t="str">
        <f aca="false">IF(ISBLANK(VLOOKUP(B318,EffDate,4,FALSE())),"na",VLOOKUP(B318,EffDate,4,FALSE()))</f>
        <v>na</v>
      </c>
      <c r="X318" s="86" t="n">
        <f aca="false">+M318-S318-U318</f>
        <v>0</v>
      </c>
    </row>
    <row r="319" customFormat="false" ht="15" hidden="false" customHeight="true" outlineLevel="0" collapsed="false">
      <c r="A319" s="4" t="s">
        <v>94</v>
      </c>
      <c r="B319" s="78" t="s">
        <v>424</v>
      </c>
      <c r="C319" s="4" t="n">
        <v>3557501</v>
      </c>
      <c r="D319" s="4" t="s">
        <v>425</v>
      </c>
      <c r="E319" s="72" t="s">
        <v>517</v>
      </c>
      <c r="F319" s="78"/>
      <c r="G319" s="78" t="n">
        <v>83231</v>
      </c>
      <c r="H319" s="78" t="s">
        <v>622</v>
      </c>
      <c r="I319" s="105" t="s">
        <v>625</v>
      </c>
      <c r="J319" s="79" t="str">
        <f aca="false">IF(ISNA(VLOOKUP(B319,cngdata,7,FALSE())),"na",VLOOKUP(B319,cngdata,7,FALSE()))</f>
        <v>GD</v>
      </c>
      <c r="K319" s="79" t="n">
        <f aca="false">IF(ISNA(VLOOKUP(B319,cngdata,13,FALSE())),"na",VLOOKUP(B319,cngdata,13,FALSE()))</f>
        <v>106</v>
      </c>
      <c r="L319" s="95" t="n">
        <f aca="false">$L$2</f>
        <v>2.42</v>
      </c>
      <c r="M319" s="79" t="n">
        <f aca="false">IF(ISNA(VLOOKUP(B319,cngdata,14,FALSE())),0,VLOOKUP(B319,cngdata,14,FALSE()))</f>
        <v>116</v>
      </c>
      <c r="O319" s="81" t="n">
        <v>0</v>
      </c>
      <c r="P319" s="82" t="n">
        <f aca="false">L319-O319</f>
        <v>2.42</v>
      </c>
      <c r="Q319" s="83" t="n">
        <f aca="false">M319*P319</f>
        <v>280.72</v>
      </c>
      <c r="R319" s="74"/>
      <c r="S319" s="79" t="n">
        <f aca="false">IF(ISNA(VLOOKUP(B319,SplitVol,5,FALSE())),0,VLOOKUP(B319,SplitVol,5,FALSE()))</f>
        <v>7</v>
      </c>
      <c r="T319" s="84" t="n">
        <f aca="false">+S319*L319</f>
        <v>16.94</v>
      </c>
      <c r="U319" s="79" t="n">
        <f aca="false">IF(ISNA(VLOOKUP(B319,SplitVol,6,FALSE())),0,VLOOKUP(B319,SplitVol,6,FALSE()))</f>
        <v>109</v>
      </c>
      <c r="V319" s="84" t="n">
        <f aca="false">+U319*L319</f>
        <v>263.78</v>
      </c>
      <c r="W319" s="85" t="str">
        <f aca="false">IF(ISBLANK(VLOOKUP(B319,EffDate,4,FALSE())),"na",VLOOKUP(B319,EffDate,4,FALSE()))</f>
        <v>na</v>
      </c>
      <c r="X319" s="86" t="n">
        <f aca="false">+M319-S319-U319</f>
        <v>0</v>
      </c>
    </row>
    <row r="320" customFormat="false" ht="15" hidden="false" customHeight="true" outlineLevel="0" collapsed="false">
      <c r="A320" s="4" t="s">
        <v>94</v>
      </c>
      <c r="B320" s="78" t="s">
        <v>426</v>
      </c>
      <c r="C320" s="4" t="n">
        <v>4348401</v>
      </c>
      <c r="D320" s="4" t="s">
        <v>425</v>
      </c>
      <c r="E320" s="72" t="s">
        <v>517</v>
      </c>
      <c r="F320" s="78"/>
      <c r="G320" s="78" t="n">
        <v>83231</v>
      </c>
      <c r="H320" s="78" t="s">
        <v>622</v>
      </c>
      <c r="I320" s="105" t="s">
        <v>625</v>
      </c>
      <c r="J320" s="79" t="str">
        <f aca="false">IF(ISNA(VLOOKUP(B320,cngdata,7,FALSE())),"na",VLOOKUP(B320,cngdata,7,FALSE()))</f>
        <v>GD</v>
      </c>
      <c r="K320" s="79" t="n">
        <f aca="false">IF(ISNA(VLOOKUP(B320,cngdata,13,FALSE())),"na",VLOOKUP(B320,cngdata,13,FALSE()))</f>
        <v>24</v>
      </c>
      <c r="L320" s="95" t="n">
        <f aca="false">$L$2</f>
        <v>2.42</v>
      </c>
      <c r="M320" s="79" t="n">
        <f aca="false">IF(ISNA(VLOOKUP(B320,cngdata,14,FALSE())),0,VLOOKUP(B320,cngdata,14,FALSE()))</f>
        <v>26</v>
      </c>
      <c r="O320" s="81" t="n">
        <v>0</v>
      </c>
      <c r="P320" s="82" t="n">
        <f aca="false">L320-O320</f>
        <v>2.42</v>
      </c>
      <c r="Q320" s="83" t="n">
        <f aca="false">M320*P320</f>
        <v>62.92</v>
      </c>
      <c r="R320" s="74"/>
      <c r="S320" s="79" t="n">
        <f aca="false">IF(ISNA(VLOOKUP(B320,SplitVol,5,FALSE())),0,VLOOKUP(B320,SplitVol,5,FALSE()))</f>
        <v>5</v>
      </c>
      <c r="T320" s="84" t="n">
        <f aca="false">+S320*L320</f>
        <v>12.1</v>
      </c>
      <c r="U320" s="79" t="n">
        <f aca="false">IF(ISNA(VLOOKUP(B320,SplitVol,6,FALSE())),0,VLOOKUP(B320,SplitVol,6,FALSE()))</f>
        <v>21</v>
      </c>
      <c r="V320" s="84" t="n">
        <f aca="false">+U320*L320</f>
        <v>50.82</v>
      </c>
      <c r="W320" s="85" t="str">
        <f aca="false">IF(ISBLANK(VLOOKUP(B320,EffDate,4,FALSE())),"na",VLOOKUP(B320,EffDate,4,FALSE()))</f>
        <v>na</v>
      </c>
      <c r="X320" s="86" t="n">
        <f aca="false">+M320-S320-U320</f>
        <v>0</v>
      </c>
    </row>
    <row r="321" customFormat="false" ht="15" hidden="false" customHeight="true" outlineLevel="0" collapsed="false">
      <c r="A321" s="4" t="s">
        <v>26</v>
      </c>
      <c r="B321" s="77" t="s">
        <v>428</v>
      </c>
      <c r="C321" s="4" t="s">
        <v>26</v>
      </c>
      <c r="D321" s="18" t="s">
        <v>427</v>
      </c>
      <c r="E321" s="72" t="s">
        <v>517</v>
      </c>
      <c r="F321" s="18"/>
      <c r="G321" s="78" t="n">
        <v>91923</v>
      </c>
      <c r="H321" s="78" t="s">
        <v>626</v>
      </c>
      <c r="I321" s="153"/>
      <c r="J321" s="79" t="str">
        <f aca="false">IF(ISNA(VLOOKUP(B321,cngdata,7,FALSE())),"na",VLOOKUP(B321,cngdata,7,FALSE()))</f>
        <v>na</v>
      </c>
      <c r="K321" s="79" t="str">
        <f aca="false">IF(ISNA(VLOOKUP(B321,cngdata,13,FALSE())),"na",VLOOKUP(B321,cngdata,13,FALSE()))</f>
        <v>na</v>
      </c>
      <c r="L321" s="154"/>
      <c r="M321" s="79" t="n">
        <f aca="false">IF(ISNA(VLOOKUP(B321,cngdata,14,FALSE())),0,VLOOKUP(B321,cngdata,14,FALSE()))</f>
        <v>0</v>
      </c>
      <c r="O321" s="81" t="n">
        <v>0</v>
      </c>
      <c r="P321" s="82" t="n">
        <f aca="false">L321-O321</f>
        <v>0</v>
      </c>
      <c r="Q321" s="83" t="n">
        <f aca="false">M321*P321</f>
        <v>0</v>
      </c>
      <c r="R321" s="74"/>
      <c r="S321" s="79" t="n">
        <f aca="false">IF(ISNA(VLOOKUP(B321,SplitVol,5,FALSE())),0,VLOOKUP(B321,SplitVol,5,FALSE()))</f>
        <v>0</v>
      </c>
      <c r="T321" s="84" t="n">
        <f aca="false">+S321*L321</f>
        <v>0</v>
      </c>
      <c r="U321" s="79" t="n">
        <f aca="false">IF(ISNA(VLOOKUP(B321,SplitVol,6,FALSE())),0,VLOOKUP(B321,SplitVol,6,FALSE()))</f>
        <v>0</v>
      </c>
      <c r="V321" s="84" t="n">
        <f aca="false">+U321*L321</f>
        <v>0</v>
      </c>
      <c r="W321" s="85" t="str">
        <f aca="false">IF(ISBLANK(VLOOKUP(B321,EffDate,4,FALSE())),"na",VLOOKUP(B321,EffDate,4,FALSE()))</f>
        <v>na</v>
      </c>
      <c r="X321" s="86" t="n">
        <f aca="false">+M321-S321-U321</f>
        <v>0</v>
      </c>
    </row>
    <row r="322" customFormat="false" ht="15" hidden="false" customHeight="true" outlineLevel="0" collapsed="false">
      <c r="A322" s="4" t="s">
        <v>26</v>
      </c>
      <c r="B322" s="77" t="s">
        <v>431</v>
      </c>
      <c r="C322" s="4" t="s">
        <v>26</v>
      </c>
      <c r="D322" s="18" t="s">
        <v>427</v>
      </c>
      <c r="E322" s="72" t="s">
        <v>517</v>
      </c>
      <c r="F322" s="18"/>
      <c r="G322" s="78" t="n">
        <v>91923</v>
      </c>
      <c r="H322" s="78" t="s">
        <v>626</v>
      </c>
      <c r="I322" s="153"/>
      <c r="J322" s="79" t="str">
        <f aca="false">IF(ISNA(VLOOKUP(B322,cngdata,7,FALSE())),"na",VLOOKUP(B322,cngdata,7,FALSE()))</f>
        <v>na</v>
      </c>
      <c r="K322" s="79" t="str">
        <f aca="false">IF(ISNA(VLOOKUP(B322,cngdata,13,FALSE())),"na",VLOOKUP(B322,cngdata,13,FALSE()))</f>
        <v>na</v>
      </c>
      <c r="L322" s="154"/>
      <c r="M322" s="79" t="n">
        <f aca="false">IF(ISNA(VLOOKUP(B322,cngdata,14,FALSE())),0,VLOOKUP(B322,cngdata,14,FALSE()))</f>
        <v>0</v>
      </c>
      <c r="O322" s="81" t="n">
        <v>0</v>
      </c>
      <c r="P322" s="82" t="n">
        <f aca="false">L322-O322</f>
        <v>0</v>
      </c>
      <c r="Q322" s="83" t="n">
        <f aca="false">M322*P322</f>
        <v>0</v>
      </c>
      <c r="R322" s="74"/>
      <c r="S322" s="79" t="n">
        <f aca="false">IF(ISNA(VLOOKUP(B322,SplitVol,5,FALSE())),0,VLOOKUP(B322,SplitVol,5,FALSE()))</f>
        <v>0</v>
      </c>
      <c r="T322" s="84" t="n">
        <f aca="false">+S322*L322</f>
        <v>0</v>
      </c>
      <c r="U322" s="79" t="n">
        <f aca="false">IF(ISNA(VLOOKUP(B322,SplitVol,6,FALSE())),0,VLOOKUP(B322,SplitVol,6,FALSE()))</f>
        <v>0</v>
      </c>
      <c r="V322" s="84" t="n">
        <f aca="false">+U322*L322</f>
        <v>0</v>
      </c>
      <c r="W322" s="85" t="str">
        <f aca="false">IF(ISBLANK(VLOOKUP(B322,EffDate,4,FALSE())),"na",VLOOKUP(B322,EffDate,4,FALSE()))</f>
        <v>na</v>
      </c>
      <c r="X322" s="86" t="n">
        <f aca="false">+M322-S322-U322</f>
        <v>0</v>
      </c>
    </row>
    <row r="323" customFormat="false" ht="15" hidden="false" customHeight="true" outlineLevel="0" collapsed="false">
      <c r="A323" s="4" t="s">
        <v>26</v>
      </c>
      <c r="B323" s="77" t="s">
        <v>432</v>
      </c>
      <c r="C323" s="4" t="s">
        <v>26</v>
      </c>
      <c r="D323" s="18" t="s">
        <v>427</v>
      </c>
      <c r="E323" s="72" t="s">
        <v>517</v>
      </c>
      <c r="F323" s="18"/>
      <c r="G323" s="78" t="n">
        <v>91923</v>
      </c>
      <c r="H323" s="78" t="s">
        <v>626</v>
      </c>
      <c r="I323" s="153"/>
      <c r="J323" s="79" t="str">
        <f aca="false">IF(ISNA(VLOOKUP(B323,cngdata,7,FALSE())),"na",VLOOKUP(B323,cngdata,7,FALSE()))</f>
        <v>na</v>
      </c>
      <c r="K323" s="79" t="str">
        <f aca="false">IF(ISNA(VLOOKUP(B323,cngdata,13,FALSE())),"na",VLOOKUP(B323,cngdata,13,FALSE()))</f>
        <v>na</v>
      </c>
      <c r="L323" s="154"/>
      <c r="M323" s="79" t="n">
        <f aca="false">IF(ISNA(VLOOKUP(B323,cngdata,14,FALSE())),0,VLOOKUP(B323,cngdata,14,FALSE()))</f>
        <v>0</v>
      </c>
      <c r="O323" s="81" t="n">
        <v>0</v>
      </c>
      <c r="P323" s="82" t="n">
        <f aca="false">L323-O323</f>
        <v>0</v>
      </c>
      <c r="Q323" s="83" t="n">
        <f aca="false">M323*P323</f>
        <v>0</v>
      </c>
      <c r="R323" s="74"/>
      <c r="S323" s="79" t="n">
        <f aca="false">IF(ISNA(VLOOKUP(B323,SplitVol,5,FALSE())),0,VLOOKUP(B323,SplitVol,5,FALSE()))</f>
        <v>0</v>
      </c>
      <c r="T323" s="84" t="n">
        <f aca="false">+S323*L323</f>
        <v>0</v>
      </c>
      <c r="U323" s="79" t="n">
        <f aca="false">IF(ISNA(VLOOKUP(B323,SplitVol,6,FALSE())),0,VLOOKUP(B323,SplitVol,6,FALSE()))</f>
        <v>0</v>
      </c>
      <c r="V323" s="84" t="n">
        <f aca="false">+U323*L323</f>
        <v>0</v>
      </c>
      <c r="W323" s="85" t="str">
        <f aca="false">IF(ISBLANK(VLOOKUP(B323,EffDate,4,FALSE())),"na",VLOOKUP(B323,EffDate,4,FALSE()))</f>
        <v>na</v>
      </c>
      <c r="X323" s="86" t="n">
        <f aca="false">+M323-S323-U323</f>
        <v>0</v>
      </c>
    </row>
    <row r="324" customFormat="false" ht="15" hidden="false" customHeight="true" outlineLevel="0" collapsed="false">
      <c r="A324" s="4" t="s">
        <v>26</v>
      </c>
      <c r="B324" s="77" t="n">
        <v>5168401</v>
      </c>
      <c r="C324" s="4" t="s">
        <v>26</v>
      </c>
      <c r="D324" s="18" t="s">
        <v>427</v>
      </c>
      <c r="E324" s="72" t="s">
        <v>517</v>
      </c>
      <c r="F324" s="18"/>
      <c r="G324" s="78" t="n">
        <v>91923</v>
      </c>
      <c r="H324" s="78" t="s">
        <v>626</v>
      </c>
      <c r="I324" s="153"/>
      <c r="J324" s="79" t="str">
        <f aca="false">IF(ISNA(VLOOKUP(B324,cngdata,7,FALSE())),"na",VLOOKUP(B324,cngdata,7,FALSE()))</f>
        <v>na</v>
      </c>
      <c r="K324" s="79" t="str">
        <f aca="false">IF(ISNA(VLOOKUP(B324,cngdata,13,FALSE())),"na",VLOOKUP(B324,cngdata,13,FALSE()))</f>
        <v>na</v>
      </c>
      <c r="L324" s="80"/>
      <c r="M324" s="79" t="n">
        <f aca="false">IF(ISNA(VLOOKUP(B324,cngdata,14,FALSE())),0,VLOOKUP(B324,cngdata,14,FALSE()))</f>
        <v>0</v>
      </c>
      <c r="O324" s="81" t="n">
        <v>0</v>
      </c>
      <c r="P324" s="82" t="n">
        <f aca="false">L324-O324</f>
        <v>0</v>
      </c>
      <c r="Q324" s="83" t="n">
        <f aca="false">M324*P324</f>
        <v>0</v>
      </c>
      <c r="R324" s="74"/>
      <c r="S324" s="79" t="n">
        <f aca="false">IF(ISNA(VLOOKUP(B324,SplitVol,5,FALSE())),0,VLOOKUP(B324,SplitVol,5,FALSE()))</f>
        <v>0</v>
      </c>
      <c r="T324" s="84" t="n">
        <f aca="false">+S324*L324</f>
        <v>0</v>
      </c>
      <c r="U324" s="79" t="n">
        <f aca="false">IF(ISNA(VLOOKUP(B324,SplitVol,6,FALSE())),0,VLOOKUP(B324,SplitVol,6,FALSE()))</f>
        <v>0</v>
      </c>
      <c r="V324" s="84" t="n">
        <f aca="false">+U324*L324</f>
        <v>0</v>
      </c>
      <c r="W324" s="85" t="str">
        <f aca="false">IF(ISBLANK(VLOOKUP(B324,EffDate,4,FALSE())),"na",VLOOKUP(B324,EffDate,4,FALSE()))</f>
        <v>na</v>
      </c>
      <c r="X324" s="86" t="n">
        <f aca="false">+M324-S324-U324</f>
        <v>0</v>
      </c>
    </row>
    <row r="325" customFormat="false" ht="15" hidden="false" customHeight="true" outlineLevel="0" collapsed="false">
      <c r="A325" s="4" t="s">
        <v>26</v>
      </c>
      <c r="B325" s="77" t="s">
        <v>429</v>
      </c>
      <c r="C325" s="4" t="s">
        <v>26</v>
      </c>
      <c r="D325" s="18" t="s">
        <v>427</v>
      </c>
      <c r="E325" s="72" t="s">
        <v>517</v>
      </c>
      <c r="F325" s="18"/>
      <c r="G325" s="78" t="n">
        <v>91923</v>
      </c>
      <c r="H325" s="78" t="s">
        <v>626</v>
      </c>
      <c r="I325" s="153"/>
      <c r="J325" s="79" t="str">
        <f aca="false">IF(ISNA(VLOOKUP(B325,cngdata,7,FALSE())),"na",VLOOKUP(B325,cngdata,7,FALSE()))</f>
        <v>na</v>
      </c>
      <c r="K325" s="79" t="str">
        <f aca="false">IF(ISNA(VLOOKUP(B325,cngdata,13,FALSE())),"na",VLOOKUP(B325,cngdata,13,FALSE()))</f>
        <v>na</v>
      </c>
      <c r="L325" s="154"/>
      <c r="M325" s="79" t="n">
        <f aca="false">IF(ISNA(VLOOKUP(B325,cngdata,14,FALSE())),0,VLOOKUP(B325,cngdata,14,FALSE()))</f>
        <v>0</v>
      </c>
      <c r="O325" s="81" t="n">
        <v>0</v>
      </c>
      <c r="P325" s="82" t="n">
        <f aca="false">L325-O325</f>
        <v>0</v>
      </c>
      <c r="Q325" s="83" t="n">
        <f aca="false">M325*P325</f>
        <v>0</v>
      </c>
      <c r="R325" s="74"/>
      <c r="S325" s="79" t="n">
        <f aca="false">IF(ISNA(VLOOKUP(B325,SplitVol,5,FALSE())),0,VLOOKUP(B325,SplitVol,5,FALSE()))</f>
        <v>0</v>
      </c>
      <c r="T325" s="84" t="n">
        <f aca="false">+S325*L325</f>
        <v>0</v>
      </c>
      <c r="U325" s="79" t="n">
        <f aca="false">IF(ISNA(VLOOKUP(B325,SplitVol,6,FALSE())),0,VLOOKUP(B325,SplitVol,6,FALSE()))</f>
        <v>0</v>
      </c>
      <c r="V325" s="84" t="n">
        <f aca="false">+U325*L325</f>
        <v>0</v>
      </c>
      <c r="W325" s="85" t="str">
        <f aca="false">IF(ISBLANK(VLOOKUP(B325,EffDate,4,FALSE())),"na",VLOOKUP(B325,EffDate,4,FALSE()))</f>
        <v>na</v>
      </c>
      <c r="X325" s="86" t="n">
        <f aca="false">+M325-S325-U325</f>
        <v>0</v>
      </c>
    </row>
    <row r="326" customFormat="false" ht="15" hidden="false" customHeight="true" outlineLevel="0" collapsed="false">
      <c r="A326" s="4" t="s">
        <v>26</v>
      </c>
      <c r="B326" s="77" t="s">
        <v>430</v>
      </c>
      <c r="C326" s="4" t="s">
        <v>26</v>
      </c>
      <c r="D326" s="18" t="s">
        <v>427</v>
      </c>
      <c r="E326" s="72" t="s">
        <v>517</v>
      </c>
      <c r="F326" s="18"/>
      <c r="G326" s="78" t="n">
        <v>91923</v>
      </c>
      <c r="H326" s="78" t="s">
        <v>626</v>
      </c>
      <c r="I326" s="153"/>
      <c r="J326" s="79" t="str">
        <f aca="false">IF(ISNA(VLOOKUP(B326,cngdata,7,FALSE())),"na",VLOOKUP(B326,cngdata,7,FALSE()))</f>
        <v>na</v>
      </c>
      <c r="K326" s="79" t="str">
        <f aca="false">IF(ISNA(VLOOKUP(B326,cngdata,13,FALSE())),"na",VLOOKUP(B326,cngdata,13,FALSE()))</f>
        <v>na</v>
      </c>
      <c r="L326" s="154"/>
      <c r="M326" s="79" t="n">
        <f aca="false">IF(ISNA(VLOOKUP(B326,cngdata,14,FALSE())),0,VLOOKUP(B326,cngdata,14,FALSE()))</f>
        <v>0</v>
      </c>
      <c r="O326" s="81" t="n">
        <v>0</v>
      </c>
      <c r="P326" s="82" t="n">
        <f aca="false">L326-O326</f>
        <v>0</v>
      </c>
      <c r="Q326" s="83" t="n">
        <f aca="false">M326*P326</f>
        <v>0</v>
      </c>
      <c r="R326" s="74"/>
      <c r="S326" s="79" t="n">
        <f aca="false">IF(ISNA(VLOOKUP(B326,SplitVol,5,FALSE())),0,VLOOKUP(B326,SplitVol,5,FALSE()))</f>
        <v>0</v>
      </c>
      <c r="T326" s="84" t="n">
        <f aca="false">+S326*L326</f>
        <v>0</v>
      </c>
      <c r="U326" s="79" t="n">
        <f aca="false">IF(ISNA(VLOOKUP(B326,SplitVol,6,FALSE())),0,VLOOKUP(B326,SplitVol,6,FALSE()))</f>
        <v>0</v>
      </c>
      <c r="V326" s="84" t="n">
        <f aca="false">+U326*L326</f>
        <v>0</v>
      </c>
      <c r="W326" s="85" t="str">
        <f aca="false">IF(ISBLANK(VLOOKUP(B326,EffDate,4,FALSE())),"na",VLOOKUP(B326,EffDate,4,FALSE()))</f>
        <v>na</v>
      </c>
      <c r="X326" s="86" t="n">
        <f aca="false">+M326-S326-U326</f>
        <v>0</v>
      </c>
    </row>
    <row r="327" customFormat="false" ht="15" hidden="false" customHeight="true" outlineLevel="0" collapsed="false">
      <c r="A327" s="4" t="s">
        <v>5</v>
      </c>
      <c r="B327" s="77" t="s">
        <v>433</v>
      </c>
      <c r="C327" s="4" t="n">
        <v>3190601</v>
      </c>
      <c r="D327" s="105" t="s">
        <v>434</v>
      </c>
      <c r="E327" s="106" t="n">
        <v>37228</v>
      </c>
      <c r="F327" s="4"/>
      <c r="G327" s="78" t="n">
        <v>91921</v>
      </c>
      <c r="H327" s="78" t="s">
        <v>627</v>
      </c>
      <c r="I327" s="78" t="s">
        <v>529</v>
      </c>
      <c r="J327" s="79" t="str">
        <f aca="false">IF(ISNA(VLOOKUP(B327,cngdata,7,FALSE())),"na",VLOOKUP(B327,cngdata,7,FALSE()))</f>
        <v>GW</v>
      </c>
      <c r="K327" s="79" t="n">
        <f aca="false">IF(ISNA(VLOOKUP(B327,cngdata,13,FALSE())),"na",VLOOKUP(B327,cngdata,13,FALSE()))</f>
        <v>135</v>
      </c>
      <c r="L327" s="80" t="n">
        <f aca="false">$L$2-0.08</f>
        <v>2.34</v>
      </c>
      <c r="M327" s="79" t="n">
        <f aca="false">IF(ISNA(VLOOKUP(B327,cngdata,14,FALSE())),0,VLOOKUP(B327,cngdata,14,FALSE()))</f>
        <v>156</v>
      </c>
      <c r="O327" s="81" t="n">
        <v>0</v>
      </c>
      <c r="P327" s="82" t="n">
        <f aca="false">L327-O327</f>
        <v>2.34</v>
      </c>
      <c r="Q327" s="83" t="n">
        <f aca="false">M327*P327</f>
        <v>365.04</v>
      </c>
      <c r="R327" s="74"/>
      <c r="S327" s="79" t="n">
        <f aca="false">IF(ISNA(VLOOKUP(B327,SplitVol,5,FALSE())),0,VLOOKUP(B327,SplitVol,5,FALSE()))</f>
        <v>17</v>
      </c>
      <c r="T327" s="84" t="n">
        <f aca="false">+S327*L327</f>
        <v>39.78</v>
      </c>
      <c r="U327" s="79" t="n">
        <f aca="false">IF(ISNA(VLOOKUP(B327,SplitVol,6,FALSE())),0,VLOOKUP(B327,SplitVol,6,FALSE()))</f>
        <v>139</v>
      </c>
      <c r="V327" s="84" t="n">
        <f aca="false">+U327*L327</f>
        <v>325.26</v>
      </c>
      <c r="W327" s="85" t="n">
        <f aca="false">IF(ISBLANK(VLOOKUP(B327,EffDate,4,FALSE())),"na",VLOOKUP(B327,EffDate,4,FALSE()))</f>
        <v>37228</v>
      </c>
      <c r="X327" s="86" t="n">
        <f aca="false">+M327-S327-U327</f>
        <v>0</v>
      </c>
    </row>
    <row r="328" customFormat="false" ht="15" hidden="false" customHeight="true" outlineLevel="0" collapsed="false">
      <c r="A328" s="4" t="s">
        <v>26</v>
      </c>
      <c r="B328" s="77" t="s">
        <v>435</v>
      </c>
      <c r="C328" s="4" t="s">
        <v>26</v>
      </c>
      <c r="D328" s="8" t="s">
        <v>436</v>
      </c>
      <c r="E328" s="72" t="s">
        <v>517</v>
      </c>
      <c r="F328" s="155"/>
      <c r="G328" s="77" t="n">
        <v>91919</v>
      </c>
      <c r="H328" s="77" t="s">
        <v>628</v>
      </c>
      <c r="I328" s="77" t="s">
        <v>560</v>
      </c>
      <c r="J328" s="79" t="str">
        <f aca="false">IF(ISNA(VLOOKUP(B328,cngdata,7,FALSE())),"na",VLOOKUP(B328,cngdata,7,FALSE()))</f>
        <v>na</v>
      </c>
      <c r="K328" s="79" t="str">
        <f aca="false">IF(ISNA(VLOOKUP(B328,cngdata,13,FALSE())),"na",VLOOKUP(B328,cngdata,13,FALSE()))</f>
        <v>na</v>
      </c>
      <c r="L328" s="80" t="n">
        <f aca="false">$L$2*98%</f>
        <v>2.3716</v>
      </c>
      <c r="M328" s="79" t="n">
        <f aca="false">IF(ISNA(VLOOKUP(B328,cngdata,14,FALSE())),0,VLOOKUP(B328,cngdata,14,FALSE()))</f>
        <v>0</v>
      </c>
      <c r="O328" s="81" t="n">
        <v>0</v>
      </c>
      <c r="P328" s="96" t="n">
        <f aca="false">L328-O328</f>
        <v>2.3716</v>
      </c>
      <c r="Q328" s="97" t="n">
        <f aca="false">M328*P328</f>
        <v>0</v>
      </c>
      <c r="R328" s="98"/>
      <c r="S328" s="79" t="n">
        <f aca="false">IF(ISNA(VLOOKUP(B328,SplitVol,5,FALSE())),0,VLOOKUP(B328,SplitVol,5,FALSE()))</f>
        <v>0</v>
      </c>
      <c r="T328" s="84" t="n">
        <f aca="false">+S328*L328</f>
        <v>0</v>
      </c>
      <c r="U328" s="79" t="n">
        <f aca="false">IF(ISNA(VLOOKUP(B328,SplitVol,6,FALSE())),0,VLOOKUP(B328,SplitVol,6,FALSE()))</f>
        <v>0</v>
      </c>
      <c r="V328" s="84" t="n">
        <f aca="false">+U328*L328</f>
        <v>0</v>
      </c>
      <c r="W328" s="85" t="str">
        <f aca="false">IF(ISBLANK(VLOOKUP(B328,EffDate,4,FALSE())),"na",VLOOKUP(B328,EffDate,4,FALSE()))</f>
        <v>na</v>
      </c>
      <c r="X328" s="86" t="n">
        <f aca="false">+M328-S328-U328</f>
        <v>0</v>
      </c>
    </row>
    <row r="329" customFormat="false" ht="15" hidden="false" customHeight="true" outlineLevel="0" collapsed="false">
      <c r="A329" s="4" t="s">
        <v>213</v>
      </c>
      <c r="B329" s="77" t="s">
        <v>437</v>
      </c>
      <c r="C329" s="4" t="n">
        <v>2062201</v>
      </c>
      <c r="D329" s="4" t="s">
        <v>438</v>
      </c>
      <c r="E329" s="72" t="s">
        <v>517</v>
      </c>
      <c r="F329" s="4"/>
      <c r="G329" s="78" t="n">
        <v>92796</v>
      </c>
      <c r="H329" s="78" t="s">
        <v>629</v>
      </c>
      <c r="I329" s="78" t="s">
        <v>543</v>
      </c>
      <c r="J329" s="79" t="str">
        <f aca="false">IF(ISNA(VLOOKUP(B329,cngdata,7,FALSE())),"na",VLOOKUP(B329,cngdata,7,FALSE()))</f>
        <v>GD</v>
      </c>
      <c r="K329" s="79" t="n">
        <f aca="false">IF(ISNA(VLOOKUP(B329,cngdata,13,FALSE())),"na",VLOOKUP(B329,cngdata,13,FALSE()))</f>
        <v>0</v>
      </c>
      <c r="L329" s="80" t="n">
        <f aca="false">$L$2*97%</f>
        <v>2.3474</v>
      </c>
      <c r="M329" s="79" t="n">
        <f aca="false">IF(ISNA(VLOOKUP(B329,cngdata,14,FALSE())),0,VLOOKUP(B329,cngdata,14,FALSE()))</f>
        <v>290</v>
      </c>
      <c r="O329" s="81" t="n">
        <v>0</v>
      </c>
      <c r="P329" s="82" t="n">
        <f aca="false">L329-O329</f>
        <v>2.3474</v>
      </c>
      <c r="Q329" s="83" t="n">
        <f aca="false">M329*P329</f>
        <v>680.746</v>
      </c>
      <c r="R329" s="74"/>
      <c r="S329" s="79" t="n">
        <f aca="false">IF(ISNA(VLOOKUP(B329,SplitVol,5,FALSE())),0,VLOOKUP(B329,SplitVol,5,FALSE()))</f>
        <v>20</v>
      </c>
      <c r="T329" s="84" t="n">
        <f aca="false">+S329*L329</f>
        <v>46.948</v>
      </c>
      <c r="U329" s="79" t="n">
        <f aca="false">IF(ISNA(VLOOKUP(B329,SplitVol,6,FALSE())),0,VLOOKUP(B329,SplitVol,6,FALSE()))</f>
        <v>270</v>
      </c>
      <c r="V329" s="84" t="n">
        <f aca="false">+U329*L329</f>
        <v>633.798</v>
      </c>
      <c r="W329" s="85" t="str">
        <f aca="false">IF(ISBLANK(VLOOKUP(B329,EffDate,4,FALSE())),"na",VLOOKUP(B329,EffDate,4,FALSE()))</f>
        <v>na</v>
      </c>
      <c r="X329" s="86" t="n">
        <f aca="false">+M329-S329-U329</f>
        <v>0</v>
      </c>
    </row>
    <row r="330" customFormat="false" ht="15" hidden="false" customHeight="true" outlineLevel="0" collapsed="false">
      <c r="A330" s="78" t="s">
        <v>273</v>
      </c>
      <c r="B330" s="78" t="s">
        <v>441</v>
      </c>
      <c r="C330" s="78" t="n">
        <v>4244501</v>
      </c>
      <c r="D330" s="90" t="s">
        <v>440</v>
      </c>
      <c r="E330" s="91" t="n">
        <v>37257</v>
      </c>
      <c r="F330" s="156" t="s">
        <v>630</v>
      </c>
      <c r="G330" s="78" t="n">
        <v>92796</v>
      </c>
      <c r="H330" s="78" t="s">
        <v>629</v>
      </c>
      <c r="I330" s="8" t="s">
        <v>631</v>
      </c>
      <c r="J330" s="79" t="str">
        <f aca="false">IF(ISNA(VLOOKUP(B330,cngdata,7,FALSE())),"na",VLOOKUP(B330,cngdata,7,FALSE()))</f>
        <v>GW</v>
      </c>
      <c r="K330" s="79" t="n">
        <f aca="false">IF(ISNA(VLOOKUP(B330,cngdata,13,FALSE())),"na",VLOOKUP(B330,cngdata,13,FALSE()))</f>
        <v>150</v>
      </c>
      <c r="L330" s="80" t="n">
        <f aca="false">$L$2</f>
        <v>2.42</v>
      </c>
      <c r="M330" s="79" t="n">
        <f aca="false">IF(ISNA(VLOOKUP(B330,cngdata,14,FALSE())),0,VLOOKUP(B330,cngdata,14,FALSE()))</f>
        <v>183</v>
      </c>
      <c r="O330" s="81" t="n">
        <v>0</v>
      </c>
      <c r="P330" s="82" t="n">
        <f aca="false">L330-O330</f>
        <v>2.42</v>
      </c>
      <c r="Q330" s="83" t="n">
        <f aca="false">M330*P330</f>
        <v>442.86</v>
      </c>
      <c r="R330" s="74"/>
      <c r="S330" s="79" t="n">
        <f aca="false">IF(ISNA(VLOOKUP(B330,SplitVol,5,FALSE())),0,VLOOKUP(B330,SplitVol,5,FALSE()))</f>
        <v>12</v>
      </c>
      <c r="T330" s="84" t="n">
        <f aca="false">+S330*L330</f>
        <v>29.04</v>
      </c>
      <c r="U330" s="79" t="n">
        <f aca="false">IF(ISNA(VLOOKUP(B330,SplitVol,6,FALSE())),0,VLOOKUP(B330,SplitVol,6,FALSE()))</f>
        <v>171</v>
      </c>
      <c r="V330" s="84" t="n">
        <f aca="false">+U330*L330</f>
        <v>413.82</v>
      </c>
      <c r="W330" s="85" t="n">
        <f aca="false">IF(ISBLANK(VLOOKUP(B330,EffDate,4,FALSE())),"na",VLOOKUP(B330,EffDate,4,FALSE()))</f>
        <v>37257</v>
      </c>
      <c r="X330" s="86" t="n">
        <f aca="false">+M330-S330-U330</f>
        <v>0</v>
      </c>
    </row>
    <row r="331" customFormat="false" ht="15" hidden="false" customHeight="true" outlineLevel="0" collapsed="false">
      <c r="A331" s="78" t="s">
        <v>273</v>
      </c>
      <c r="B331" s="78" t="s">
        <v>439</v>
      </c>
      <c r="C331" s="78" t="n">
        <v>3425301</v>
      </c>
      <c r="D331" s="90" t="s">
        <v>440</v>
      </c>
      <c r="E331" s="91" t="n">
        <v>37257</v>
      </c>
      <c r="F331" s="156" t="s">
        <v>630</v>
      </c>
      <c r="G331" s="78" t="n">
        <v>92796</v>
      </c>
      <c r="H331" s="78" t="s">
        <v>629</v>
      </c>
      <c r="I331" s="8" t="s">
        <v>631</v>
      </c>
      <c r="J331" s="79" t="str">
        <f aca="false">IF(ISNA(VLOOKUP(B331,cngdata,7,FALSE())),"na",VLOOKUP(B331,cngdata,7,FALSE()))</f>
        <v>GW</v>
      </c>
      <c r="K331" s="79" t="n">
        <f aca="false">IF(ISNA(VLOOKUP(B331,cngdata,13,FALSE())),"na",VLOOKUP(B331,cngdata,13,FALSE()))</f>
        <v>271</v>
      </c>
      <c r="L331" s="80" t="n">
        <f aca="false">$L$2</f>
        <v>2.42</v>
      </c>
      <c r="M331" s="79" t="n">
        <f aca="false">IF(ISNA(VLOOKUP(B331,cngdata,14,FALSE())),0,VLOOKUP(B331,cngdata,14,FALSE()))</f>
        <v>384</v>
      </c>
      <c r="O331" s="81" t="n">
        <v>0</v>
      </c>
      <c r="P331" s="82" t="n">
        <f aca="false">L331-O331</f>
        <v>2.42</v>
      </c>
      <c r="Q331" s="83" t="n">
        <f aca="false">M331*P331</f>
        <v>929.28</v>
      </c>
      <c r="R331" s="74"/>
      <c r="S331" s="79" t="n">
        <f aca="false">IF(ISNA(VLOOKUP(B331,SplitVol,5,FALSE())),0,VLOOKUP(B331,SplitVol,5,FALSE()))</f>
        <v>28</v>
      </c>
      <c r="T331" s="84" t="n">
        <f aca="false">+S331*L331</f>
        <v>67.76</v>
      </c>
      <c r="U331" s="79" t="n">
        <f aca="false">IF(ISNA(VLOOKUP(B331,SplitVol,6,FALSE())),0,VLOOKUP(B331,SplitVol,6,FALSE()))-1</f>
        <v>356</v>
      </c>
      <c r="V331" s="84" t="n">
        <f aca="false">+U331*L331</f>
        <v>861.52</v>
      </c>
      <c r="W331" s="85" t="n">
        <f aca="false">IF(ISBLANK(VLOOKUP(B331,EffDate,4,FALSE())),"na",VLOOKUP(B331,EffDate,4,FALSE()))</f>
        <v>37257</v>
      </c>
      <c r="X331" s="86" t="n">
        <f aca="false">+M331-S331-U331</f>
        <v>0</v>
      </c>
    </row>
    <row r="332" customFormat="false" ht="15" hidden="false" customHeight="true" outlineLevel="0" collapsed="false">
      <c r="R332" s="157"/>
    </row>
    <row r="333" customFormat="false" ht="15" hidden="false" customHeight="true" outlineLevel="0" collapsed="false">
      <c r="K333" s="158" t="e">
        <f aca="false">SUM(K5:K332)</f>
        <v>#VALUE!</v>
      </c>
      <c r="M333" s="158" t="n">
        <f aca="false">SUM(M5:M332)</f>
        <v>74510</v>
      </c>
      <c r="Q333" s="47" t="n">
        <f aca="false">SUM(Q5:Q332)</f>
        <v>192850.8882</v>
      </c>
      <c r="R333" s="157"/>
      <c r="S333" s="158" t="n">
        <f aca="false">SUM(S5:S332)</f>
        <v>8400</v>
      </c>
      <c r="T333" s="48" t="n">
        <f aca="false">SUM(T5:T332)</f>
        <v>21456.0289223248</v>
      </c>
      <c r="U333" s="158" t="n">
        <f aca="false">SUM(U5:U332)</f>
        <v>66110</v>
      </c>
      <c r="V333" s="48" t="n">
        <f aca="false">SUM(V5:V332)</f>
        <v>171394.859277675</v>
      </c>
      <c r="X333" s="47" t="n">
        <f aca="false">SUM(X5:X332)</f>
        <v>0</v>
      </c>
    </row>
    <row r="334" customFormat="false" ht="15" hidden="false" customHeight="true" outlineLevel="0" collapsed="false">
      <c r="Q334" s="159" t="n">
        <f aca="false">+Q333/M333</f>
        <v>2.58825510938129</v>
      </c>
      <c r="R334" s="160"/>
      <c r="S334" s="159"/>
      <c r="T334" s="161"/>
      <c r="U334" s="159"/>
      <c r="V334" s="161"/>
      <c r="X334" s="159"/>
    </row>
    <row r="335" customFormat="false" ht="15" hidden="false" customHeight="true" outlineLevel="0" collapsed="false">
      <c r="R335" s="157"/>
      <c r="S335" s="158" t="n">
        <f aca="false">+S333+U333</f>
        <v>74510</v>
      </c>
      <c r="T335" s="48" t="n">
        <f aca="false">+T333+V333</f>
        <v>192850.8882</v>
      </c>
    </row>
  </sheetData>
  <printOptions headings="false" gridLines="false" gridLinesSet="true" horizontalCentered="false" verticalCentered="false"/>
  <pageMargins left="0.5" right="0.5" top="0.5" bottom="0.5" header="0.25" footer="0.511811023622047"/>
  <pageSetup paperSize="1" scale="100" fitToWidth="1" fitToHeight="12" pageOrder="downThenOver" orientation="landscape" blackAndWhite="false" draft="false" cellComments="none" horizontalDpi="300" verticalDpi="300" copies="1"/>
  <headerFooter differentFirst="false" differentOddEven="false">
    <oddHeader>&amp;CCNG</oddHeader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80"/>
  <sheetViews>
    <sheetView showFormulas="false" showGridLines="true" showRowColHeaders="true" showZeros="true" rightToLeft="false" tabSelected="false" showOutlineSymbols="true" defaultGridColor="true" view="normal" topLeftCell="A59" colorId="64" zoomScale="100" zoomScaleNormal="100" zoomScalePageLayoutView="100" workbookViewId="0">
      <selection pane="topLeft" activeCell="A120" activeCellId="0" sqref="A1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5" min="5" style="0" width="7.99"/>
    <col collapsed="false" customWidth="true" hidden="false" outlineLevel="0" max="6" min="6" style="0" width="14.99"/>
    <col collapsed="false" customWidth="true" hidden="false" outlineLevel="0" max="7" min="7" style="0" width="9.56"/>
    <col collapsed="false" customWidth="true" hidden="false" outlineLevel="0" max="9" min="8" style="0" width="10.28"/>
    <col collapsed="false" customWidth="true" hidden="false" outlineLevel="0" max="11" min="11" style="0" width="10.28"/>
    <col collapsed="false" customWidth="true" hidden="false" outlineLevel="0" max="15" min="15" style="0" width="10.28"/>
  </cols>
  <sheetData>
    <row r="1" customFormat="false" ht="12.75" hidden="false" customHeight="false" outlineLevel="0" collapsed="false">
      <c r="A1" s="142" t="s">
        <v>632</v>
      </c>
    </row>
    <row r="3" customFormat="false" ht="12.75" hidden="false" customHeight="false" outlineLevel="0" collapsed="false">
      <c r="A3" s="37" t="s">
        <v>633</v>
      </c>
      <c r="B3" s="37"/>
      <c r="C3" s="162" t="s">
        <v>634</v>
      </c>
    </row>
    <row r="5" customFormat="false" ht="12.75" hidden="false" customHeight="false" outlineLevel="0" collapsed="false">
      <c r="A5" s="0" t="s">
        <v>635</v>
      </c>
      <c r="D5" s="163" t="s">
        <v>636</v>
      </c>
      <c r="E5" s="164"/>
      <c r="F5" s="164"/>
      <c r="G5" s="165" t="n">
        <f aca="false">+CNG!$L$2</f>
        <v>2.42</v>
      </c>
    </row>
    <row r="6" customFormat="false" ht="12.75" hidden="false" customHeight="false" outlineLevel="0" collapsed="false">
      <c r="A6" s="0" t="s">
        <v>637</v>
      </c>
      <c r="C6" s="166" t="s">
        <v>638</v>
      </c>
      <c r="D6" s="166" t="s">
        <v>510</v>
      </c>
    </row>
    <row r="7" customFormat="false" ht="12.75" hidden="false" customHeight="false" outlineLevel="0" collapsed="false">
      <c r="A7" s="158" t="e">
        <f aca="false">SUM(#REF!)</f>
        <v>#REF!</v>
      </c>
      <c r="C7" s="0" t="n">
        <v>7500</v>
      </c>
      <c r="D7" s="0" t="n">
        <v>2.875</v>
      </c>
      <c r="F7" s="0" t="n">
        <f aca="false">C7*D7</f>
        <v>21562.5</v>
      </c>
    </row>
    <row r="8" customFormat="false" ht="12.75" hidden="false" customHeight="false" outlineLevel="0" collapsed="false">
      <c r="C8" s="167" t="e">
        <f aca="false">IF(A7&gt;C7,A7-C7,0)</f>
        <v>#REF!</v>
      </c>
      <c r="D8" s="168" t="n">
        <f aca="false">G5</f>
        <v>2.42</v>
      </c>
      <c r="F8" s="167" t="e">
        <f aca="false">C8*D8</f>
        <v>#REF!</v>
      </c>
      <c r="H8" s="0" t="s">
        <v>639</v>
      </c>
    </row>
    <row r="9" customFormat="false" ht="12.75" hidden="false" customHeight="false" outlineLevel="0" collapsed="false">
      <c r="C9" s="169" t="e">
        <f aca="false">SUM(C7:C8)</f>
        <v>#REF!</v>
      </c>
      <c r="F9" s="0" t="e">
        <f aca="false">SUM(F7:F8)</f>
        <v>#REF!</v>
      </c>
      <c r="H9" s="46" t="e">
        <f aca="false">+F9/C9</f>
        <v>#REF!</v>
      </c>
    </row>
    <row r="10" customFormat="false" ht="12.75" hidden="false" customHeight="false" outlineLevel="0" collapsed="false">
      <c r="C10" s="169"/>
    </row>
    <row r="11" customFormat="false" ht="13.5" hidden="false" customHeight="false" outlineLevel="0" collapsed="false">
      <c r="A11" s="170"/>
      <c r="B11" s="170"/>
      <c r="C11" s="170"/>
      <c r="D11" s="170"/>
      <c r="E11" s="170"/>
      <c r="F11" s="170"/>
      <c r="G11" s="170"/>
      <c r="H11" s="170"/>
      <c r="I11" s="170"/>
      <c r="J11" s="170"/>
    </row>
    <row r="13" customFormat="false" ht="12.75" hidden="false" customHeight="false" outlineLevel="0" collapsed="false">
      <c r="A13" s="156" t="s">
        <v>640</v>
      </c>
      <c r="B13" s="171"/>
      <c r="J13" s="169"/>
      <c r="K13" s="169"/>
      <c r="L13" s="172"/>
      <c r="M13" s="172"/>
      <c r="N13" s="169"/>
      <c r="O13" s="169"/>
      <c r="P13" s="169"/>
      <c r="Q13" s="169"/>
      <c r="R13" s="169"/>
    </row>
    <row r="14" customFormat="false" ht="12.75" hidden="false" customHeight="false" outlineLevel="0" collapsed="false">
      <c r="J14" s="86"/>
      <c r="K14" s="169"/>
      <c r="L14" s="169"/>
      <c r="M14" s="169"/>
      <c r="N14" s="169"/>
      <c r="O14" s="173"/>
      <c r="P14" s="169"/>
      <c r="Q14" s="169"/>
      <c r="R14" s="169"/>
    </row>
    <row r="15" customFormat="false" ht="12.75" hidden="false" customHeight="false" outlineLevel="0" collapsed="false">
      <c r="A15" s="174" t="n">
        <v>10000</v>
      </c>
      <c r="B15" s="175" t="n">
        <v>3.2</v>
      </c>
      <c r="C15" s="166" t="s">
        <v>641</v>
      </c>
      <c r="E15" s="174" t="s">
        <v>642</v>
      </c>
      <c r="F15" s="174"/>
      <c r="G15" s="174"/>
      <c r="H15" s="174"/>
      <c r="J15" s="169"/>
      <c r="K15" s="169"/>
      <c r="L15" s="86"/>
      <c r="M15" s="176"/>
      <c r="N15" s="169"/>
      <c r="O15" s="173"/>
      <c r="P15" s="169"/>
      <c r="Q15" s="169"/>
      <c r="R15" s="169"/>
    </row>
    <row r="16" customFormat="false" ht="12.75" hidden="false" customHeight="false" outlineLevel="0" collapsed="false">
      <c r="C16" s="166"/>
      <c r="E16" s="163" t="s">
        <v>643</v>
      </c>
      <c r="F16" s="164"/>
      <c r="G16" s="177"/>
      <c r="H16" s="178" t="n">
        <f aca="false">+CNG!$L$2+0.01</f>
        <v>2.43</v>
      </c>
      <c r="J16" s="169"/>
      <c r="K16" s="169"/>
      <c r="L16" s="169"/>
      <c r="M16" s="169"/>
      <c r="N16" s="169"/>
      <c r="O16" s="173"/>
      <c r="P16" s="169"/>
      <c r="Q16" s="179"/>
      <c r="R16" s="169"/>
    </row>
    <row r="17" customFormat="false" ht="12.75" hidden="false" customHeight="false" outlineLevel="0" collapsed="false">
      <c r="C17" s="166"/>
    </row>
    <row r="18" customFormat="false" ht="12.75" hidden="false" customHeight="false" outlineLevel="0" collapsed="false">
      <c r="A18" s="0" t="s">
        <v>637</v>
      </c>
      <c r="C18" s="166" t="s">
        <v>638</v>
      </c>
      <c r="D18" s="166" t="s">
        <v>510</v>
      </c>
    </row>
    <row r="19" customFormat="false" ht="12.75" hidden="false" customHeight="false" outlineLevel="0" collapsed="false">
      <c r="A19" s="158" t="n">
        <f aca="false">SUM(CNG!M27:M34)</f>
        <v>0</v>
      </c>
      <c r="C19" s="0" t="n">
        <f aca="false">+A15</f>
        <v>10000</v>
      </c>
      <c r="D19" s="175" t="n">
        <f aca="false">+B15</f>
        <v>3.2</v>
      </c>
      <c r="F19" s="173" t="n">
        <f aca="false">C19*D19</f>
        <v>32000</v>
      </c>
    </row>
    <row r="20" customFormat="false" ht="12.75" hidden="false" customHeight="false" outlineLevel="0" collapsed="false">
      <c r="C20" s="167" t="n">
        <f aca="false">IF(A19&gt;C19,A19-C19,0)</f>
        <v>0</v>
      </c>
      <c r="D20" s="180" t="n">
        <f aca="false">+H16</f>
        <v>2.43</v>
      </c>
      <c r="F20" s="181" t="n">
        <f aca="false">C20*D20</f>
        <v>0</v>
      </c>
      <c r="H20" s="0" t="s">
        <v>639</v>
      </c>
    </row>
    <row r="21" customFormat="false" ht="12.75" hidden="false" customHeight="false" outlineLevel="0" collapsed="false">
      <c r="C21" s="169" t="n">
        <f aca="false">SUM(C19:C20)</f>
        <v>10000</v>
      </c>
      <c r="F21" s="173" t="n">
        <f aca="false">SUM(F19:F20)</f>
        <v>32000</v>
      </c>
      <c r="H21" s="182" t="n">
        <f aca="false">+F21/C21</f>
        <v>3.2</v>
      </c>
    </row>
    <row r="22" customFormat="false" ht="13.5" hidden="false" customHeight="false" outlineLevel="0" collapsed="false">
      <c r="A22" s="170"/>
      <c r="B22" s="170"/>
      <c r="C22" s="170"/>
      <c r="D22" s="170"/>
      <c r="E22" s="170"/>
      <c r="F22" s="170"/>
      <c r="G22" s="170"/>
      <c r="H22" s="170"/>
      <c r="I22" s="170"/>
      <c r="J22" s="170"/>
    </row>
    <row r="24" customFormat="false" ht="12.75" hidden="false" customHeight="false" outlineLevel="0" collapsed="false">
      <c r="A24" s="156" t="s">
        <v>46</v>
      </c>
      <c r="B24" s="171"/>
      <c r="J24" s="169"/>
      <c r="K24" s="169"/>
      <c r="L24" s="172"/>
      <c r="M24" s="172"/>
      <c r="N24" s="169"/>
      <c r="O24" s="169"/>
      <c r="P24" s="169"/>
      <c r="Q24" s="169"/>
      <c r="R24" s="169"/>
    </row>
    <row r="25" customFormat="false" ht="12.75" hidden="false" customHeight="false" outlineLevel="0" collapsed="false">
      <c r="J25" s="86"/>
      <c r="K25" s="169"/>
      <c r="L25" s="169"/>
      <c r="M25" s="169"/>
      <c r="N25" s="169"/>
      <c r="O25" s="173"/>
      <c r="P25" s="169"/>
      <c r="Q25" s="169"/>
      <c r="R25" s="169"/>
    </row>
    <row r="26" customFormat="false" ht="12.75" hidden="false" customHeight="false" outlineLevel="0" collapsed="false">
      <c r="A26" s="0" t="n">
        <v>15000</v>
      </c>
      <c r="B26" s="0" t="n">
        <v>4.95</v>
      </c>
      <c r="C26" s="166" t="s">
        <v>644</v>
      </c>
      <c r="E26" s="162" t="s">
        <v>634</v>
      </c>
      <c r="F26" s="183"/>
      <c r="J26" s="169"/>
      <c r="K26" s="169"/>
      <c r="L26" s="86"/>
      <c r="M26" s="176"/>
      <c r="N26" s="169"/>
      <c r="O26" s="173"/>
      <c r="P26" s="169"/>
      <c r="Q26" s="169"/>
      <c r="R26" s="169"/>
    </row>
    <row r="27" customFormat="false" ht="12.75" hidden="false" customHeight="false" outlineLevel="0" collapsed="false">
      <c r="E27" s="163" t="s">
        <v>645</v>
      </c>
      <c r="F27" s="164"/>
      <c r="G27" s="164"/>
      <c r="H27" s="165" t="n">
        <f aca="false">+CNG!$L$2</f>
        <v>2.42</v>
      </c>
      <c r="J27" s="169"/>
      <c r="K27" s="169"/>
      <c r="L27" s="169"/>
      <c r="M27" s="169"/>
      <c r="N27" s="169"/>
      <c r="O27" s="173"/>
      <c r="P27" s="169"/>
      <c r="Q27" s="179"/>
      <c r="R27" s="169"/>
    </row>
    <row r="28" customFormat="false" ht="12.75" hidden="false" customHeight="false" outlineLevel="0" collapsed="false">
      <c r="C28" s="166"/>
    </row>
    <row r="29" customFormat="false" ht="12.75" hidden="false" customHeight="false" outlineLevel="0" collapsed="false">
      <c r="A29" s="0" t="s">
        <v>637</v>
      </c>
      <c r="C29" s="166" t="s">
        <v>638</v>
      </c>
      <c r="D29" s="166" t="s">
        <v>510</v>
      </c>
    </row>
    <row r="30" customFormat="false" ht="12.75" hidden="false" customHeight="false" outlineLevel="0" collapsed="false">
      <c r="A30" s="158" t="n">
        <f aca="false">SUM(CNG!M35:M63)</f>
        <v>945</v>
      </c>
      <c r="C30" s="0" t="n">
        <v>0</v>
      </c>
      <c r="D30" s="0" t="n">
        <f aca="false">+B26</f>
        <v>4.95</v>
      </c>
      <c r="F30" s="173" t="n">
        <f aca="false">C30*D30</f>
        <v>0</v>
      </c>
    </row>
    <row r="31" customFormat="false" ht="12.75" hidden="false" customHeight="false" outlineLevel="0" collapsed="false">
      <c r="C31" s="167" t="n">
        <f aca="false">IF(A30&gt;C30,A30-C30,0)</f>
        <v>945</v>
      </c>
      <c r="D31" s="180" t="n">
        <f aca="false">+H27</f>
        <v>2.42</v>
      </c>
      <c r="F31" s="181" t="n">
        <f aca="false">C31*D31</f>
        <v>2286.9</v>
      </c>
      <c r="H31" s="0" t="s">
        <v>639</v>
      </c>
    </row>
    <row r="32" customFormat="false" ht="12.75" hidden="false" customHeight="false" outlineLevel="0" collapsed="false">
      <c r="C32" s="169" t="n">
        <f aca="false">SUM(C30:C31)</f>
        <v>945</v>
      </c>
      <c r="F32" s="173" t="n">
        <f aca="false">SUM(F30:F31)</f>
        <v>2286.9</v>
      </c>
      <c r="H32" s="184" t="n">
        <f aca="false">+F32/C32</f>
        <v>2.42</v>
      </c>
    </row>
    <row r="33" customFormat="false" ht="13.5" hidden="false" customHeight="false" outlineLevel="0" collapsed="false">
      <c r="A33" s="170"/>
      <c r="B33" s="170"/>
      <c r="C33" s="170"/>
      <c r="D33" s="170"/>
      <c r="E33" s="170"/>
      <c r="F33" s="170"/>
      <c r="G33" s="170"/>
      <c r="H33" s="170"/>
      <c r="I33" s="170"/>
      <c r="J33" s="170"/>
    </row>
    <row r="35" customFormat="false" ht="12.75" hidden="false" customHeight="false" outlineLevel="0" collapsed="false">
      <c r="A35" s="156" t="s">
        <v>646</v>
      </c>
      <c r="B35" s="171"/>
      <c r="C35" s="0" t="s">
        <v>647</v>
      </c>
      <c r="J35" s="169"/>
      <c r="K35" s="169"/>
      <c r="L35" s="172"/>
      <c r="M35" s="172"/>
      <c r="N35" s="169"/>
      <c r="O35" s="169"/>
      <c r="P35" s="169"/>
      <c r="Q35" s="169"/>
      <c r="R35" s="169"/>
    </row>
    <row r="36" customFormat="false" ht="12.75" hidden="false" customHeight="false" outlineLevel="0" collapsed="false">
      <c r="A36" s="0" t="n">
        <v>6500</v>
      </c>
      <c r="B36" s="175" t="n">
        <v>3.11</v>
      </c>
      <c r="C36" s="166" t="s">
        <v>648</v>
      </c>
      <c r="E36" s="183"/>
      <c r="F36" s="162" t="s">
        <v>634</v>
      </c>
      <c r="J36" s="169"/>
      <c r="K36" s="169"/>
      <c r="L36" s="86"/>
      <c r="M36" s="176"/>
      <c r="N36" s="169"/>
      <c r="O36" s="173"/>
      <c r="P36" s="169"/>
      <c r="Q36" s="169"/>
      <c r="R36" s="169"/>
    </row>
    <row r="37" customFormat="false" ht="12.75" hidden="false" customHeight="false" outlineLevel="0" collapsed="false">
      <c r="C37" s="166"/>
      <c r="E37" s="163" t="s">
        <v>649</v>
      </c>
      <c r="F37" s="164"/>
      <c r="G37" s="177"/>
      <c r="H37" s="178" t="n">
        <f aca="false">+CNG!$L$2</f>
        <v>2.42</v>
      </c>
      <c r="J37" s="169"/>
      <c r="K37" s="169"/>
      <c r="L37" s="169"/>
      <c r="M37" s="169"/>
      <c r="N37" s="169"/>
      <c r="O37" s="173"/>
      <c r="P37" s="169"/>
      <c r="Q37" s="179"/>
      <c r="R37" s="169"/>
    </row>
    <row r="38" customFormat="false" ht="12.75" hidden="false" customHeight="false" outlineLevel="0" collapsed="false">
      <c r="C38" s="166"/>
    </row>
    <row r="39" customFormat="false" ht="12.75" hidden="false" customHeight="false" outlineLevel="0" collapsed="false">
      <c r="A39" s="0" t="s">
        <v>637</v>
      </c>
      <c r="C39" s="166" t="s">
        <v>638</v>
      </c>
      <c r="D39" s="166" t="s">
        <v>510</v>
      </c>
    </row>
    <row r="40" customFormat="false" ht="12.75" hidden="false" customHeight="false" outlineLevel="0" collapsed="false">
      <c r="A40" s="158" t="n">
        <f aca="false">SUM(CNG!M64:M75)</f>
        <v>1895</v>
      </c>
      <c r="C40" s="0" t="n">
        <v>0</v>
      </c>
      <c r="D40" s="175" t="n">
        <f aca="false">+B36</f>
        <v>3.11</v>
      </c>
      <c r="F40" s="173" t="n">
        <f aca="false">C40*D40</f>
        <v>0</v>
      </c>
    </row>
    <row r="41" customFormat="false" ht="12.75" hidden="false" customHeight="false" outlineLevel="0" collapsed="false">
      <c r="C41" s="167" t="n">
        <f aca="false">IF(A40&gt;C40,A40-C40,0)</f>
        <v>1895</v>
      </c>
      <c r="D41" s="180" t="n">
        <f aca="false">+H37</f>
        <v>2.42</v>
      </c>
      <c r="F41" s="181" t="n">
        <f aca="false">C41*D41</f>
        <v>4585.9</v>
      </c>
      <c r="H41" s="0" t="s">
        <v>639</v>
      </c>
    </row>
    <row r="42" customFormat="false" ht="12.75" hidden="false" customHeight="false" outlineLevel="0" collapsed="false">
      <c r="C42" s="169" t="n">
        <f aca="false">SUM(C40:C41)</f>
        <v>1895</v>
      </c>
      <c r="F42" s="173" t="n">
        <f aca="false">SUM(F40:F41)</f>
        <v>4585.9</v>
      </c>
      <c r="H42" s="184" t="n">
        <f aca="false">+F42/C42</f>
        <v>2.42</v>
      </c>
    </row>
    <row r="43" customFormat="false" ht="13.5" hidden="false" customHeight="false" outlineLevel="0" collapsed="false">
      <c r="A43" s="170"/>
      <c r="B43" s="170"/>
      <c r="C43" s="170"/>
      <c r="D43" s="170"/>
      <c r="E43" s="170"/>
      <c r="F43" s="170"/>
      <c r="G43" s="170"/>
      <c r="H43" s="170"/>
      <c r="I43" s="170"/>
      <c r="J43" s="170"/>
    </row>
    <row r="44" customFormat="false" ht="12.75" hidden="false" customHeight="false" outlineLevel="0" collapsed="false">
      <c r="A44" s="169"/>
      <c r="B44" s="169"/>
      <c r="C44" s="169"/>
      <c r="D44" s="169"/>
      <c r="E44" s="169"/>
      <c r="F44" s="169"/>
      <c r="G44" s="45"/>
      <c r="H44" s="169"/>
      <c r="I44" s="169"/>
    </row>
    <row r="45" customFormat="false" ht="12.75" hidden="false" customHeight="false" outlineLevel="0" collapsed="false">
      <c r="A45" s="185"/>
      <c r="B45" s="185"/>
      <c r="C45" s="185"/>
      <c r="D45" s="185"/>
      <c r="E45" s="169"/>
      <c r="F45" s="169"/>
      <c r="G45" s="45"/>
      <c r="H45" s="169"/>
      <c r="I45" s="169"/>
    </row>
    <row r="46" customFormat="false" ht="12.75" hidden="false" customHeight="false" outlineLevel="0" collapsed="false">
      <c r="A46" s="142" t="s">
        <v>650</v>
      </c>
      <c r="B46" s="37"/>
      <c r="C46" s="37"/>
      <c r="D46" s="37"/>
      <c r="G46" s="45"/>
    </row>
    <row r="47" customFormat="false" ht="12.75" hidden="false" customHeight="false" outlineLevel="0" collapsed="false">
      <c r="A47" s="37" t="n">
        <v>500</v>
      </c>
      <c r="B47" s="37" t="n">
        <v>3.02</v>
      </c>
      <c r="C47" s="186" t="s">
        <v>651</v>
      </c>
      <c r="D47" s="37"/>
      <c r="E47" s="171"/>
      <c r="G47" s="45"/>
    </row>
    <row r="48" customFormat="false" ht="12.75" hidden="false" customHeight="false" outlineLevel="0" collapsed="false">
      <c r="A48" s="37" t="n">
        <v>1000</v>
      </c>
      <c r="B48" s="187" t="n">
        <v>3.3</v>
      </c>
      <c r="C48" s="186" t="s">
        <v>652</v>
      </c>
      <c r="D48" s="37"/>
      <c r="E48" s="162" t="s">
        <v>653</v>
      </c>
      <c r="G48" s="45"/>
    </row>
    <row r="49" customFormat="false" ht="12.75" hidden="false" customHeight="false" outlineLevel="0" collapsed="false">
      <c r="E49" s="188" t="s">
        <v>654</v>
      </c>
      <c r="F49" s="189"/>
      <c r="H49" s="165" t="n">
        <f aca="false">+CNG!$L$2-0.02</f>
        <v>2.4</v>
      </c>
    </row>
    <row r="50" customFormat="false" ht="12.75" hidden="false" customHeight="false" outlineLevel="0" collapsed="false">
      <c r="H50" s="45"/>
    </row>
    <row r="51" customFormat="false" ht="12.75" hidden="false" customHeight="false" outlineLevel="0" collapsed="false">
      <c r="A51" s="0" t="s">
        <v>655</v>
      </c>
      <c r="C51" s="0" t="s">
        <v>638</v>
      </c>
      <c r="D51" s="0" t="s">
        <v>656</v>
      </c>
      <c r="H51" s="45"/>
    </row>
    <row r="52" customFormat="false" ht="12.75" hidden="false" customHeight="false" outlineLevel="0" collapsed="false">
      <c r="A52" s="31" t="n">
        <f aca="false">SUM(CNG!M77:M78)</f>
        <v>810</v>
      </c>
      <c r="C52" s="168" t="n">
        <v>0</v>
      </c>
      <c r="D52" s="190" t="n">
        <f aca="false">+B47</f>
        <v>3.02</v>
      </c>
      <c r="E52" s="0" t="n">
        <f aca="false">C52*D52</f>
        <v>0</v>
      </c>
      <c r="H52" s="45"/>
    </row>
    <row r="53" customFormat="false" ht="12.75" hidden="false" customHeight="false" outlineLevel="0" collapsed="false">
      <c r="A53" s="31"/>
      <c r="C53" s="191" t="n">
        <v>0</v>
      </c>
      <c r="D53" s="192" t="n">
        <f aca="false">+B48</f>
        <v>3.3</v>
      </c>
      <c r="E53" s="0" t="n">
        <f aca="false">C53*D53</f>
        <v>0</v>
      </c>
      <c r="H53" s="45"/>
    </row>
    <row r="54" customFormat="false" ht="13.5" hidden="false" customHeight="false" outlineLevel="0" collapsed="false">
      <c r="C54" s="193" t="n">
        <f aca="false">+A52-C52-C53</f>
        <v>810</v>
      </c>
      <c r="D54" s="168" t="n">
        <f aca="false">H49</f>
        <v>2.4</v>
      </c>
      <c r="E54" s="170" t="n">
        <f aca="false">C54*D54</f>
        <v>1944</v>
      </c>
      <c r="H54" s="45" t="s">
        <v>639</v>
      </c>
    </row>
    <row r="55" customFormat="false" ht="12.75" hidden="false" customHeight="false" outlineLevel="0" collapsed="false">
      <c r="C55" s="0" t="n">
        <f aca="false">SUM(C52:C54)</f>
        <v>810</v>
      </c>
      <c r="E55" s="0" t="n">
        <f aca="false">SUM(E52:E54)</f>
        <v>1944</v>
      </c>
      <c r="H55" s="194" t="n">
        <f aca="false">E55/C55</f>
        <v>2.4</v>
      </c>
    </row>
    <row r="56" customFormat="false" ht="13.5" hidden="false" customHeight="false" outlineLevel="0" collapsed="false">
      <c r="A56" s="170"/>
      <c r="B56" s="170"/>
      <c r="C56" s="170"/>
      <c r="D56" s="170"/>
      <c r="E56" s="170"/>
      <c r="F56" s="170"/>
      <c r="G56" s="195"/>
      <c r="H56" s="170"/>
      <c r="I56" s="170"/>
    </row>
    <row r="57" customFormat="false" ht="12.75" hidden="false" customHeight="false" outlineLevel="0" collapsed="false">
      <c r="A57" s="169"/>
      <c r="B57" s="169"/>
      <c r="C57" s="169"/>
      <c r="D57" s="169"/>
      <c r="E57" s="169"/>
      <c r="F57" s="169"/>
      <c r="G57" s="45"/>
      <c r="H57" s="169"/>
      <c r="I57" s="169"/>
      <c r="J57" s="169"/>
    </row>
    <row r="58" customFormat="false" ht="12.75" hidden="false" customHeight="false" outlineLevel="0" collapsed="false">
      <c r="A58" s="185"/>
      <c r="B58" s="185"/>
      <c r="C58" s="185"/>
      <c r="D58" s="185"/>
      <c r="E58" s="169"/>
      <c r="F58" s="169"/>
      <c r="G58" s="45"/>
      <c r="H58" s="169"/>
      <c r="I58" s="169"/>
      <c r="J58" s="169"/>
    </row>
    <row r="59" customFormat="false" ht="12.75" hidden="false" customHeight="false" outlineLevel="0" collapsed="false">
      <c r="A59" s="142" t="s">
        <v>657</v>
      </c>
      <c r="B59" s="37"/>
      <c r="C59" s="37"/>
      <c r="D59" s="37"/>
      <c r="G59" s="45"/>
      <c r="J59" s="169"/>
    </row>
    <row r="60" customFormat="false" ht="12.75" hidden="false" customHeight="false" outlineLevel="0" collapsed="false">
      <c r="A60" s="37" t="n">
        <v>1000</v>
      </c>
      <c r="B60" s="37" t="n">
        <v>4.83</v>
      </c>
      <c r="C60" s="186" t="s">
        <v>658</v>
      </c>
      <c r="D60" s="37"/>
      <c r="E60" s="183" t="s">
        <v>659</v>
      </c>
      <c r="G60" s="45"/>
      <c r="J60" s="169"/>
    </row>
    <row r="61" customFormat="false" ht="12.75" hidden="false" customHeight="false" outlineLevel="0" collapsed="false">
      <c r="A61" s="37" t="n">
        <v>0</v>
      </c>
      <c r="B61" s="187" t="n">
        <v>5.3</v>
      </c>
      <c r="C61" s="186" t="s">
        <v>660</v>
      </c>
      <c r="D61" s="37"/>
      <c r="E61" s="183" t="s">
        <v>659</v>
      </c>
      <c r="G61" s="45"/>
      <c r="J61" s="169"/>
    </row>
    <row r="62" customFormat="false" ht="12.75" hidden="false" customHeight="false" outlineLevel="0" collapsed="false">
      <c r="A62" s="196"/>
      <c r="E62" s="188" t="s">
        <v>661</v>
      </c>
      <c r="F62" s="189"/>
      <c r="H62" s="165" t="n">
        <f aca="false">+CNG!$L$2*0.99</f>
        <v>2.3958</v>
      </c>
      <c r="I62" s="0" t="n">
        <v>0.95</v>
      </c>
      <c r="J62" s="169"/>
    </row>
    <row r="63" customFormat="false" ht="12.75" hidden="false" customHeight="false" outlineLevel="0" collapsed="false">
      <c r="G63" s="45"/>
      <c r="J63" s="169"/>
    </row>
    <row r="64" customFormat="false" ht="12.75" hidden="false" customHeight="false" outlineLevel="0" collapsed="false">
      <c r="A64" s="0" t="s">
        <v>655</v>
      </c>
      <c r="C64" s="0" t="s">
        <v>638</v>
      </c>
      <c r="D64" s="0" t="s">
        <v>656</v>
      </c>
      <c r="H64" s="45"/>
      <c r="K64" s="169"/>
    </row>
    <row r="65" customFormat="false" ht="12.75" hidden="false" customHeight="false" outlineLevel="0" collapsed="false">
      <c r="A65" s="31" t="n">
        <f aca="false">SUM(CNG!M79)</f>
        <v>2367</v>
      </c>
      <c r="C65" s="168" t="n">
        <f aca="false">+A60</f>
        <v>1000</v>
      </c>
      <c r="D65" s="190" t="n">
        <f aca="false">+B60</f>
        <v>4.83</v>
      </c>
      <c r="E65" s="190"/>
      <c r="F65" s="197" t="n">
        <f aca="false">C65*D65</f>
        <v>4830</v>
      </c>
      <c r="H65" s="45"/>
      <c r="K65" s="169"/>
    </row>
    <row r="66" customFormat="false" ht="12.75" hidden="false" customHeight="false" outlineLevel="0" collapsed="false">
      <c r="A66" s="31"/>
      <c r="C66" s="66" t="n">
        <f aca="false">+A61</f>
        <v>0</v>
      </c>
      <c r="D66" s="192" t="n">
        <f aca="false">+B61</f>
        <v>5.3</v>
      </c>
      <c r="E66" s="192"/>
      <c r="F66" s="197" t="n">
        <f aca="false">C66*D66</f>
        <v>0</v>
      </c>
      <c r="H66" s="45"/>
      <c r="K66" s="169"/>
    </row>
    <row r="67" customFormat="false" ht="13.5" hidden="false" customHeight="false" outlineLevel="0" collapsed="false">
      <c r="C67" s="193" t="n">
        <f aca="false">+A65-C65-C66</f>
        <v>1367</v>
      </c>
      <c r="D67" s="168" t="n">
        <f aca="false">H62</f>
        <v>2.3958</v>
      </c>
      <c r="E67" s="168"/>
      <c r="F67" s="198" t="n">
        <f aca="false">C67*D67</f>
        <v>3275.0586</v>
      </c>
      <c r="H67" s="45" t="s">
        <v>639</v>
      </c>
      <c r="K67" s="169"/>
    </row>
    <row r="68" customFormat="false" ht="12.75" hidden="false" customHeight="false" outlineLevel="0" collapsed="false">
      <c r="C68" s="0" t="n">
        <f aca="false">SUM(C65:C67)</f>
        <v>2367</v>
      </c>
      <c r="F68" s="197" t="n">
        <f aca="false">SUM(F65:F67)</f>
        <v>8105.0586</v>
      </c>
      <c r="H68" s="194" t="n">
        <f aca="false">F68/C68</f>
        <v>3.42419036755387</v>
      </c>
      <c r="K68" s="169"/>
    </row>
    <row r="69" customFormat="false" ht="13.5" hidden="false" customHeight="false" outlineLevel="0" collapsed="false">
      <c r="A69" s="170"/>
      <c r="B69" s="170"/>
      <c r="C69" s="170"/>
      <c r="D69" s="170"/>
      <c r="E69" s="170"/>
      <c r="F69" s="170"/>
      <c r="G69" s="170"/>
      <c r="H69" s="170"/>
      <c r="I69" s="170"/>
      <c r="J69" s="170"/>
    </row>
    <row r="71" customFormat="false" ht="12.75" hidden="false" customHeight="false" outlineLevel="0" collapsed="false">
      <c r="A71" s="156" t="s">
        <v>662</v>
      </c>
      <c r="B71" s="171"/>
      <c r="J71" s="169"/>
      <c r="K71" s="169"/>
      <c r="L71" s="172"/>
      <c r="M71" s="172"/>
      <c r="N71" s="169"/>
      <c r="O71" s="169"/>
      <c r="P71" s="169"/>
      <c r="Q71" s="169"/>
      <c r="R71" s="169"/>
    </row>
    <row r="72" customFormat="false" ht="12.75" hidden="false" customHeight="false" outlineLevel="0" collapsed="false">
      <c r="J72" s="86"/>
      <c r="K72" s="169"/>
      <c r="L72" s="169"/>
      <c r="M72" s="169"/>
      <c r="N72" s="169"/>
      <c r="O72" s="173"/>
      <c r="P72" s="169"/>
      <c r="Q72" s="169"/>
      <c r="R72" s="169"/>
    </row>
    <row r="73" customFormat="false" ht="12.75" hidden="false" customHeight="false" outlineLevel="0" collapsed="false">
      <c r="A73" s="0" t="n">
        <v>2000</v>
      </c>
      <c r="B73" s="197" t="n">
        <v>5.8</v>
      </c>
      <c r="C73" s="166" t="s">
        <v>663</v>
      </c>
      <c r="E73" s="183"/>
      <c r="F73" s="183"/>
      <c r="J73" s="169"/>
      <c r="K73" s="169"/>
      <c r="L73" s="86"/>
      <c r="M73" s="176"/>
      <c r="N73" s="169"/>
      <c r="O73" s="173"/>
      <c r="P73" s="169"/>
      <c r="Q73" s="169"/>
      <c r="R73" s="169"/>
    </row>
    <row r="74" customFormat="false" ht="12.75" hidden="false" customHeight="false" outlineLevel="0" collapsed="false">
      <c r="E74" s="163" t="s">
        <v>645</v>
      </c>
      <c r="F74" s="164"/>
      <c r="G74" s="164"/>
      <c r="H74" s="165" t="n">
        <f aca="false">+CNG!$L$2</f>
        <v>2.42</v>
      </c>
      <c r="J74" s="169"/>
      <c r="K74" s="169"/>
      <c r="L74" s="169"/>
      <c r="M74" s="169"/>
      <c r="N74" s="169"/>
      <c r="O74" s="173"/>
      <c r="P74" s="169"/>
      <c r="Q74" s="179"/>
      <c r="R74" s="169"/>
    </row>
    <row r="75" customFormat="false" ht="12.75" hidden="false" customHeight="false" outlineLevel="0" collapsed="false">
      <c r="C75" s="166"/>
    </row>
    <row r="76" customFormat="false" ht="12.75" hidden="false" customHeight="false" outlineLevel="0" collapsed="false">
      <c r="A76" s="0" t="s">
        <v>637</v>
      </c>
      <c r="C76" s="166" t="s">
        <v>638</v>
      </c>
      <c r="D76" s="166" t="s">
        <v>510</v>
      </c>
    </row>
    <row r="77" customFormat="false" ht="12.75" hidden="false" customHeight="false" outlineLevel="0" collapsed="false">
      <c r="A77" s="158" t="n">
        <f aca="false">SUM(CNG!M96:M106)</f>
        <v>1377</v>
      </c>
      <c r="C77" s="0" t="n">
        <f aca="false">+A73</f>
        <v>2000</v>
      </c>
      <c r="D77" s="0" t="n">
        <f aca="false">+B73</f>
        <v>5.8</v>
      </c>
      <c r="F77" s="173" t="n">
        <f aca="false">C77*D77</f>
        <v>11600</v>
      </c>
    </row>
    <row r="78" customFormat="false" ht="12.75" hidden="false" customHeight="false" outlineLevel="0" collapsed="false">
      <c r="C78" s="167" t="n">
        <f aca="false">IF(A77&gt;C77,A77-C77,0)</f>
        <v>0</v>
      </c>
      <c r="D78" s="180" t="n">
        <f aca="false">+H74</f>
        <v>2.42</v>
      </c>
      <c r="F78" s="181" t="n">
        <f aca="false">C78*D78</f>
        <v>0</v>
      </c>
      <c r="H78" s="0" t="s">
        <v>639</v>
      </c>
    </row>
    <row r="79" customFormat="false" ht="12.75" hidden="false" customHeight="false" outlineLevel="0" collapsed="false">
      <c r="C79" s="169" t="n">
        <f aca="false">SUM(C77:C78)</f>
        <v>2000</v>
      </c>
      <c r="F79" s="173" t="n">
        <f aca="false">SUM(F77:F78)</f>
        <v>11600</v>
      </c>
      <c r="H79" s="184" t="n">
        <f aca="false">ROUND(+F79/C79,4)</f>
        <v>5.8</v>
      </c>
    </row>
    <row r="80" customFormat="false" ht="13.5" hidden="false" customHeight="false" outlineLevel="0" collapsed="false">
      <c r="A80" s="170"/>
      <c r="B80" s="170"/>
      <c r="C80" s="170"/>
      <c r="D80" s="170"/>
      <c r="E80" s="170"/>
      <c r="F80" s="170"/>
      <c r="G80" s="170"/>
      <c r="H80" s="170"/>
      <c r="I80" s="170"/>
      <c r="J80" s="170"/>
    </row>
    <row r="81" customFormat="false" ht="12.75" hidden="false" customHeight="false" outlineLevel="0" collapsed="false">
      <c r="A81" s="156" t="s">
        <v>151</v>
      </c>
    </row>
    <row r="82" customFormat="false" ht="12.75" hidden="false" customHeight="false" outlineLevel="0" collapsed="false">
      <c r="F82" s="162" t="s">
        <v>634</v>
      </c>
    </row>
    <row r="83" customFormat="false" ht="12.75" hidden="false" customHeight="false" outlineLevel="0" collapsed="false">
      <c r="A83" s="0" t="s">
        <v>664</v>
      </c>
      <c r="B83" s="0" t="n">
        <v>3.03</v>
      </c>
      <c r="C83" s="166" t="s">
        <v>665</v>
      </c>
      <c r="E83" s="163" t="s">
        <v>636</v>
      </c>
      <c r="F83" s="164"/>
      <c r="G83" s="164"/>
      <c r="H83" s="165" t="n">
        <f aca="false">+CNG!$L$2</f>
        <v>2.42</v>
      </c>
    </row>
    <row r="85" customFormat="false" ht="12.75" hidden="false" customHeight="false" outlineLevel="0" collapsed="false">
      <c r="A85" s="0" t="s">
        <v>655</v>
      </c>
      <c r="C85" s="23" t="s">
        <v>638</v>
      </c>
      <c r="D85" s="23" t="s">
        <v>656</v>
      </c>
    </row>
    <row r="86" customFormat="false" ht="12.75" hidden="false" customHeight="false" outlineLevel="0" collapsed="false">
      <c r="A86" s="158" t="n">
        <f aca="false">SUM(CNG!M113:M115)</f>
        <v>0</v>
      </c>
      <c r="C86" s="0" t="n">
        <v>6000</v>
      </c>
      <c r="D86" s="0" t="n">
        <v>3.03</v>
      </c>
      <c r="F86" s="0" t="n">
        <f aca="false">C86*D86</f>
        <v>18180</v>
      </c>
    </row>
    <row r="87" customFormat="false" ht="12.75" hidden="false" customHeight="false" outlineLevel="0" collapsed="false">
      <c r="C87" s="167" t="n">
        <f aca="false">IF(A86&gt;C86,A86-C86,0)</f>
        <v>0</v>
      </c>
      <c r="D87" s="180" t="n">
        <f aca="false">H83</f>
        <v>2.42</v>
      </c>
      <c r="F87" s="167" t="n">
        <f aca="false">C87*D87</f>
        <v>0</v>
      </c>
      <c r="H87" s="0" t="s">
        <v>639</v>
      </c>
    </row>
    <row r="88" customFormat="false" ht="12.75" hidden="false" customHeight="false" outlineLevel="0" collapsed="false">
      <c r="C88" s="169" t="n">
        <f aca="false">SUM(C86:C87)</f>
        <v>6000</v>
      </c>
      <c r="F88" s="0" t="n">
        <f aca="false">SUM(F86:F87)</f>
        <v>18180</v>
      </c>
      <c r="H88" s="182" t="n">
        <f aca="false">+F88/C88</f>
        <v>3.03</v>
      </c>
    </row>
    <row r="90" customFormat="false" ht="13.5" hidden="false" customHeight="false" outlineLevel="0" collapsed="false">
      <c r="A90" s="170"/>
      <c r="B90" s="170"/>
      <c r="C90" s="170"/>
      <c r="D90" s="170"/>
      <c r="E90" s="170"/>
      <c r="F90" s="170"/>
      <c r="G90" s="170"/>
      <c r="H90" s="170"/>
      <c r="I90" s="170"/>
      <c r="J90" s="170"/>
    </row>
    <row r="92" customFormat="false" ht="12.75" hidden="false" customHeight="false" outlineLevel="0" collapsed="false">
      <c r="A92" s="166" t="s">
        <v>666</v>
      </c>
      <c r="D92" s="199" t="s">
        <v>634</v>
      </c>
      <c r="E92" s="166"/>
    </row>
    <row r="93" customFormat="false" ht="12.75" hidden="false" customHeight="false" outlineLevel="0" collapsed="false">
      <c r="C93" s="200" t="s">
        <v>667</v>
      </c>
      <c r="D93" s="201"/>
      <c r="E93" s="201"/>
      <c r="F93" s="201"/>
      <c r="G93" s="201" t="s">
        <v>668</v>
      </c>
      <c r="H93" s="0" t="n">
        <v>9000</v>
      </c>
      <c r="I93" s="0" t="n">
        <v>2.95</v>
      </c>
      <c r="J93" s="0" t="s">
        <v>669</v>
      </c>
    </row>
    <row r="94" customFormat="false" ht="12.75" hidden="false" customHeight="false" outlineLevel="0" collapsed="false">
      <c r="A94" s="0" t="n">
        <v>0</v>
      </c>
      <c r="B94" s="0" t="n">
        <v>2.86</v>
      </c>
      <c r="C94" s="200" t="s">
        <v>670</v>
      </c>
      <c r="D94" s="201"/>
      <c r="E94" s="201"/>
      <c r="F94" s="201"/>
      <c r="G94" s="201" t="s">
        <v>668</v>
      </c>
      <c r="H94" s="0" t="n">
        <v>8000</v>
      </c>
      <c r="I94" s="0" t="n">
        <v>2.62</v>
      </c>
      <c r="J94" s="202" t="s">
        <v>669</v>
      </c>
    </row>
    <row r="95" customFormat="false" ht="12.75" hidden="false" customHeight="false" outlineLevel="0" collapsed="false">
      <c r="A95" s="0" t="n">
        <v>0</v>
      </c>
      <c r="B95" s="0" t="n">
        <v>3.16</v>
      </c>
      <c r="C95" s="200" t="s">
        <v>671</v>
      </c>
      <c r="D95" s="201"/>
      <c r="E95" s="201"/>
      <c r="F95" s="201"/>
      <c r="G95" s="201" t="s">
        <v>668</v>
      </c>
      <c r="H95" s="0" t="n">
        <v>11000</v>
      </c>
      <c r="I95" s="0" t="n">
        <v>3.2</v>
      </c>
      <c r="J95" s="0" t="s">
        <v>672</v>
      </c>
    </row>
    <row r="97" customFormat="false" ht="12.75" hidden="false" customHeight="false" outlineLevel="0" collapsed="false">
      <c r="D97" s="163" t="s">
        <v>636</v>
      </c>
      <c r="E97" s="164"/>
      <c r="F97" s="164"/>
      <c r="G97" s="203"/>
      <c r="H97" s="165" t="n">
        <f aca="false">+CNG!$L$2</f>
        <v>2.42</v>
      </c>
    </row>
    <row r="98" customFormat="false" ht="12.75" hidden="false" customHeight="false" outlineLevel="0" collapsed="false">
      <c r="A98" s="0" t="s">
        <v>637</v>
      </c>
      <c r="C98" s="166" t="s">
        <v>638</v>
      </c>
      <c r="D98" s="166" t="s">
        <v>510</v>
      </c>
    </row>
    <row r="99" customFormat="false" ht="12.75" hidden="false" customHeight="false" outlineLevel="0" collapsed="false">
      <c r="A99" s="158" t="n">
        <f aca="false">SUM(CNG!M137:M154)</f>
        <v>2612</v>
      </c>
      <c r="C99" s="0" t="n">
        <f aca="false">+A94</f>
        <v>0</v>
      </c>
      <c r="D99" s="0" t="n">
        <f aca="false">+B94</f>
        <v>2.86</v>
      </c>
      <c r="F99" s="173" t="n">
        <f aca="false">C99*D99</f>
        <v>0</v>
      </c>
    </row>
    <row r="100" customFormat="false" ht="12.75" hidden="false" customHeight="false" outlineLevel="0" collapsed="false">
      <c r="A100" s="158"/>
      <c r="C100" s="0" t="n">
        <f aca="false">+A95</f>
        <v>0</v>
      </c>
      <c r="D100" s="0" t="n">
        <f aca="false">+B95</f>
        <v>3.16</v>
      </c>
      <c r="F100" s="173" t="n">
        <f aca="false">C100*D100</f>
        <v>0</v>
      </c>
    </row>
    <row r="101" customFormat="false" ht="12.75" hidden="false" customHeight="false" outlineLevel="0" collapsed="false">
      <c r="C101" s="204" t="n">
        <f aca="false">+A99-C99-C100</f>
        <v>2612</v>
      </c>
      <c r="D101" s="180" t="n">
        <f aca="false">H97</f>
        <v>2.42</v>
      </c>
      <c r="F101" s="181" t="n">
        <f aca="false">C101*D101</f>
        <v>6321.04</v>
      </c>
      <c r="H101" s="0" t="s">
        <v>639</v>
      </c>
    </row>
    <row r="102" customFormat="false" ht="12.75" hidden="false" customHeight="false" outlineLevel="0" collapsed="false">
      <c r="C102" s="169" t="n">
        <f aca="false">SUM(C99:C101)</f>
        <v>2612</v>
      </c>
      <c r="F102" s="173" t="n">
        <f aca="false">SUM(F99:F101)</f>
        <v>6321.04</v>
      </c>
      <c r="H102" s="182" t="n">
        <f aca="false">+F102/C102</f>
        <v>2.42</v>
      </c>
    </row>
    <row r="103" customFormat="false" ht="13.5" hidden="false" customHeight="false" outlineLevel="0" collapsed="false">
      <c r="A103" s="170"/>
      <c r="B103" s="170"/>
      <c r="C103" s="170"/>
      <c r="D103" s="170"/>
      <c r="E103" s="170"/>
      <c r="F103" s="170"/>
      <c r="G103" s="170"/>
      <c r="H103" s="170"/>
      <c r="I103" s="170"/>
      <c r="J103" s="170"/>
    </row>
    <row r="104" customFormat="false" ht="12.75" hidden="false" customHeight="false" outlineLevel="0" collapsed="false">
      <c r="A104" s="169"/>
      <c r="B104" s="169"/>
      <c r="C104" s="169"/>
      <c r="D104" s="169"/>
      <c r="E104" s="169"/>
      <c r="F104" s="169"/>
      <c r="G104" s="45"/>
      <c r="H104" s="169"/>
      <c r="I104" s="169"/>
      <c r="J104" s="169"/>
    </row>
    <row r="105" customFormat="false" ht="12.75" hidden="false" customHeight="false" outlineLevel="0" collapsed="false">
      <c r="A105" s="185"/>
      <c r="B105" s="185"/>
      <c r="C105" s="185"/>
      <c r="D105" s="185"/>
      <c r="E105" s="169"/>
      <c r="F105" s="169"/>
      <c r="G105" s="45"/>
      <c r="H105" s="169"/>
      <c r="I105" s="169"/>
      <c r="J105" s="169"/>
    </row>
    <row r="106" customFormat="false" ht="12.75" hidden="false" customHeight="false" outlineLevel="0" collapsed="false">
      <c r="A106" s="142" t="s">
        <v>673</v>
      </c>
      <c r="B106" s="37"/>
      <c r="C106" s="37"/>
      <c r="D106" s="37"/>
      <c r="G106" s="45"/>
      <c r="J106" s="169"/>
    </row>
    <row r="107" customFormat="false" ht="12.75" hidden="false" customHeight="false" outlineLevel="0" collapsed="false">
      <c r="A107" s="37" t="n">
        <v>4500</v>
      </c>
      <c r="B107" s="37" t="n">
        <v>4.83</v>
      </c>
      <c r="C107" s="186" t="s">
        <v>658</v>
      </c>
      <c r="D107" s="37"/>
      <c r="E107" s="183"/>
      <c r="G107" s="45"/>
      <c r="J107" s="169"/>
    </row>
    <row r="108" customFormat="false" ht="12.75" hidden="false" customHeight="false" outlineLevel="0" collapsed="false">
      <c r="A108" s="37" t="n">
        <v>5000</v>
      </c>
      <c r="B108" s="187" t="n">
        <v>5.3</v>
      </c>
      <c r="C108" s="186" t="s">
        <v>660</v>
      </c>
      <c r="D108" s="37"/>
      <c r="E108" s="183"/>
      <c r="G108" s="45"/>
      <c r="J108" s="169"/>
    </row>
    <row r="109" customFormat="false" ht="12.75" hidden="false" customHeight="false" outlineLevel="0" collapsed="false">
      <c r="A109" s="196"/>
      <c r="E109" s="188" t="s">
        <v>661</v>
      </c>
      <c r="F109" s="189"/>
      <c r="H109" s="165" t="n">
        <f aca="false">+CNG!$L$2*0.99</f>
        <v>2.3958</v>
      </c>
      <c r="I109" s="0" t="n">
        <v>0.95</v>
      </c>
      <c r="J109" s="169" t="n">
        <v>10.53</v>
      </c>
    </row>
    <row r="110" customFormat="false" ht="12.75" hidden="false" customHeight="false" outlineLevel="0" collapsed="false">
      <c r="G110" s="45"/>
      <c r="J110" s="169"/>
    </row>
    <row r="111" customFormat="false" ht="12.75" hidden="false" customHeight="false" outlineLevel="0" collapsed="false">
      <c r="A111" s="0" t="s">
        <v>655</v>
      </c>
      <c r="C111" s="0" t="s">
        <v>638</v>
      </c>
      <c r="D111" s="0" t="s">
        <v>656</v>
      </c>
      <c r="H111" s="45"/>
      <c r="K111" s="169"/>
    </row>
    <row r="112" customFormat="false" ht="12.75" hidden="false" customHeight="false" outlineLevel="0" collapsed="false">
      <c r="A112" s="31" t="n">
        <f aca="false">SUM(CNG!M180:M191)</f>
        <v>5523</v>
      </c>
      <c r="C112" s="168" t="n">
        <f aca="false">+A107</f>
        <v>4500</v>
      </c>
      <c r="D112" s="190" t="n">
        <f aca="false">+B107</f>
        <v>4.83</v>
      </c>
      <c r="E112" s="190"/>
      <c r="F112" s="197" t="n">
        <f aca="false">C112*D112</f>
        <v>21735</v>
      </c>
      <c r="H112" s="45"/>
      <c r="K112" s="169"/>
    </row>
    <row r="113" customFormat="false" ht="12.75" hidden="false" customHeight="false" outlineLevel="0" collapsed="false">
      <c r="A113" s="31"/>
      <c r="C113" s="168" t="n">
        <v>0</v>
      </c>
      <c r="D113" s="192" t="n">
        <f aca="false">+B108</f>
        <v>5.3</v>
      </c>
      <c r="E113" s="192"/>
      <c r="F113" s="197" t="n">
        <f aca="false">C113*D113</f>
        <v>0</v>
      </c>
      <c r="H113" s="45"/>
      <c r="K113" s="169"/>
    </row>
    <row r="114" customFormat="false" ht="13.5" hidden="false" customHeight="false" outlineLevel="0" collapsed="false">
      <c r="C114" s="193" t="n">
        <f aca="false">+A112-C112-C113</f>
        <v>1023</v>
      </c>
      <c r="D114" s="168" t="n">
        <f aca="false">H109</f>
        <v>2.3958</v>
      </c>
      <c r="E114" s="168"/>
      <c r="F114" s="198" t="n">
        <f aca="false">C114*D114</f>
        <v>2450.9034</v>
      </c>
      <c r="H114" s="45" t="s">
        <v>639</v>
      </c>
      <c r="K114" s="169"/>
    </row>
    <row r="115" customFormat="false" ht="12.75" hidden="false" customHeight="false" outlineLevel="0" collapsed="false">
      <c r="C115" s="0" t="n">
        <f aca="false">SUM(C112:C114)</f>
        <v>5523</v>
      </c>
      <c r="F115" s="197" t="n">
        <f aca="false">SUM(F112:F114)</f>
        <v>24185.9034</v>
      </c>
      <c r="H115" s="194" t="n">
        <f aca="false">F115/C115</f>
        <v>4.37912428028246</v>
      </c>
      <c r="K115" s="169"/>
    </row>
    <row r="116" customFormat="false" ht="13.5" hidden="false" customHeight="false" outlineLevel="0" collapsed="false">
      <c r="A116" s="170"/>
      <c r="B116" s="170"/>
      <c r="C116" s="170"/>
      <c r="D116" s="170"/>
      <c r="E116" s="170"/>
      <c r="F116" s="170"/>
      <c r="G116" s="195"/>
      <c r="H116" s="170"/>
      <c r="I116" s="170"/>
      <c r="J116" s="170"/>
    </row>
    <row r="118" customFormat="false" ht="12.75" hidden="false" customHeight="false" outlineLevel="0" collapsed="false">
      <c r="A118" s="0" t="s">
        <v>674</v>
      </c>
      <c r="B118" s="169"/>
      <c r="C118" s="169"/>
      <c r="D118" s="169"/>
      <c r="E118" s="169"/>
      <c r="F118" s="169"/>
      <c r="G118" s="169"/>
      <c r="H118" s="169"/>
      <c r="I118" s="169"/>
      <c r="J118" s="169"/>
    </row>
    <row r="119" customFormat="false" ht="12.75" hidden="false" customHeight="false" outlineLevel="0" collapsed="false">
      <c r="C119" s="183"/>
      <c r="D119" s="183" t="s">
        <v>675</v>
      </c>
      <c r="F119" s="171"/>
    </row>
    <row r="120" customFormat="false" ht="12.75" hidden="false" customHeight="false" outlineLevel="0" collapsed="false">
      <c r="A120" s="0" t="n">
        <v>0</v>
      </c>
      <c r="B120" s="0" t="n">
        <v>4.16</v>
      </c>
      <c r="C120" s="205" t="s">
        <v>676</v>
      </c>
      <c r="D120" s="183"/>
      <c r="E120" s="163" t="s">
        <v>677</v>
      </c>
      <c r="F120" s="164"/>
      <c r="G120" s="164"/>
      <c r="H120" s="165" t="n">
        <f aca="false">+CNG!$L$2*0.99</f>
        <v>2.3958</v>
      </c>
    </row>
    <row r="121" customFormat="false" ht="12.75" hidden="false" customHeight="false" outlineLevel="0" collapsed="false">
      <c r="C121" s="166"/>
    </row>
    <row r="122" customFormat="false" ht="12.75" hidden="false" customHeight="false" outlineLevel="0" collapsed="false">
      <c r="A122" s="0" t="s">
        <v>655</v>
      </c>
      <c r="C122" s="23" t="s">
        <v>638</v>
      </c>
      <c r="D122" s="23" t="s">
        <v>656</v>
      </c>
    </row>
    <row r="123" customFormat="false" ht="12.75" hidden="false" customHeight="false" outlineLevel="0" collapsed="false">
      <c r="A123" s="158" t="n">
        <f aca="false">SUM(CNG!M213:M222)</f>
        <v>481</v>
      </c>
      <c r="C123" s="0" t="n">
        <f aca="false">+A120</f>
        <v>0</v>
      </c>
      <c r="D123" s="0" t="n">
        <f aca="false">+B120</f>
        <v>4.16</v>
      </c>
      <c r="F123" s="47" t="n">
        <f aca="false">C123*D123</f>
        <v>0</v>
      </c>
    </row>
    <row r="124" customFormat="false" ht="12.75" hidden="false" customHeight="false" outlineLevel="0" collapsed="false">
      <c r="C124" s="167" t="n">
        <f aca="false">IF(A123&gt;C123,A123-C123,0)</f>
        <v>481</v>
      </c>
      <c r="D124" s="168" t="n">
        <f aca="false">H120</f>
        <v>2.3958</v>
      </c>
      <c r="F124" s="206" t="n">
        <f aca="false">C124*D124</f>
        <v>1152.3798</v>
      </c>
      <c r="H124" s="0" t="s">
        <v>639</v>
      </c>
    </row>
    <row r="125" customFormat="false" ht="12.75" hidden="false" customHeight="false" outlineLevel="0" collapsed="false">
      <c r="C125" s="169" t="n">
        <f aca="false">SUM(C123:C124)</f>
        <v>481</v>
      </c>
      <c r="F125" s="47" t="n">
        <f aca="false">SUM(F123:F124)</f>
        <v>1152.3798</v>
      </c>
      <c r="H125" s="182" t="n">
        <f aca="false">+F125/C125</f>
        <v>2.3958</v>
      </c>
    </row>
    <row r="126" customFormat="false" ht="12.75" hidden="false" customHeight="false" outlineLevel="0" collapsed="false">
      <c r="C126" s="169"/>
      <c r="H126" s="46"/>
    </row>
    <row r="127" customFormat="false" ht="13.5" hidden="false" customHeight="false" outlineLevel="0" collapsed="false">
      <c r="A127" s="170"/>
      <c r="B127" s="170"/>
      <c r="C127" s="170"/>
      <c r="D127" s="170"/>
      <c r="E127" s="170"/>
      <c r="F127" s="170"/>
      <c r="G127" s="170"/>
      <c r="H127" s="207"/>
      <c r="I127" s="170"/>
      <c r="J127" s="170"/>
    </row>
    <row r="128" customFormat="false" ht="12.75" hidden="false" customHeight="false" outlineLevel="0" collapsed="false">
      <c r="A128" s="0" t="s">
        <v>678</v>
      </c>
      <c r="B128" s="169"/>
      <c r="C128" s="169"/>
      <c r="D128" s="169"/>
      <c r="E128" s="169"/>
      <c r="F128" s="169"/>
      <c r="G128" s="169"/>
      <c r="H128" s="169"/>
      <c r="I128" s="169"/>
      <c r="J128" s="169"/>
    </row>
    <row r="129" customFormat="false" ht="12.75" hidden="false" customHeight="false" outlineLevel="0" collapsed="false">
      <c r="E129" s="162" t="s">
        <v>634</v>
      </c>
      <c r="J129" s="169"/>
    </row>
    <row r="130" customFormat="false" ht="12.75" hidden="false" customHeight="false" outlineLevel="0" collapsed="false">
      <c r="A130" s="0" t="s">
        <v>679</v>
      </c>
      <c r="B130" s="0" t="n">
        <v>5.985</v>
      </c>
      <c r="C130" s="166" t="s">
        <v>680</v>
      </c>
      <c r="E130" s="163" t="s">
        <v>681</v>
      </c>
      <c r="F130" s="164"/>
      <c r="G130" s="164"/>
      <c r="H130" s="208" t="n">
        <f aca="false">+CNG!$L$2</f>
        <v>2.42</v>
      </c>
      <c r="J130" s="169"/>
    </row>
    <row r="131" customFormat="false" ht="12.75" hidden="false" customHeight="false" outlineLevel="0" collapsed="false">
      <c r="C131" s="166"/>
      <c r="J131" s="169"/>
    </row>
    <row r="132" customFormat="false" ht="12.75" hidden="false" customHeight="false" outlineLevel="0" collapsed="false">
      <c r="A132" s="0" t="s">
        <v>655</v>
      </c>
      <c r="C132" s="23" t="s">
        <v>638</v>
      </c>
      <c r="D132" s="23" t="s">
        <v>656</v>
      </c>
      <c r="J132" s="169"/>
    </row>
    <row r="133" customFormat="false" ht="12.75" hidden="false" customHeight="false" outlineLevel="0" collapsed="false">
      <c r="A133" s="158" t="n">
        <f aca="false">SUM(CNG!M233:M250)</f>
        <v>8396</v>
      </c>
      <c r="C133" s="0" t="n">
        <v>0</v>
      </c>
      <c r="D133" s="0" t="n">
        <v>5.985</v>
      </c>
      <c r="F133" s="0" t="n">
        <f aca="false">C133*D133</f>
        <v>0</v>
      </c>
      <c r="J133" s="169"/>
    </row>
    <row r="134" customFormat="false" ht="12.75" hidden="false" customHeight="false" outlineLevel="0" collapsed="false">
      <c r="C134" s="167" t="n">
        <f aca="false">IF(A133&gt;C133,A133-C133,0)</f>
        <v>8396</v>
      </c>
      <c r="D134" s="168" t="n">
        <f aca="false">H130</f>
        <v>2.42</v>
      </c>
      <c r="F134" s="167" t="n">
        <f aca="false">C134*D134</f>
        <v>20318.32</v>
      </c>
      <c r="H134" s="0" t="s">
        <v>639</v>
      </c>
      <c r="J134" s="169"/>
    </row>
    <row r="135" customFormat="false" ht="12.75" hidden="false" customHeight="false" outlineLevel="0" collapsed="false">
      <c r="C135" s="169" t="n">
        <f aca="false">SUM(C133:C134)</f>
        <v>8396</v>
      </c>
      <c r="F135" s="0" t="n">
        <f aca="false">SUM(F133:F134)</f>
        <v>20318.32</v>
      </c>
      <c r="H135" s="182" t="n">
        <f aca="false">+F135/C135</f>
        <v>2.42</v>
      </c>
      <c r="J135" s="169"/>
    </row>
    <row r="136" customFormat="false" ht="12.75" hidden="false" customHeight="false" outlineLevel="0" collapsed="false">
      <c r="C136" s="169"/>
      <c r="H136" s="46"/>
      <c r="J136" s="169"/>
    </row>
    <row r="137" customFormat="false" ht="13.5" hidden="false" customHeight="false" outlineLevel="0" collapsed="false">
      <c r="A137" s="170"/>
      <c r="B137" s="170"/>
      <c r="C137" s="170"/>
      <c r="D137" s="170"/>
      <c r="E137" s="170"/>
      <c r="F137" s="170"/>
      <c r="G137" s="170"/>
      <c r="H137" s="207"/>
      <c r="I137" s="170"/>
      <c r="J137" s="169"/>
    </row>
    <row r="138" customFormat="false" ht="12.75" hidden="false" customHeight="false" outlineLevel="0" collapsed="false">
      <c r="A138" s="169"/>
      <c r="B138" s="169"/>
      <c r="C138" s="169"/>
      <c r="D138" s="169"/>
      <c r="E138" s="169"/>
      <c r="F138" s="169"/>
      <c r="G138" s="169"/>
      <c r="H138" s="209"/>
      <c r="I138" s="169"/>
      <c r="J138" s="169"/>
    </row>
    <row r="139" customFormat="false" ht="12.75" hidden="false" customHeight="false" outlineLevel="0" collapsed="false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</row>
    <row r="140" customFormat="false" ht="12.75" hidden="false" customHeight="false" outlineLevel="0" collapsed="false">
      <c r="A140" s="0" t="s">
        <v>682</v>
      </c>
      <c r="B140" s="169"/>
      <c r="C140" s="169"/>
      <c r="D140" s="169"/>
      <c r="E140" s="169"/>
      <c r="F140" s="169"/>
      <c r="G140" s="169"/>
      <c r="H140" s="169"/>
      <c r="I140" s="169"/>
      <c r="J140" s="169"/>
    </row>
    <row r="141" customFormat="false" ht="12.75" hidden="false" customHeight="false" outlineLevel="0" collapsed="false">
      <c r="D141" s="162" t="s">
        <v>634</v>
      </c>
    </row>
    <row r="142" customFormat="false" ht="12.75" hidden="false" customHeight="false" outlineLevel="0" collapsed="false">
      <c r="A142" s="0" t="s">
        <v>679</v>
      </c>
      <c r="B142" s="0" t="n">
        <v>3.16</v>
      </c>
      <c r="C142" s="200" t="s">
        <v>683</v>
      </c>
      <c r="D142" s="201"/>
      <c r="E142" s="163" t="s">
        <v>681</v>
      </c>
      <c r="F142" s="164"/>
      <c r="G142" s="164"/>
      <c r="H142" s="208" t="n">
        <f aca="false">+CNG!$L$2</f>
        <v>2.42</v>
      </c>
    </row>
    <row r="143" customFormat="false" ht="12.75" hidden="false" customHeight="false" outlineLevel="0" collapsed="false">
      <c r="C143" s="166"/>
    </row>
    <row r="144" customFormat="false" ht="12.75" hidden="false" customHeight="false" outlineLevel="0" collapsed="false">
      <c r="A144" s="0" t="s">
        <v>655</v>
      </c>
      <c r="C144" s="23" t="s">
        <v>638</v>
      </c>
      <c r="D144" s="23" t="s">
        <v>656</v>
      </c>
    </row>
    <row r="145" customFormat="false" ht="12.75" hidden="false" customHeight="false" outlineLevel="0" collapsed="false">
      <c r="A145" s="158" t="n">
        <f aca="false">SUM(CNG!M265:M269)</f>
        <v>1168</v>
      </c>
      <c r="C145" s="0" t="n">
        <v>0</v>
      </c>
      <c r="D145" s="0" t="n">
        <v>3.16</v>
      </c>
      <c r="F145" s="0" t="n">
        <f aca="false">C145*D145</f>
        <v>0</v>
      </c>
    </row>
    <row r="146" customFormat="false" ht="12.75" hidden="false" customHeight="false" outlineLevel="0" collapsed="false">
      <c r="C146" s="167" t="n">
        <f aca="false">IF(A145&gt;C145,A145-C145,0)</f>
        <v>1168</v>
      </c>
      <c r="D146" s="168" t="n">
        <f aca="false">H142</f>
        <v>2.42</v>
      </c>
      <c r="F146" s="167" t="n">
        <f aca="false">C146*D146</f>
        <v>2826.56</v>
      </c>
      <c r="H146" s="0" t="s">
        <v>639</v>
      </c>
    </row>
    <row r="147" customFormat="false" ht="12.75" hidden="false" customHeight="false" outlineLevel="0" collapsed="false">
      <c r="C147" s="169" t="n">
        <f aca="false">SUM(C145:C146)</f>
        <v>1168</v>
      </c>
      <c r="F147" s="0" t="n">
        <f aca="false">SUM(F145:F146)</f>
        <v>2826.56</v>
      </c>
      <c r="H147" s="182" t="n">
        <f aca="false">+F147/C147</f>
        <v>2.42</v>
      </c>
    </row>
    <row r="148" customFormat="false" ht="12.75" hidden="false" customHeight="false" outlineLevel="0" collapsed="false">
      <c r="C148" s="169"/>
      <c r="H148" s="46"/>
    </row>
    <row r="149" customFormat="false" ht="13.5" hidden="false" customHeight="false" outlineLevel="0" collapsed="false">
      <c r="A149" s="170"/>
      <c r="B149" s="170"/>
      <c r="C149" s="170"/>
      <c r="D149" s="170"/>
      <c r="E149" s="170"/>
      <c r="F149" s="170"/>
      <c r="G149" s="170"/>
      <c r="H149" s="207"/>
      <c r="I149" s="170"/>
      <c r="J149" s="170"/>
    </row>
    <row r="150" customFormat="false" ht="12.75" hidden="false" customHeight="false" outlineLevel="0" collapsed="false">
      <c r="J150" s="169"/>
    </row>
    <row r="151" customFormat="false" ht="12.75" hidden="false" customHeight="false" outlineLevel="0" collapsed="false">
      <c r="A151" s="114" t="s">
        <v>684</v>
      </c>
      <c r="B151" s="210"/>
      <c r="C151" s="143" t="s">
        <v>603</v>
      </c>
      <c r="D151" s="210"/>
      <c r="E151" s="169"/>
      <c r="F151" s="169"/>
      <c r="G151" s="169"/>
      <c r="H151" s="169"/>
      <c r="I151" s="169"/>
    </row>
    <row r="152" customFormat="false" ht="12.75" hidden="false" customHeight="false" outlineLevel="0" collapsed="false">
      <c r="J152" s="211" t="s">
        <v>685</v>
      </c>
    </row>
    <row r="153" customFormat="false" ht="12.75" hidden="false" customHeight="false" outlineLevel="0" collapsed="false">
      <c r="A153" s="0" t="s">
        <v>679</v>
      </c>
      <c r="B153" s="0" t="n">
        <v>5.05</v>
      </c>
      <c r="C153" s="166" t="s">
        <v>686</v>
      </c>
      <c r="E153" s="163" t="s">
        <v>649</v>
      </c>
      <c r="F153" s="164"/>
      <c r="G153" s="164"/>
      <c r="H153" s="165" t="n">
        <f aca="false">+CNG!$L$2</f>
        <v>2.42</v>
      </c>
      <c r="J153" s="211" t="n">
        <v>2.86</v>
      </c>
      <c r="K153" s="212" t="s">
        <v>687</v>
      </c>
      <c r="L153" s="211"/>
    </row>
    <row r="154" customFormat="false" ht="12.75" hidden="false" customHeight="false" outlineLevel="0" collapsed="false">
      <c r="C154" s="166"/>
    </row>
    <row r="155" customFormat="false" ht="12.75" hidden="false" customHeight="false" outlineLevel="0" collapsed="false">
      <c r="A155" s="0" t="s">
        <v>655</v>
      </c>
      <c r="C155" s="23" t="s">
        <v>638</v>
      </c>
      <c r="D155" s="23" t="s">
        <v>656</v>
      </c>
    </row>
    <row r="156" customFormat="false" ht="12.75" hidden="false" customHeight="false" outlineLevel="0" collapsed="false">
      <c r="A156" s="158" t="n">
        <f aca="false">SUM(CNG!M270:M276)</f>
        <v>1209</v>
      </c>
      <c r="C156" s="0" t="n">
        <v>0</v>
      </c>
      <c r="D156" s="0" t="n">
        <f aca="false">+B153</f>
        <v>5.05</v>
      </c>
      <c r="F156" s="197" t="n">
        <f aca="false">C156*D156</f>
        <v>0</v>
      </c>
    </row>
    <row r="157" customFormat="false" ht="12.75" hidden="false" customHeight="false" outlineLevel="0" collapsed="false">
      <c r="C157" s="167" t="n">
        <f aca="false">IF(A156&gt;C156,A156-C156,0)</f>
        <v>1209</v>
      </c>
      <c r="D157" s="168" t="n">
        <f aca="false">H153</f>
        <v>2.42</v>
      </c>
      <c r="F157" s="167" t="n">
        <f aca="false">C157*D157</f>
        <v>2925.78</v>
      </c>
      <c r="H157" s="0" t="s">
        <v>639</v>
      </c>
    </row>
    <row r="158" customFormat="false" ht="12.75" hidden="false" customHeight="false" outlineLevel="0" collapsed="false">
      <c r="C158" s="169" t="n">
        <f aca="false">SUM(C156:C157)</f>
        <v>1209</v>
      </c>
      <c r="F158" s="0" t="n">
        <f aca="false">SUM(F156:F157)</f>
        <v>2925.78</v>
      </c>
      <c r="H158" s="46" t="n">
        <f aca="false">+F158/C158</f>
        <v>2.42</v>
      </c>
    </row>
    <row r="159" customFormat="false" ht="12.75" hidden="false" customHeight="false" outlineLevel="0" collapsed="false">
      <c r="C159" s="169"/>
      <c r="H159" s="46"/>
    </row>
    <row r="160" customFormat="false" ht="13.5" hidden="false" customHeight="false" outlineLevel="0" collapsed="false">
      <c r="A160" s="170"/>
      <c r="B160" s="170"/>
      <c r="C160" s="170"/>
      <c r="D160" s="170"/>
      <c r="E160" s="170"/>
      <c r="F160" s="170"/>
      <c r="G160" s="170"/>
      <c r="H160" s="170"/>
      <c r="I160" s="170"/>
      <c r="J160" s="170"/>
    </row>
    <row r="161" customFormat="false" ht="12.75" hidden="false" customHeight="false" outlineLevel="0" collapsed="false">
      <c r="A161" s="169"/>
      <c r="B161" s="169"/>
      <c r="C161" s="169"/>
      <c r="D161" s="169"/>
      <c r="E161" s="169"/>
      <c r="F161" s="169"/>
      <c r="G161" s="169"/>
      <c r="H161" s="169"/>
      <c r="I161" s="169"/>
      <c r="J161" s="169"/>
    </row>
    <row r="162" customFormat="false" ht="12.75" hidden="false" customHeight="false" outlineLevel="0" collapsed="false">
      <c r="A162" s="169" t="s">
        <v>688</v>
      </c>
      <c r="B162" s="169"/>
      <c r="C162" s="169"/>
      <c r="D162" s="169"/>
      <c r="E162" s="169"/>
      <c r="F162" s="169"/>
      <c r="G162" s="169"/>
      <c r="H162" s="169"/>
      <c r="I162" s="169"/>
      <c r="J162" s="169"/>
    </row>
    <row r="163" customFormat="false" ht="12.75" hidden="false" customHeight="false" outlineLevel="0" collapsed="false">
      <c r="A163" s="169"/>
      <c r="B163" s="169"/>
      <c r="C163" s="213" t="s">
        <v>634</v>
      </c>
      <c r="D163" s="169"/>
      <c r="E163" s="169"/>
      <c r="F163" s="169"/>
      <c r="G163" s="169"/>
      <c r="H163" s="169"/>
      <c r="I163" s="169"/>
      <c r="J163" s="169"/>
    </row>
    <row r="164" customFormat="false" ht="12.75" hidden="false" customHeight="false" outlineLevel="0" collapsed="false">
      <c r="A164" s="169" t="n">
        <v>0</v>
      </c>
      <c r="B164" s="169" t="n">
        <v>3.16</v>
      </c>
      <c r="C164" s="166" t="s">
        <v>651</v>
      </c>
      <c r="D164" s="169"/>
      <c r="E164" s="163" t="s">
        <v>636</v>
      </c>
      <c r="F164" s="164"/>
      <c r="G164" s="164"/>
      <c r="H164" s="165" t="n">
        <f aca="false">+CNG!$L$2</f>
        <v>2.42</v>
      </c>
      <c r="I164" s="169"/>
      <c r="J164" s="169"/>
    </row>
    <row r="165" customFormat="false" ht="12.75" hidden="false" customHeight="false" outlineLevel="0" collapsed="false">
      <c r="A165" s="169"/>
      <c r="B165" s="169"/>
      <c r="C165" s="166"/>
      <c r="D165" s="169"/>
      <c r="E165" s="169"/>
      <c r="F165" s="169"/>
      <c r="G165" s="169"/>
      <c r="H165" s="169"/>
      <c r="I165" s="169"/>
      <c r="J165" s="169"/>
    </row>
    <row r="166" customFormat="false" ht="12.75" hidden="false" customHeight="false" outlineLevel="0" collapsed="false">
      <c r="A166" s="0" t="s">
        <v>655</v>
      </c>
      <c r="C166" s="23" t="s">
        <v>638</v>
      </c>
      <c r="D166" s="23" t="s">
        <v>656</v>
      </c>
      <c r="I166" s="169"/>
      <c r="J166" s="169"/>
    </row>
    <row r="167" customFormat="false" ht="12.75" hidden="false" customHeight="false" outlineLevel="0" collapsed="false">
      <c r="A167" s="158" t="n">
        <f aca="false">SUM(CNG!M277:M279)</f>
        <v>523</v>
      </c>
      <c r="C167" s="0" t="n">
        <f aca="false">+A164</f>
        <v>0</v>
      </c>
      <c r="D167" s="0" t="n">
        <f aca="false">+B164</f>
        <v>3.16</v>
      </c>
      <c r="F167" s="197" t="n">
        <f aca="false">C167*D167</f>
        <v>0</v>
      </c>
      <c r="I167" s="169"/>
      <c r="J167" s="169"/>
    </row>
    <row r="168" customFormat="false" ht="12.75" hidden="false" customHeight="false" outlineLevel="0" collapsed="false">
      <c r="C168" s="167" t="n">
        <f aca="false">IF(A167&gt;C167,A167-C167,0)</f>
        <v>523</v>
      </c>
      <c r="D168" s="168" t="n">
        <f aca="false">H164</f>
        <v>2.42</v>
      </c>
      <c r="F168" s="214" t="n">
        <f aca="false">C168*D168</f>
        <v>1265.66</v>
      </c>
      <c r="H168" s="0" t="s">
        <v>639</v>
      </c>
      <c r="I168" s="169"/>
      <c r="J168" s="169"/>
    </row>
    <row r="169" customFormat="false" ht="12.75" hidden="false" customHeight="false" outlineLevel="0" collapsed="false">
      <c r="C169" s="169" t="n">
        <f aca="false">SUM(C167:C168)</f>
        <v>523</v>
      </c>
      <c r="F169" s="197" t="n">
        <f aca="false">SUM(F167:F168)</f>
        <v>1265.66</v>
      </c>
      <c r="H169" s="182" t="n">
        <f aca="false">+F169/C169</f>
        <v>2.42</v>
      </c>
      <c r="I169" s="169"/>
      <c r="J169" s="169"/>
    </row>
    <row r="170" customFormat="false" ht="13.5" hidden="false" customHeight="false" outlineLevel="0" collapsed="false">
      <c r="A170" s="170"/>
      <c r="B170" s="170"/>
      <c r="C170" s="170"/>
      <c r="D170" s="170"/>
      <c r="E170" s="170"/>
      <c r="F170" s="170"/>
      <c r="G170" s="170"/>
      <c r="H170" s="170"/>
      <c r="I170" s="170"/>
      <c r="J170" s="170"/>
    </row>
    <row r="171" customFormat="false" ht="12.75" hidden="false" customHeight="false" outlineLevel="0" collapsed="false">
      <c r="A171" s="169"/>
      <c r="B171" s="169"/>
      <c r="C171" s="169"/>
      <c r="D171" s="169"/>
      <c r="E171" s="169"/>
      <c r="F171" s="169"/>
      <c r="G171" s="169"/>
      <c r="H171" s="169"/>
      <c r="I171" s="169"/>
      <c r="J171" s="169"/>
    </row>
    <row r="172" customFormat="false" ht="12.75" hidden="false" customHeight="false" outlineLevel="0" collapsed="false">
      <c r="A172" s="169" t="s">
        <v>689</v>
      </c>
      <c r="C172" s="213" t="s">
        <v>634</v>
      </c>
      <c r="D172" s="169"/>
      <c r="E172" s="169"/>
      <c r="F172" s="169"/>
      <c r="G172" s="169"/>
      <c r="H172" s="169"/>
      <c r="I172" s="169"/>
      <c r="J172" s="169"/>
    </row>
    <row r="173" customFormat="false" ht="12.75" hidden="false" customHeight="false" outlineLevel="0" collapsed="false">
      <c r="A173" s="169"/>
      <c r="B173" s="169"/>
      <c r="C173" s="169"/>
      <c r="D173" s="169"/>
      <c r="E173" s="169"/>
      <c r="F173" s="169"/>
      <c r="G173" s="169"/>
      <c r="H173" s="169"/>
      <c r="I173" s="169"/>
      <c r="J173" s="169"/>
    </row>
    <row r="174" customFormat="false" ht="12.75" hidden="false" customHeight="false" outlineLevel="0" collapsed="false">
      <c r="A174" s="169" t="s">
        <v>690</v>
      </c>
      <c r="B174" s="169" t="n">
        <v>3.01</v>
      </c>
      <c r="C174" s="166" t="s">
        <v>691</v>
      </c>
      <c r="D174" s="169"/>
      <c r="E174" s="163" t="s">
        <v>636</v>
      </c>
      <c r="F174" s="164"/>
      <c r="G174" s="164"/>
      <c r="H174" s="165" t="n">
        <f aca="false">+CNG!$L$2*0.99</f>
        <v>2.3958</v>
      </c>
      <c r="I174" s="169"/>
      <c r="J174" s="169"/>
    </row>
    <row r="175" customFormat="false" ht="12.75" hidden="false" customHeight="false" outlineLevel="0" collapsed="false">
      <c r="A175" s="169"/>
      <c r="B175" s="169"/>
      <c r="C175" s="166"/>
      <c r="D175" s="169"/>
      <c r="E175" s="169"/>
      <c r="F175" s="169"/>
      <c r="G175" s="169"/>
      <c r="H175" s="169"/>
      <c r="I175" s="169"/>
      <c r="J175" s="169"/>
    </row>
    <row r="176" customFormat="false" ht="12.75" hidden="false" customHeight="false" outlineLevel="0" collapsed="false">
      <c r="A176" s="0" t="s">
        <v>655</v>
      </c>
      <c r="C176" s="23" t="s">
        <v>638</v>
      </c>
      <c r="D176" s="23" t="s">
        <v>656</v>
      </c>
      <c r="I176" s="169"/>
      <c r="J176" s="169"/>
    </row>
    <row r="177" customFormat="false" ht="12.75" hidden="false" customHeight="false" outlineLevel="0" collapsed="false">
      <c r="A177" s="158" t="n">
        <f aca="false">SUM(CNG!M203:M206)</f>
        <v>6166</v>
      </c>
      <c r="C177" s="0" t="n">
        <v>10000</v>
      </c>
      <c r="D177" s="0" t="n">
        <f aca="false">+B174</f>
        <v>3.01</v>
      </c>
      <c r="F177" s="197" t="n">
        <f aca="false">C177*D177</f>
        <v>30100</v>
      </c>
      <c r="I177" s="169"/>
      <c r="J177" s="169"/>
    </row>
    <row r="178" customFormat="false" ht="12.75" hidden="false" customHeight="false" outlineLevel="0" collapsed="false">
      <c r="C178" s="167" t="n">
        <f aca="false">IF(A177&gt;C177,A177-C177,0)</f>
        <v>0</v>
      </c>
      <c r="D178" s="168" t="n">
        <f aca="false">H174</f>
        <v>2.3958</v>
      </c>
      <c r="F178" s="214" t="n">
        <f aca="false">C178*D178</f>
        <v>0</v>
      </c>
      <c r="H178" s="0" t="s">
        <v>639</v>
      </c>
      <c r="I178" s="169"/>
      <c r="J178" s="169"/>
    </row>
    <row r="179" customFormat="false" ht="12.75" hidden="false" customHeight="false" outlineLevel="0" collapsed="false">
      <c r="C179" s="169" t="n">
        <f aca="false">SUM(C177:C178)</f>
        <v>10000</v>
      </c>
      <c r="F179" s="197" t="n">
        <f aca="false">SUM(F177:F178)</f>
        <v>30100</v>
      </c>
      <c r="H179" s="46" t="n">
        <f aca="false">+F179/C179</f>
        <v>3.01</v>
      </c>
      <c r="I179" s="169"/>
      <c r="J179" s="169"/>
    </row>
    <row r="180" customFormat="false" ht="13.5" hidden="false" customHeight="false" outlineLevel="0" collapsed="false">
      <c r="A180" s="170"/>
      <c r="B180" s="170"/>
      <c r="C180" s="170"/>
      <c r="D180" s="170"/>
      <c r="E180" s="170"/>
      <c r="F180" s="170"/>
      <c r="G180" s="170"/>
      <c r="H180" s="170"/>
      <c r="I180" s="170"/>
      <c r="J180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1998-04-01T13:04:04Z</dcterms:created>
  <dc:creator> </dc:creator>
  <dc:description/>
  <dc:language>en-US</dc:language>
  <cp:lastModifiedBy>rbarbe</cp:lastModifiedBy>
  <cp:lastPrinted>2002-01-18T13:30:56Z</cp:lastPrinted>
  <dcterms:modified xsi:type="dcterms:W3CDTF">2002-06-25T17:07:47Z</dcterms:modified>
  <cp:revision>0</cp:revision>
  <dc:subject/>
  <dc:title/>
</cp:coreProperties>
</file>