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drawings/vmlDrawing7.vml" ContentType="application/vnd.openxmlformats-officedocument.vmlDrawing"/>
  <Override PartName="/xl/drawings/vmlDrawing8.vml" ContentType="application/vnd.openxmlformats-officedocument.vmlDrawing"/>
  <Override PartName="/xl/sharedStrings.xml" ContentType="application/vnd.openxmlformats-officedocument.spreadsheetml.sharedStrings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comments9.xml" ContentType="application/vnd.openxmlformats-officedocument.spreadsheetml.comment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BRA Power" sheetId="13" state="visible" r:id="rId15"/>
    <sheet name="CRD Hedge" sheetId="14" state="visible" r:id="rId16"/>
    <sheet name="GNS Bolv Gas MTM" sheetId="15" state="visible" r:id="rId17"/>
    <sheet name="SC Gas MTM" sheetId="16" state="visible" r:id="rId18"/>
    <sheet name="TBS Gas MTM" sheetId="17" state="visible" r:id="rId19"/>
    <sheet name="TBS CRD MTM" sheetId="18" state="visible" r:id="rId20"/>
    <sheet name="Master Data" sheetId="19" state="visible" r:id="rId21"/>
  </sheets>
  <externalReferences>
    <externalReference r:id="rId22"/>
    <externalReference r:id="rId23"/>
    <externalReference r:id="rId24"/>
    <externalReference r:id="rId25"/>
  </externalReferences>
  <definedNames>
    <definedName function="false" hidden="false" localSheetId="0" name="_xlnm.Print_Area" vbProcedure="false">Summary!$B$2:$R$53</definedName>
    <definedName function="false" hidden="true" localSheetId="0" name="_xlnm._FilterDatabase" vbProcedure="false">Summary!$A$1:$T$57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7</xdr:rowOff>
              </xdr:from>
              <xdr:to>
                <xdr:col>5</xdr:col>
                <xdr:colOff>40</xdr:colOff>
                <xdr:row>189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199</xdr:row>
                <xdr:rowOff>7</xdr:rowOff>
              </xdr:from>
              <xdr:to>
                <xdr:col>5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204</xdr:row>
                <xdr:rowOff>7</xdr:rowOff>
              </xdr:from>
              <xdr:to>
                <xdr:col>5</xdr:col>
                <xdr:colOff>40</xdr:colOff>
                <xdr:row>208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205</xdr:row>
                <xdr:rowOff>7</xdr:rowOff>
              </xdr:from>
              <xdr:to>
                <xdr:col>5</xdr:col>
                <xdr:colOff>40</xdr:colOff>
                <xdr:row>209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206</xdr:row>
                <xdr:rowOff>7</xdr:rowOff>
              </xdr:from>
              <xdr:to>
                <xdr:col>5</xdr:col>
                <xdr:colOff>40</xdr:colOff>
                <xdr:row>210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207</xdr:row>
                <xdr:rowOff>7</xdr:rowOff>
              </xdr:from>
              <xdr:to>
                <xdr:col>5</xdr:col>
                <xdr:colOff>40</xdr:colOff>
                <xdr:row>211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208</xdr:row>
                <xdr:rowOff>7</xdr:rowOff>
              </xdr:from>
              <xdr:to>
                <xdr:col>5</xdr:col>
                <xdr:colOff>40</xdr:colOff>
                <xdr:row>212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211</xdr:row>
                <xdr:rowOff>7</xdr:rowOff>
              </xdr:from>
              <xdr:to>
                <xdr:col>5</xdr:col>
                <xdr:colOff>40</xdr:colOff>
                <xdr:row>215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212</xdr:row>
                <xdr:rowOff>7</xdr:rowOff>
              </xdr:from>
              <xdr:to>
                <xdr:col>5</xdr:col>
                <xdr:colOff>40</xdr:colOff>
                <xdr:row>216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213</xdr:row>
                <xdr:rowOff>7</xdr:rowOff>
              </xdr:from>
              <xdr:to>
                <xdr:col>5</xdr:col>
                <xdr:colOff>40</xdr:colOff>
                <xdr:row>217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214</xdr:row>
                <xdr:rowOff>7</xdr:rowOff>
              </xdr:from>
              <xdr:to>
                <xdr:col>5</xdr:col>
                <xdr:colOff>40</xdr:colOff>
                <xdr:row>218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215</xdr:row>
                <xdr:rowOff>7</xdr:rowOff>
              </xdr:from>
              <xdr:to>
                <xdr:col>5</xdr:col>
                <xdr:colOff>40</xdr:colOff>
                <xdr:row>219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7</xdr:rowOff>
              </xdr:from>
              <xdr:to>
                <xdr:col>5</xdr:col>
                <xdr:colOff>40</xdr:colOff>
                <xdr:row>220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217</xdr:row>
                <xdr:rowOff>7</xdr:rowOff>
              </xdr:from>
              <xdr:to>
                <xdr:col>5</xdr:col>
                <xdr:colOff>40</xdr:colOff>
                <xdr:row>221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218</xdr:row>
                <xdr:rowOff>7</xdr:rowOff>
              </xdr:from>
              <xdr:to>
                <xdr:col>5</xdr:col>
                <xdr:colOff>40</xdr:colOff>
                <xdr:row>222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186</xdr:row>
                <xdr:rowOff>7</xdr:rowOff>
              </xdr:from>
              <xdr:to>
                <xdr:col>5</xdr:col>
                <xdr:colOff>40</xdr:colOff>
                <xdr:row>190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187</xdr:row>
                <xdr:rowOff>7</xdr:rowOff>
              </xdr:from>
              <xdr:to>
                <xdr:col>5</xdr:col>
                <xdr:colOff>40</xdr:colOff>
                <xdr:row>191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188</xdr:row>
                <xdr:rowOff>7</xdr:rowOff>
              </xdr:from>
              <xdr:to>
                <xdr:col>5</xdr:col>
                <xdr:colOff>40</xdr:colOff>
                <xdr:row>192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189</xdr:row>
                <xdr:rowOff>7</xdr:rowOff>
              </xdr:from>
              <xdr:to>
                <xdr:col>5</xdr:col>
                <xdr:colOff>40</xdr:colOff>
                <xdr:row>193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190</xdr:row>
                <xdr:rowOff>7</xdr:rowOff>
              </xdr:from>
              <xdr:to>
                <xdr:col>5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191</xdr:row>
                <xdr:rowOff>7</xdr:rowOff>
              </xdr:from>
              <xdr:to>
                <xdr:col>5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192</xdr:row>
                <xdr:rowOff>7</xdr:rowOff>
              </xdr:from>
              <xdr:to>
                <xdr:col>5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7</xdr:rowOff>
              </xdr:from>
              <xdr:to>
                <xdr:col>5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194</xdr:row>
                <xdr:rowOff>7</xdr:rowOff>
              </xdr:from>
              <xdr:to>
                <xdr:col>5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195</xdr:row>
                <xdr:rowOff>7</xdr:rowOff>
              </xdr:from>
              <xdr:to>
                <xdr:col>5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196</xdr:row>
                <xdr:rowOff>7</xdr:rowOff>
              </xdr:from>
              <xdr:to>
                <xdr:col>5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188</xdr:row>
                <xdr:rowOff>7</xdr:rowOff>
              </xdr:from>
              <xdr:to>
                <xdr:col>9</xdr:col>
                <xdr:colOff>34</xdr:colOff>
                <xdr:row>192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164</xdr:row>
                <xdr:rowOff>7</xdr:rowOff>
              </xdr:from>
              <xdr:to>
                <xdr:col>5</xdr:col>
                <xdr:colOff>40</xdr:colOff>
                <xdr:row>168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178</xdr:row>
                <xdr:rowOff>7</xdr:rowOff>
              </xdr:from>
              <xdr:to>
                <xdr:col>5</xdr:col>
                <xdr:colOff>40</xdr:colOff>
                <xdr:row>182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183</xdr:row>
                <xdr:rowOff>7</xdr:rowOff>
              </xdr:from>
              <xdr:to>
                <xdr:col>5</xdr:col>
                <xdr:colOff>40</xdr:colOff>
                <xdr:row>187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184</xdr:row>
                <xdr:rowOff>7</xdr:rowOff>
              </xdr:from>
              <xdr:to>
                <xdr:col>5</xdr:col>
                <xdr:colOff>40</xdr:colOff>
                <xdr:row>188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7</xdr:rowOff>
              </xdr:from>
              <xdr:to>
                <xdr:col>5</xdr:col>
                <xdr:colOff>40</xdr:colOff>
                <xdr:row>189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186</xdr:row>
                <xdr:rowOff>7</xdr:rowOff>
              </xdr:from>
              <xdr:to>
                <xdr:col>5</xdr:col>
                <xdr:colOff>40</xdr:colOff>
                <xdr:row>190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187</xdr:row>
                <xdr:rowOff>7</xdr:rowOff>
              </xdr:from>
              <xdr:to>
                <xdr:col>5</xdr:col>
                <xdr:colOff>40</xdr:colOff>
                <xdr:row>191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190</xdr:row>
                <xdr:rowOff>7</xdr:rowOff>
              </xdr:from>
              <xdr:to>
                <xdr:col>5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191</xdr:row>
                <xdr:rowOff>7</xdr:rowOff>
              </xdr:from>
              <xdr:to>
                <xdr:col>5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192</xdr:row>
                <xdr:rowOff>7</xdr:rowOff>
              </xdr:from>
              <xdr:to>
                <xdr:col>5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7</xdr:rowOff>
              </xdr:from>
              <xdr:to>
                <xdr:col>5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194</xdr:row>
                <xdr:rowOff>7</xdr:rowOff>
              </xdr:from>
              <xdr:to>
                <xdr:col>5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195</xdr:row>
                <xdr:rowOff>7</xdr:rowOff>
              </xdr:from>
              <xdr:to>
                <xdr:col>5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196</xdr:row>
                <xdr:rowOff>7</xdr:rowOff>
              </xdr:from>
              <xdr:to>
                <xdr:col>5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197</xdr:row>
                <xdr:rowOff>7</xdr:rowOff>
              </xdr:from>
              <xdr:to>
                <xdr:col>5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165</xdr:row>
                <xdr:rowOff>7</xdr:rowOff>
              </xdr:from>
              <xdr:to>
                <xdr:col>5</xdr:col>
                <xdr:colOff>40</xdr:colOff>
                <xdr:row>169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166</xdr:row>
                <xdr:rowOff>7</xdr:rowOff>
              </xdr:from>
              <xdr:to>
                <xdr:col>5</xdr:col>
                <xdr:colOff>40</xdr:colOff>
                <xdr:row>170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167</xdr:row>
                <xdr:rowOff>7</xdr:rowOff>
              </xdr:from>
              <xdr:to>
                <xdr:col>5</xdr:col>
                <xdr:colOff>40</xdr:colOff>
                <xdr:row>171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168</xdr:row>
                <xdr:rowOff>7</xdr:rowOff>
              </xdr:from>
              <xdr:to>
                <xdr:col>5</xdr:col>
                <xdr:colOff>40</xdr:colOff>
                <xdr:row>172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169</xdr:row>
                <xdr:rowOff>7</xdr:rowOff>
              </xdr:from>
              <xdr:to>
                <xdr:col>5</xdr:col>
                <xdr:colOff>40</xdr:colOff>
                <xdr:row>173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191</xdr:row>
                <xdr:rowOff>7</xdr:rowOff>
              </xdr:from>
              <xdr:to>
                <xdr:col>5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192</xdr:row>
                <xdr:rowOff>7</xdr:rowOff>
              </xdr:from>
              <xdr:to>
                <xdr:col>5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7</xdr:rowOff>
              </xdr:from>
              <xdr:to>
                <xdr:col>5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194</xdr:row>
                <xdr:rowOff>7</xdr:rowOff>
              </xdr:from>
              <xdr:to>
                <xdr:col>5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195</xdr:row>
                <xdr:rowOff>7</xdr:rowOff>
              </xdr:from>
              <xdr:to>
                <xdr:col>5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196</xdr:row>
                <xdr:rowOff>7</xdr:rowOff>
              </xdr:from>
              <xdr:to>
                <xdr:col>5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197</xdr:row>
                <xdr:rowOff>7</xdr:rowOff>
              </xdr:from>
              <xdr:to>
                <xdr:col>5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198</xdr:row>
                <xdr:rowOff>7</xdr:rowOff>
              </xdr:from>
              <xdr:to>
                <xdr:col>5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199</xdr:row>
                <xdr:rowOff>7</xdr:rowOff>
              </xdr:from>
              <xdr:to>
                <xdr:col>5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169</xdr:row>
                <xdr:rowOff>7</xdr:rowOff>
              </xdr:from>
              <xdr:to>
                <xdr:col>6</xdr:col>
                <xdr:colOff>40</xdr:colOff>
                <xdr:row>173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167</xdr:row>
                <xdr:rowOff>7</xdr:rowOff>
              </xdr:from>
              <xdr:to>
                <xdr:col>9</xdr:col>
                <xdr:colOff>34</xdr:colOff>
                <xdr:row>171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186</xdr:row>
                <xdr:rowOff>7</xdr:rowOff>
              </xdr:from>
              <xdr:to>
                <xdr:col>5</xdr:col>
                <xdr:colOff>40</xdr:colOff>
                <xdr:row>190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189</xdr:row>
                <xdr:rowOff>7</xdr:rowOff>
              </xdr:from>
              <xdr:to>
                <xdr:col>9</xdr:col>
                <xdr:colOff>34</xdr:colOff>
                <xdr:row>193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192</xdr:row>
                <xdr:rowOff>7</xdr:rowOff>
              </xdr:from>
              <xdr:to>
                <xdr:col>9</xdr:col>
                <xdr:colOff>34</xdr:colOff>
                <xdr:row>196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193</xdr:row>
                <xdr:rowOff>7</xdr:rowOff>
              </xdr:from>
              <xdr:to>
                <xdr:col>9</xdr:col>
                <xdr:colOff>34</xdr:colOff>
                <xdr:row>197</xdr:row>
                <xdr:rowOff>13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193</xdr:row>
                <xdr:rowOff>7</xdr:rowOff>
              </xdr:from>
              <xdr:to>
                <xdr:col>9</xdr:col>
                <xdr:colOff>34</xdr:colOff>
                <xdr:row>197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194</xdr:row>
                <xdr:rowOff>7</xdr:rowOff>
              </xdr:from>
              <xdr:to>
                <xdr:col>9</xdr:col>
                <xdr:colOff>34</xdr:colOff>
                <xdr:row>198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195</xdr:row>
                <xdr:rowOff>7</xdr:rowOff>
              </xdr:from>
              <xdr:to>
                <xdr:col>9</xdr:col>
                <xdr:colOff>34</xdr:colOff>
                <xdr:row>199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201</xdr:row>
                <xdr:rowOff>7</xdr:rowOff>
              </xdr:from>
              <xdr:to>
                <xdr:col>6</xdr:col>
                <xdr:colOff>40</xdr:colOff>
                <xdr:row>205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191</xdr:row>
                <xdr:rowOff>7</xdr:rowOff>
              </xdr:from>
              <xdr:to>
                <xdr:col>6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192</xdr:row>
                <xdr:rowOff>7</xdr:rowOff>
              </xdr:from>
              <xdr:to>
                <xdr:col>6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186</xdr:row>
                <xdr:rowOff>7</xdr:rowOff>
              </xdr:from>
              <xdr:to>
                <xdr:col>6</xdr:col>
                <xdr:colOff>40</xdr:colOff>
                <xdr:row>190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187</xdr:row>
                <xdr:rowOff>7</xdr:rowOff>
              </xdr:from>
              <xdr:to>
                <xdr:col>6</xdr:col>
                <xdr:colOff>40</xdr:colOff>
                <xdr:row>191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188</xdr:row>
                <xdr:rowOff>7</xdr:rowOff>
              </xdr:from>
              <xdr:to>
                <xdr:col>6</xdr:col>
                <xdr:colOff>40</xdr:colOff>
                <xdr:row>192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189</xdr:row>
                <xdr:rowOff>7</xdr:rowOff>
              </xdr:from>
              <xdr:to>
                <xdr:col>6</xdr:col>
                <xdr:colOff>40</xdr:colOff>
                <xdr:row>193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191</xdr:row>
                <xdr:rowOff>7</xdr:rowOff>
              </xdr:from>
              <xdr:to>
                <xdr:col>6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192</xdr:row>
                <xdr:rowOff>7</xdr:rowOff>
              </xdr:from>
              <xdr:to>
                <xdr:col>6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201</xdr:row>
                <xdr:rowOff>7</xdr:rowOff>
              </xdr:from>
              <xdr:to>
                <xdr:col>6</xdr:col>
                <xdr:colOff>40</xdr:colOff>
                <xdr:row>205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191</xdr:row>
                <xdr:rowOff>7</xdr:rowOff>
              </xdr:from>
              <xdr:to>
                <xdr:col>6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192</xdr:row>
                <xdr:rowOff>7</xdr:rowOff>
              </xdr:from>
              <xdr:to>
                <xdr:col>6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191</xdr:row>
                <xdr:rowOff>7</xdr:rowOff>
              </xdr:from>
              <xdr:to>
                <xdr:col>6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192</xdr:row>
                <xdr:rowOff>7</xdr:rowOff>
              </xdr:from>
              <xdr:to>
                <xdr:col>6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194</xdr:row>
                <xdr:rowOff>7</xdr:rowOff>
              </xdr:from>
              <xdr:to>
                <xdr:col>6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195</xdr:row>
                <xdr:rowOff>7</xdr:rowOff>
              </xdr:from>
              <xdr:to>
                <xdr:col>6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197</xdr:row>
                <xdr:rowOff>7</xdr:rowOff>
              </xdr:from>
              <xdr:to>
                <xdr:col>6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201</xdr:row>
                <xdr:rowOff>7</xdr:rowOff>
              </xdr:from>
              <xdr:to>
                <xdr:col>6</xdr:col>
                <xdr:colOff>40</xdr:colOff>
                <xdr:row>205</xdr:row>
                <xdr:rowOff>13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202</xdr:row>
                <xdr:rowOff>7</xdr:rowOff>
              </xdr:from>
              <xdr:to>
                <xdr:col>6</xdr:col>
                <xdr:colOff>40</xdr:colOff>
                <xdr:row>206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181</xdr:row>
                <xdr:rowOff>7</xdr:rowOff>
              </xdr:from>
              <xdr:to>
                <xdr:col>5</xdr:col>
                <xdr:colOff>30</xdr:colOff>
                <xdr:row>185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181</xdr:row>
                <xdr:rowOff>7</xdr:rowOff>
              </xdr:from>
              <xdr:to>
                <xdr:col>10</xdr:col>
                <xdr:colOff>40</xdr:colOff>
                <xdr:row>185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181</xdr:row>
                <xdr:rowOff>7</xdr:rowOff>
              </xdr:from>
              <xdr:to>
                <xdr:col>12</xdr:col>
                <xdr:colOff>40</xdr:colOff>
                <xdr:row>185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181</xdr:row>
                <xdr:rowOff>7</xdr:rowOff>
              </xdr:from>
              <xdr:to>
                <xdr:col>16</xdr:col>
                <xdr:colOff>7</xdr:colOff>
                <xdr:row>185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202</xdr:row>
                <xdr:rowOff>7</xdr:rowOff>
              </xdr:from>
              <xdr:to>
                <xdr:col>6</xdr:col>
                <xdr:colOff>40</xdr:colOff>
                <xdr:row>206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203</xdr:row>
                <xdr:rowOff>7</xdr:rowOff>
              </xdr:from>
              <xdr:to>
                <xdr:col>6</xdr:col>
                <xdr:colOff>40</xdr:colOff>
                <xdr:row>207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178</xdr:row>
                <xdr:rowOff>7</xdr:rowOff>
              </xdr:from>
              <xdr:to>
                <xdr:col>6</xdr:col>
                <xdr:colOff>40</xdr:colOff>
                <xdr:row>182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5</xdr:rowOff>
              </xdr:from>
              <xdr:to>
                <xdr:col>5</xdr:col>
                <xdr:colOff>40</xdr:colOff>
                <xdr:row>197</xdr:row>
                <xdr:rowOff>11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8</xdr:rowOff>
              </xdr:from>
              <xdr:to>
                <xdr:col>5</xdr:col>
                <xdr:colOff>40</xdr:colOff>
                <xdr:row>181</xdr:row>
                <xdr:rowOff>13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178</xdr:row>
                <xdr:rowOff>8</xdr:rowOff>
              </xdr:from>
              <xdr:to>
                <xdr:col>5</xdr:col>
                <xdr:colOff>40</xdr:colOff>
                <xdr:row>182</xdr:row>
                <xdr:rowOff>14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179</xdr:row>
                <xdr:rowOff>9</xdr:rowOff>
              </xdr:from>
              <xdr:to>
                <xdr:col>5</xdr:col>
                <xdr:colOff>40</xdr:colOff>
                <xdr:row>183</xdr:row>
                <xdr:rowOff>15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180</xdr:row>
                <xdr:rowOff>10</xdr:rowOff>
              </xdr:from>
              <xdr:to>
                <xdr:col>5</xdr:col>
                <xdr:colOff>40</xdr:colOff>
                <xdr:row>184</xdr:row>
                <xdr:rowOff>16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181</xdr:row>
                <xdr:rowOff>11</xdr:rowOff>
              </xdr:from>
              <xdr:to>
                <xdr:col>5</xdr:col>
                <xdr:colOff>40</xdr:colOff>
                <xdr:row>185</xdr:row>
                <xdr:rowOff>17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182</xdr:row>
                <xdr:rowOff>12</xdr:rowOff>
              </xdr:from>
              <xdr:to>
                <xdr:col>5</xdr:col>
                <xdr:colOff>40</xdr:colOff>
                <xdr:row>187</xdr:row>
                <xdr:rowOff>1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183</xdr:row>
                <xdr:rowOff>13</xdr:rowOff>
              </xdr:from>
              <xdr:to>
                <xdr:col>5</xdr:col>
                <xdr:colOff>40</xdr:colOff>
                <xdr:row>188</xdr:row>
                <xdr:rowOff>2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184</xdr:row>
                <xdr:rowOff>14</xdr:rowOff>
              </xdr:from>
              <xdr:to>
                <xdr:col>5</xdr:col>
                <xdr:colOff>40</xdr:colOff>
                <xdr:row>189</xdr:row>
                <xdr:rowOff>3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15</xdr:rowOff>
              </xdr:from>
              <xdr:to>
                <xdr:col>5</xdr:col>
                <xdr:colOff>40</xdr:colOff>
                <xdr:row>190</xdr:row>
                <xdr:rowOff>4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186</xdr:row>
                <xdr:rowOff>16</xdr:rowOff>
              </xdr:from>
              <xdr:to>
                <xdr:col>5</xdr:col>
                <xdr:colOff>40</xdr:colOff>
                <xdr:row>191</xdr:row>
                <xdr:rowOff>5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188</xdr:row>
                <xdr:rowOff>0</xdr:rowOff>
              </xdr:from>
              <xdr:to>
                <xdr:col>5</xdr:col>
                <xdr:colOff>40</xdr:colOff>
                <xdr:row>192</xdr:row>
                <xdr:rowOff>6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189</xdr:row>
                <xdr:rowOff>1</xdr:rowOff>
              </xdr:from>
              <xdr:to>
                <xdr:col>5</xdr:col>
                <xdr:colOff>40</xdr:colOff>
                <xdr:row>193</xdr:row>
                <xdr:rowOff>7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190</xdr:row>
                <xdr:rowOff>2</xdr:rowOff>
              </xdr:from>
              <xdr:to>
                <xdr:col>5</xdr:col>
                <xdr:colOff>40</xdr:colOff>
                <xdr:row>194</xdr:row>
                <xdr:rowOff>8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191</xdr:row>
                <xdr:rowOff>3</xdr:rowOff>
              </xdr:from>
              <xdr:to>
                <xdr:col>5</xdr:col>
                <xdr:colOff>40</xdr:colOff>
                <xdr:row>195</xdr:row>
                <xdr:rowOff>9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192</xdr:row>
                <xdr:rowOff>4</xdr:rowOff>
              </xdr:from>
              <xdr:to>
                <xdr:col>5</xdr:col>
                <xdr:colOff>40</xdr:colOff>
                <xdr:row>196</xdr:row>
                <xdr:rowOff>10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5</xdr:rowOff>
              </xdr:from>
              <xdr:to>
                <xdr:col>5</xdr:col>
                <xdr:colOff>40</xdr:colOff>
                <xdr:row>197</xdr:row>
                <xdr:rowOff>11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194</xdr:row>
                <xdr:rowOff>6</xdr:rowOff>
              </xdr:from>
              <xdr:to>
                <xdr:col>5</xdr:col>
                <xdr:colOff>40</xdr:colOff>
                <xdr:row>198</xdr:row>
                <xdr:rowOff>12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195</xdr:row>
                <xdr:rowOff>7</xdr:rowOff>
              </xdr:from>
              <xdr:to>
                <xdr:col>5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196</xdr:row>
                <xdr:rowOff>8</xdr:rowOff>
              </xdr:from>
              <xdr:to>
                <xdr:col>5</xdr:col>
                <xdr:colOff>40</xdr:colOff>
                <xdr:row>200</xdr:row>
                <xdr:rowOff>14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197</xdr:row>
                <xdr:rowOff>9</xdr:rowOff>
              </xdr:from>
              <xdr:to>
                <xdr:col>5</xdr:col>
                <xdr:colOff>40</xdr:colOff>
                <xdr:row>201</xdr:row>
                <xdr:rowOff>15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198</xdr:row>
                <xdr:rowOff>10</xdr:rowOff>
              </xdr:from>
              <xdr:to>
                <xdr:col>5</xdr:col>
                <xdr:colOff>40</xdr:colOff>
                <xdr:row>202</xdr:row>
                <xdr:rowOff>16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199</xdr:row>
                <xdr:rowOff>11</xdr:rowOff>
              </xdr:from>
              <xdr:to>
                <xdr:col>5</xdr:col>
                <xdr:colOff>40</xdr:colOff>
                <xdr:row>203</xdr:row>
                <xdr:rowOff>17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200</xdr:row>
                <xdr:rowOff>12</xdr:rowOff>
              </xdr:from>
              <xdr:to>
                <xdr:col>5</xdr:col>
                <xdr:colOff>40</xdr:colOff>
                <xdr:row>205</xdr:row>
                <xdr:rowOff>1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201</xdr:row>
                <xdr:rowOff>13</xdr:rowOff>
              </xdr:from>
              <xdr:to>
                <xdr:col>5</xdr:col>
                <xdr:colOff>40</xdr:colOff>
                <xdr:row>206</xdr:row>
                <xdr:rowOff>2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202</xdr:row>
                <xdr:rowOff>14</xdr:rowOff>
              </xdr:from>
              <xdr:to>
                <xdr:col>5</xdr:col>
                <xdr:colOff>40</xdr:colOff>
                <xdr:row>207</xdr:row>
                <xdr:rowOff>3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203</xdr:row>
                <xdr:rowOff>15</xdr:rowOff>
              </xdr:from>
              <xdr:to>
                <xdr:col>5</xdr:col>
                <xdr:colOff>40</xdr:colOff>
                <xdr:row>208</xdr:row>
                <xdr:rowOff>4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204</xdr:row>
                <xdr:rowOff>16</xdr:rowOff>
              </xdr:from>
              <xdr:to>
                <xdr:col>5</xdr:col>
                <xdr:colOff>40</xdr:colOff>
                <xdr:row>209</xdr:row>
                <xdr:rowOff>5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206</xdr:row>
                <xdr:rowOff>0</xdr:rowOff>
              </xdr:from>
              <xdr:to>
                <xdr:col>5</xdr:col>
                <xdr:colOff>40</xdr:colOff>
                <xdr:row>210</xdr:row>
                <xdr:rowOff>6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207</xdr:row>
                <xdr:rowOff>1</xdr:rowOff>
              </xdr:from>
              <xdr:to>
                <xdr:col>5</xdr:col>
                <xdr:colOff>40</xdr:colOff>
                <xdr:row>211</xdr:row>
                <xdr:rowOff>7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208</xdr:row>
                <xdr:rowOff>2</xdr:rowOff>
              </xdr:from>
              <xdr:to>
                <xdr:col>5</xdr:col>
                <xdr:colOff>40</xdr:colOff>
                <xdr:row>212</xdr:row>
                <xdr:rowOff>8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209</xdr:row>
                <xdr:rowOff>3</xdr:rowOff>
              </xdr:from>
              <xdr:to>
                <xdr:col>5</xdr:col>
                <xdr:colOff>40</xdr:colOff>
                <xdr:row>213</xdr:row>
                <xdr:rowOff>9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210</xdr:row>
                <xdr:rowOff>4</xdr:rowOff>
              </xdr:from>
              <xdr:to>
                <xdr:col>5</xdr:col>
                <xdr:colOff>40</xdr:colOff>
                <xdr:row>214</xdr:row>
                <xdr:rowOff>10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211</xdr:row>
                <xdr:rowOff>4</xdr:rowOff>
              </xdr:from>
              <xdr:to>
                <xdr:col>5</xdr:col>
                <xdr:colOff>40</xdr:colOff>
                <xdr:row>215</xdr:row>
                <xdr:rowOff>10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212</xdr:row>
                <xdr:rowOff>4</xdr:rowOff>
              </xdr:from>
              <xdr:to>
                <xdr:col>5</xdr:col>
                <xdr:colOff>40</xdr:colOff>
                <xdr:row>216</xdr:row>
                <xdr:rowOff>10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213</xdr:row>
                <xdr:rowOff>4</xdr:rowOff>
              </xdr:from>
              <xdr:to>
                <xdr:col>5</xdr:col>
                <xdr:colOff>40</xdr:colOff>
                <xdr:row>217</xdr:row>
                <xdr:rowOff>10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214</xdr:row>
                <xdr:rowOff>4</xdr:rowOff>
              </xdr:from>
              <xdr:to>
                <xdr:col>5</xdr:col>
                <xdr:colOff>40</xdr:colOff>
                <xdr:row>218</xdr:row>
                <xdr:rowOff>10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215</xdr:row>
                <xdr:rowOff>4</xdr:rowOff>
              </xdr:from>
              <xdr:to>
                <xdr:col>5</xdr:col>
                <xdr:colOff>40</xdr:colOff>
                <xdr:row>219</xdr:row>
                <xdr:rowOff>10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4</xdr:rowOff>
              </xdr:from>
              <xdr:to>
                <xdr:col>5</xdr:col>
                <xdr:colOff>40</xdr:colOff>
                <xdr:row>220</xdr:row>
                <xdr:rowOff>10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217</xdr:row>
                <xdr:rowOff>4</xdr:rowOff>
              </xdr:from>
              <xdr:to>
                <xdr:col>5</xdr:col>
                <xdr:colOff>40</xdr:colOff>
                <xdr:row>221</xdr:row>
                <xdr:rowOff>10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218</xdr:row>
                <xdr:rowOff>4</xdr:rowOff>
              </xdr:from>
              <xdr:to>
                <xdr:col>5</xdr:col>
                <xdr:colOff>40</xdr:colOff>
                <xdr:row>222</xdr:row>
                <xdr:rowOff>10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219</xdr:row>
                <xdr:rowOff>4</xdr:rowOff>
              </xdr:from>
              <xdr:to>
                <xdr:col>5</xdr:col>
                <xdr:colOff>40</xdr:colOff>
                <xdr:row>223</xdr:row>
                <xdr:rowOff>10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220</xdr:row>
                <xdr:rowOff>4</xdr:rowOff>
              </xdr:from>
              <xdr:to>
                <xdr:col>5</xdr:col>
                <xdr:colOff>40</xdr:colOff>
                <xdr:row>224</xdr:row>
                <xdr:rowOff>10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221</xdr:row>
                <xdr:rowOff>4</xdr:rowOff>
              </xdr:from>
              <xdr:to>
                <xdr:col>5</xdr:col>
                <xdr:colOff>40</xdr:colOff>
                <xdr:row>225</xdr:row>
                <xdr:rowOff>10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222</xdr:row>
                <xdr:rowOff>4</xdr:rowOff>
              </xdr:from>
              <xdr:to>
                <xdr:col>5</xdr:col>
                <xdr:colOff>40</xdr:colOff>
                <xdr:row>226</xdr:row>
                <xdr:rowOff>10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223</xdr:row>
                <xdr:rowOff>4</xdr:rowOff>
              </xdr:from>
              <xdr:to>
                <xdr:col>5</xdr:col>
                <xdr:colOff>40</xdr:colOff>
                <xdr:row>227</xdr:row>
                <xdr:rowOff>10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224</xdr:row>
                <xdr:rowOff>4</xdr:rowOff>
              </xdr:from>
              <xdr:to>
                <xdr:col>5</xdr:col>
                <xdr:colOff>40</xdr:colOff>
                <xdr:row>228</xdr:row>
                <xdr:rowOff>10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225</xdr:row>
                <xdr:rowOff>4</xdr:rowOff>
              </xdr:from>
              <xdr:to>
                <xdr:col>5</xdr:col>
                <xdr:colOff>40</xdr:colOff>
                <xdr:row>229</xdr:row>
                <xdr:rowOff>10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226</xdr:row>
                <xdr:rowOff>4</xdr:rowOff>
              </xdr:from>
              <xdr:to>
                <xdr:col>5</xdr:col>
                <xdr:colOff>40</xdr:colOff>
                <xdr:row>230</xdr:row>
                <xdr:rowOff>10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227</xdr:row>
                <xdr:rowOff>4</xdr:rowOff>
              </xdr:from>
              <xdr:to>
                <xdr:col>5</xdr:col>
                <xdr:colOff>40</xdr:colOff>
                <xdr:row>231</xdr:row>
                <xdr:rowOff>10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228</xdr:row>
                <xdr:rowOff>4</xdr:rowOff>
              </xdr:from>
              <xdr:to>
                <xdr:col>5</xdr:col>
                <xdr:colOff>40</xdr:colOff>
                <xdr:row>232</xdr:row>
                <xdr:rowOff>10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229</xdr:row>
                <xdr:rowOff>4</xdr:rowOff>
              </xdr:from>
              <xdr:to>
                <xdr:col>5</xdr:col>
                <xdr:colOff>40</xdr:colOff>
                <xdr:row>233</xdr:row>
                <xdr:rowOff>10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230</xdr:row>
                <xdr:rowOff>4</xdr:rowOff>
              </xdr:from>
              <xdr:to>
                <xdr:col>5</xdr:col>
                <xdr:colOff>40</xdr:colOff>
                <xdr:row>234</xdr:row>
                <xdr:rowOff>10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231</xdr:row>
                <xdr:rowOff>4</xdr:rowOff>
              </xdr:from>
              <xdr:to>
                <xdr:col>5</xdr:col>
                <xdr:colOff>40</xdr:colOff>
                <xdr:row>235</xdr:row>
                <xdr:rowOff>10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232</xdr:row>
                <xdr:rowOff>4</xdr:rowOff>
              </xdr:from>
              <xdr:to>
                <xdr:col>5</xdr:col>
                <xdr:colOff>40</xdr:colOff>
                <xdr:row>236</xdr:row>
                <xdr:rowOff>10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233</xdr:row>
                <xdr:rowOff>4</xdr:rowOff>
              </xdr:from>
              <xdr:to>
                <xdr:col>5</xdr:col>
                <xdr:colOff>40</xdr:colOff>
                <xdr:row>237</xdr:row>
                <xdr:rowOff>10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234</xdr:row>
                <xdr:rowOff>4</xdr:rowOff>
              </xdr:from>
              <xdr:to>
                <xdr:col>5</xdr:col>
                <xdr:colOff>40</xdr:colOff>
                <xdr:row>238</xdr:row>
                <xdr:rowOff>10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235</xdr:row>
                <xdr:rowOff>4</xdr:rowOff>
              </xdr:from>
              <xdr:to>
                <xdr:col>5</xdr:col>
                <xdr:colOff>40</xdr:colOff>
                <xdr:row>239</xdr:row>
                <xdr:rowOff>10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236</xdr:row>
                <xdr:rowOff>4</xdr:rowOff>
              </xdr:from>
              <xdr:to>
                <xdr:col>5</xdr:col>
                <xdr:colOff>40</xdr:colOff>
                <xdr:row>240</xdr:row>
                <xdr:rowOff>10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237</xdr:row>
                <xdr:rowOff>4</xdr:rowOff>
              </xdr:from>
              <xdr:to>
                <xdr:col>5</xdr:col>
                <xdr:colOff>40</xdr:colOff>
                <xdr:row>241</xdr:row>
                <xdr:rowOff>10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238</xdr:row>
                <xdr:rowOff>4</xdr:rowOff>
              </xdr:from>
              <xdr:to>
                <xdr:col>5</xdr:col>
                <xdr:colOff>40</xdr:colOff>
                <xdr:row>242</xdr:row>
                <xdr:rowOff>10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239</xdr:row>
                <xdr:rowOff>4</xdr:rowOff>
              </xdr:from>
              <xdr:to>
                <xdr:col>5</xdr:col>
                <xdr:colOff>40</xdr:colOff>
                <xdr:row>243</xdr:row>
                <xdr:rowOff>10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240</xdr:row>
                <xdr:rowOff>4</xdr:rowOff>
              </xdr:from>
              <xdr:to>
                <xdr:col>5</xdr:col>
                <xdr:colOff>40</xdr:colOff>
                <xdr:row>244</xdr:row>
                <xdr:rowOff>10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241</xdr:row>
                <xdr:rowOff>4</xdr:rowOff>
              </xdr:from>
              <xdr:to>
                <xdr:col>5</xdr:col>
                <xdr:colOff>40</xdr:colOff>
                <xdr:row>245</xdr:row>
                <xdr:rowOff>10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242</xdr:row>
                <xdr:rowOff>4</xdr:rowOff>
              </xdr:from>
              <xdr:to>
                <xdr:col>5</xdr:col>
                <xdr:colOff>40</xdr:colOff>
                <xdr:row>246</xdr:row>
                <xdr:rowOff>10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243</xdr:row>
                <xdr:rowOff>4</xdr:rowOff>
              </xdr:from>
              <xdr:to>
                <xdr:col>5</xdr:col>
                <xdr:colOff>40</xdr:colOff>
                <xdr:row>247</xdr:row>
                <xdr:rowOff>10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244</xdr:row>
                <xdr:rowOff>4</xdr:rowOff>
              </xdr:from>
              <xdr:to>
                <xdr:col>5</xdr:col>
                <xdr:colOff>40</xdr:colOff>
                <xdr:row>248</xdr:row>
                <xdr:rowOff>10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245</xdr:row>
                <xdr:rowOff>4</xdr:rowOff>
              </xdr:from>
              <xdr:to>
                <xdr:col>5</xdr:col>
                <xdr:colOff>40</xdr:colOff>
                <xdr:row>249</xdr:row>
                <xdr:rowOff>10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246</xdr:row>
                <xdr:rowOff>4</xdr:rowOff>
              </xdr:from>
              <xdr:to>
                <xdr:col>5</xdr:col>
                <xdr:colOff>40</xdr:colOff>
                <xdr:row>250</xdr:row>
                <xdr:rowOff>10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4</xdr:rowOff>
              </xdr:from>
              <xdr:to>
                <xdr:col>5</xdr:col>
                <xdr:colOff>40</xdr:colOff>
                <xdr:row>251</xdr:row>
                <xdr:rowOff>10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248</xdr:row>
                <xdr:rowOff>4</xdr:rowOff>
              </xdr:from>
              <xdr:to>
                <xdr:col>5</xdr:col>
                <xdr:colOff>40</xdr:colOff>
                <xdr:row>252</xdr:row>
                <xdr:rowOff>10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249</xdr:row>
                <xdr:rowOff>4</xdr:rowOff>
              </xdr:from>
              <xdr:to>
                <xdr:col>5</xdr:col>
                <xdr:colOff>40</xdr:colOff>
                <xdr:row>253</xdr:row>
                <xdr:rowOff>10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250</xdr:row>
                <xdr:rowOff>4</xdr:rowOff>
              </xdr:from>
              <xdr:to>
                <xdr:col>5</xdr:col>
                <xdr:colOff>40</xdr:colOff>
                <xdr:row>254</xdr:row>
                <xdr:rowOff>10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251</xdr:row>
                <xdr:rowOff>4</xdr:rowOff>
              </xdr:from>
              <xdr:to>
                <xdr:col>5</xdr:col>
                <xdr:colOff>40</xdr:colOff>
                <xdr:row>255</xdr:row>
                <xdr:rowOff>10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252</xdr:row>
                <xdr:rowOff>4</xdr:rowOff>
              </xdr:from>
              <xdr:to>
                <xdr:col>5</xdr:col>
                <xdr:colOff>40</xdr:colOff>
                <xdr:row>256</xdr:row>
                <xdr:rowOff>10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253</xdr:row>
                <xdr:rowOff>4</xdr:rowOff>
              </xdr:from>
              <xdr:to>
                <xdr:col>5</xdr:col>
                <xdr:colOff>40</xdr:colOff>
                <xdr:row>257</xdr:row>
                <xdr:rowOff>10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254</xdr:row>
                <xdr:rowOff>4</xdr:rowOff>
              </xdr:from>
              <xdr:to>
                <xdr:col>5</xdr:col>
                <xdr:colOff>40</xdr:colOff>
                <xdr:row>258</xdr:row>
                <xdr:rowOff>10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255</xdr:row>
                <xdr:rowOff>4</xdr:rowOff>
              </xdr:from>
              <xdr:to>
                <xdr:col>5</xdr:col>
                <xdr:colOff>40</xdr:colOff>
                <xdr:row>259</xdr:row>
                <xdr:rowOff>10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256</xdr:row>
                <xdr:rowOff>4</xdr:rowOff>
              </xdr:from>
              <xdr:to>
                <xdr:col>5</xdr:col>
                <xdr:colOff>40</xdr:colOff>
                <xdr:row>260</xdr:row>
                <xdr:rowOff>10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257</xdr:row>
                <xdr:rowOff>4</xdr:rowOff>
              </xdr:from>
              <xdr:to>
                <xdr:col>5</xdr:col>
                <xdr:colOff>40</xdr:colOff>
                <xdr:row>261</xdr:row>
                <xdr:rowOff>10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258</xdr:row>
                <xdr:rowOff>4</xdr:rowOff>
              </xdr:from>
              <xdr:to>
                <xdr:col>5</xdr:col>
                <xdr:colOff>40</xdr:colOff>
                <xdr:row>262</xdr:row>
                <xdr:rowOff>10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259</xdr:row>
                <xdr:rowOff>4</xdr:rowOff>
              </xdr:from>
              <xdr:to>
                <xdr:col>5</xdr:col>
                <xdr:colOff>40</xdr:colOff>
                <xdr:row>263</xdr:row>
                <xdr:rowOff>10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260</xdr:row>
                <xdr:rowOff>4</xdr:rowOff>
              </xdr:from>
              <xdr:to>
                <xdr:col>5</xdr:col>
                <xdr:colOff>40</xdr:colOff>
                <xdr:row>264</xdr:row>
                <xdr:rowOff>10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261</xdr:row>
                <xdr:rowOff>4</xdr:rowOff>
              </xdr:from>
              <xdr:to>
                <xdr:col>5</xdr:col>
                <xdr:colOff>40</xdr:colOff>
                <xdr:row>265</xdr:row>
                <xdr:rowOff>10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262</xdr:row>
                <xdr:rowOff>4</xdr:rowOff>
              </xdr:from>
              <xdr:to>
                <xdr:col>5</xdr:col>
                <xdr:colOff>40</xdr:colOff>
                <xdr:row>266</xdr:row>
                <xdr:rowOff>10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263</xdr:row>
                <xdr:rowOff>4</xdr:rowOff>
              </xdr:from>
              <xdr:to>
                <xdr:col>5</xdr:col>
                <xdr:colOff>40</xdr:colOff>
                <xdr:row>267</xdr:row>
                <xdr:rowOff>10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264</xdr:row>
                <xdr:rowOff>4</xdr:rowOff>
              </xdr:from>
              <xdr:to>
                <xdr:col>5</xdr:col>
                <xdr:colOff>40</xdr:colOff>
                <xdr:row>268</xdr:row>
                <xdr:rowOff>10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265</xdr:row>
                <xdr:rowOff>4</xdr:rowOff>
              </xdr:from>
              <xdr:to>
                <xdr:col>5</xdr:col>
                <xdr:colOff>40</xdr:colOff>
                <xdr:row>269</xdr:row>
                <xdr:rowOff>10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266</xdr:row>
                <xdr:rowOff>4</xdr:rowOff>
              </xdr:from>
              <xdr:to>
                <xdr:col>5</xdr:col>
                <xdr:colOff>40</xdr:colOff>
                <xdr:row>270</xdr:row>
                <xdr:rowOff>10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267</xdr:row>
                <xdr:rowOff>4</xdr:rowOff>
              </xdr:from>
              <xdr:to>
                <xdr:col>5</xdr:col>
                <xdr:colOff>40</xdr:colOff>
                <xdr:row>271</xdr:row>
                <xdr:rowOff>10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268</xdr:row>
                <xdr:rowOff>4</xdr:rowOff>
              </xdr:from>
              <xdr:to>
                <xdr:col>5</xdr:col>
                <xdr:colOff>40</xdr:colOff>
                <xdr:row>272</xdr:row>
                <xdr:rowOff>10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269</xdr:row>
                <xdr:rowOff>4</xdr:rowOff>
              </xdr:from>
              <xdr:to>
                <xdr:col>5</xdr:col>
                <xdr:colOff>40</xdr:colOff>
                <xdr:row>273</xdr:row>
                <xdr:rowOff>10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270</xdr:row>
                <xdr:rowOff>4</xdr:rowOff>
              </xdr:from>
              <xdr:to>
                <xdr:col>5</xdr:col>
                <xdr:colOff>40</xdr:colOff>
                <xdr:row>274</xdr:row>
                <xdr:rowOff>10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4</xdr:rowOff>
              </xdr:from>
              <xdr:to>
                <xdr:col>5</xdr:col>
                <xdr:colOff>40</xdr:colOff>
                <xdr:row>275</xdr:row>
                <xdr:rowOff>10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272</xdr:row>
                <xdr:rowOff>4</xdr:rowOff>
              </xdr:from>
              <xdr:to>
                <xdr:col>5</xdr:col>
                <xdr:colOff>40</xdr:colOff>
                <xdr:row>276</xdr:row>
                <xdr:rowOff>10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273</xdr:row>
                <xdr:rowOff>4</xdr:rowOff>
              </xdr:from>
              <xdr:to>
                <xdr:col>5</xdr:col>
                <xdr:colOff>40</xdr:colOff>
                <xdr:row>277</xdr:row>
                <xdr:rowOff>10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274</xdr:row>
                <xdr:rowOff>4</xdr:rowOff>
              </xdr:from>
              <xdr:to>
                <xdr:col>5</xdr:col>
                <xdr:colOff>40</xdr:colOff>
                <xdr:row>278</xdr:row>
                <xdr:rowOff>10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4</xdr:rowOff>
              </xdr:from>
              <xdr:to>
                <xdr:col>5</xdr:col>
                <xdr:colOff>40</xdr:colOff>
                <xdr:row>279</xdr:row>
                <xdr:rowOff>10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4</xdr:rowOff>
              </xdr:from>
              <xdr:to>
                <xdr:col>5</xdr:col>
                <xdr:colOff>40</xdr:colOff>
                <xdr:row>280</xdr:row>
                <xdr:rowOff>10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4</xdr:rowOff>
              </xdr:from>
              <xdr:to>
                <xdr:col>5</xdr:col>
                <xdr:colOff>40</xdr:colOff>
                <xdr:row>281</xdr:row>
                <xdr:rowOff>10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278</xdr:row>
                <xdr:rowOff>4</xdr:rowOff>
              </xdr:from>
              <xdr:to>
                <xdr:col>5</xdr:col>
                <xdr:colOff>40</xdr:colOff>
                <xdr:row>282</xdr:row>
                <xdr:rowOff>10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279</xdr:row>
                <xdr:rowOff>4</xdr:rowOff>
              </xdr:from>
              <xdr:to>
                <xdr:col>5</xdr:col>
                <xdr:colOff>40</xdr:colOff>
                <xdr:row>283</xdr:row>
                <xdr:rowOff>10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280</xdr:row>
                <xdr:rowOff>4</xdr:rowOff>
              </xdr:from>
              <xdr:to>
                <xdr:col>5</xdr:col>
                <xdr:colOff>40</xdr:colOff>
                <xdr:row>284</xdr:row>
                <xdr:rowOff>10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281</xdr:row>
                <xdr:rowOff>4</xdr:rowOff>
              </xdr:from>
              <xdr:to>
                <xdr:col>5</xdr:col>
                <xdr:colOff>40</xdr:colOff>
                <xdr:row>285</xdr:row>
                <xdr:rowOff>10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282</xdr:row>
                <xdr:rowOff>4</xdr:rowOff>
              </xdr:from>
              <xdr:to>
                <xdr:col>5</xdr:col>
                <xdr:colOff>40</xdr:colOff>
                <xdr:row>286</xdr:row>
                <xdr:rowOff>10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283</xdr:row>
                <xdr:rowOff>4</xdr:rowOff>
              </xdr:from>
              <xdr:to>
                <xdr:col>5</xdr:col>
                <xdr:colOff>40</xdr:colOff>
                <xdr:row>287</xdr:row>
                <xdr:rowOff>10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284</xdr:row>
                <xdr:rowOff>4</xdr:rowOff>
              </xdr:from>
              <xdr:to>
                <xdr:col>5</xdr:col>
                <xdr:colOff>40</xdr:colOff>
                <xdr:row>288</xdr:row>
                <xdr:rowOff>10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285</xdr:row>
                <xdr:rowOff>4</xdr:rowOff>
              </xdr:from>
              <xdr:to>
                <xdr:col>5</xdr:col>
                <xdr:colOff>40</xdr:colOff>
                <xdr:row>289</xdr:row>
                <xdr:rowOff>10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286</xdr:row>
                <xdr:rowOff>4</xdr:rowOff>
              </xdr:from>
              <xdr:to>
                <xdr:col>5</xdr:col>
                <xdr:colOff>40</xdr:colOff>
                <xdr:row>290</xdr:row>
                <xdr:rowOff>10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287</xdr:row>
                <xdr:rowOff>4</xdr:rowOff>
              </xdr:from>
              <xdr:to>
                <xdr:col>5</xdr:col>
                <xdr:colOff>40</xdr:colOff>
                <xdr:row>291</xdr:row>
                <xdr:rowOff>10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288</xdr:row>
                <xdr:rowOff>4</xdr:rowOff>
              </xdr:from>
              <xdr:to>
                <xdr:col>5</xdr:col>
                <xdr:colOff>40</xdr:colOff>
                <xdr:row>292</xdr:row>
                <xdr:rowOff>10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289</xdr:row>
                <xdr:rowOff>4</xdr:rowOff>
              </xdr:from>
              <xdr:to>
                <xdr:col>5</xdr:col>
                <xdr:colOff>40</xdr:colOff>
                <xdr:row>293</xdr:row>
                <xdr:rowOff>10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290</xdr:row>
                <xdr:rowOff>4</xdr:rowOff>
              </xdr:from>
              <xdr:to>
                <xdr:col>5</xdr:col>
                <xdr:colOff>40</xdr:colOff>
                <xdr:row>294</xdr:row>
                <xdr:rowOff>10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291</xdr:row>
                <xdr:rowOff>4</xdr:rowOff>
              </xdr:from>
              <xdr:to>
                <xdr:col>5</xdr:col>
                <xdr:colOff>40</xdr:colOff>
                <xdr:row>295</xdr:row>
                <xdr:rowOff>10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292</xdr:row>
                <xdr:rowOff>4</xdr:rowOff>
              </xdr:from>
              <xdr:to>
                <xdr:col>5</xdr:col>
                <xdr:colOff>40</xdr:colOff>
                <xdr:row>296</xdr:row>
                <xdr:rowOff>10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4</xdr:rowOff>
              </xdr:from>
              <xdr:to>
                <xdr:col>5</xdr:col>
                <xdr:colOff>40</xdr:colOff>
                <xdr:row>297</xdr:row>
                <xdr:rowOff>10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4</xdr:rowOff>
              </xdr:from>
              <xdr:to>
                <xdr:col>5</xdr:col>
                <xdr:colOff>40</xdr:colOff>
                <xdr:row>298</xdr:row>
                <xdr:rowOff>10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4</xdr:rowOff>
              </xdr:from>
              <xdr:to>
                <xdr:col>5</xdr:col>
                <xdr:colOff>40</xdr:colOff>
                <xdr:row>299</xdr:row>
                <xdr:rowOff>10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4</xdr:rowOff>
              </xdr:from>
              <xdr:to>
                <xdr:col>5</xdr:col>
                <xdr:colOff>40</xdr:colOff>
                <xdr:row>300</xdr:row>
                <xdr:rowOff>10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4</xdr:rowOff>
              </xdr:from>
              <xdr:to>
                <xdr:col>5</xdr:col>
                <xdr:colOff>40</xdr:colOff>
                <xdr:row>302</xdr:row>
                <xdr:rowOff>10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4</xdr:rowOff>
              </xdr:from>
              <xdr:to>
                <xdr:col>5</xdr:col>
                <xdr:colOff>40</xdr:colOff>
                <xdr:row>303</xdr:row>
                <xdr:rowOff>10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4</xdr:rowOff>
              </xdr:from>
              <xdr:to>
                <xdr:col>5</xdr:col>
                <xdr:colOff>40</xdr:colOff>
                <xdr:row>304</xdr:row>
                <xdr:rowOff>10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4</xdr:rowOff>
              </xdr:from>
              <xdr:to>
                <xdr:col>5</xdr:col>
                <xdr:colOff>40</xdr:colOff>
                <xdr:row>305</xdr:row>
                <xdr:rowOff>10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4</xdr:rowOff>
              </xdr:from>
              <xdr:to>
                <xdr:col>5</xdr:col>
                <xdr:colOff>40</xdr:colOff>
                <xdr:row>306</xdr:row>
                <xdr:rowOff>10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4</xdr:rowOff>
              </xdr:from>
              <xdr:to>
                <xdr:col>5</xdr:col>
                <xdr:colOff>40</xdr:colOff>
                <xdr:row>307</xdr:row>
                <xdr:rowOff>10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4</xdr:rowOff>
              </xdr:from>
              <xdr:to>
                <xdr:col>5</xdr:col>
                <xdr:colOff>40</xdr:colOff>
                <xdr:row>308</xdr:row>
                <xdr:rowOff>10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4</xdr:rowOff>
              </xdr:from>
              <xdr:to>
                <xdr:col>5</xdr:col>
                <xdr:colOff>40</xdr:colOff>
                <xdr:row>309</xdr:row>
                <xdr:rowOff>10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4</xdr:rowOff>
              </xdr:from>
              <xdr:to>
                <xdr:col>5</xdr:col>
                <xdr:colOff>40</xdr:colOff>
                <xdr:row>310</xdr:row>
                <xdr:rowOff>10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4</xdr:rowOff>
              </xdr:from>
              <xdr:to>
                <xdr:col>5</xdr:col>
                <xdr:colOff>40</xdr:colOff>
                <xdr:row>311</xdr:row>
                <xdr:rowOff>10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4</xdr:rowOff>
              </xdr:from>
              <xdr:to>
                <xdr:col>5</xdr:col>
                <xdr:colOff>40</xdr:colOff>
                <xdr:row>312</xdr:row>
                <xdr:rowOff>10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4</xdr:rowOff>
              </xdr:from>
              <xdr:to>
                <xdr:col>5</xdr:col>
                <xdr:colOff>40</xdr:colOff>
                <xdr:row>313</xdr:row>
                <xdr:rowOff>10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4</xdr:rowOff>
              </xdr:from>
              <xdr:to>
                <xdr:col>5</xdr:col>
                <xdr:colOff>40</xdr:colOff>
                <xdr:row>314</xdr:row>
                <xdr:rowOff>10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4</xdr:rowOff>
              </xdr:from>
              <xdr:to>
                <xdr:col>5</xdr:col>
                <xdr:colOff>40</xdr:colOff>
                <xdr:row>315</xdr:row>
                <xdr:rowOff>10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4</xdr:rowOff>
              </xdr:from>
              <xdr:to>
                <xdr:col>5</xdr:col>
                <xdr:colOff>40</xdr:colOff>
                <xdr:row>316</xdr:row>
                <xdr:rowOff>10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4</xdr:rowOff>
              </xdr:from>
              <xdr:to>
                <xdr:col>5</xdr:col>
                <xdr:colOff>40</xdr:colOff>
                <xdr:row>317</xdr:row>
                <xdr:rowOff>10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4</xdr:rowOff>
              </xdr:from>
              <xdr:to>
                <xdr:col>5</xdr:col>
                <xdr:colOff>40</xdr:colOff>
                <xdr:row>318</xdr:row>
                <xdr:rowOff>10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4</xdr:rowOff>
              </xdr:from>
              <xdr:to>
                <xdr:col>5</xdr:col>
                <xdr:colOff>40</xdr:colOff>
                <xdr:row>320</xdr:row>
                <xdr:rowOff>10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4</xdr:rowOff>
              </xdr:from>
              <xdr:to>
                <xdr:col>5</xdr:col>
                <xdr:colOff>40</xdr:colOff>
                <xdr:row>321</xdr:row>
                <xdr:rowOff>10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4</xdr:rowOff>
              </xdr:from>
              <xdr:to>
                <xdr:col>5</xdr:col>
                <xdr:colOff>40</xdr:colOff>
                <xdr:row>322</xdr:row>
                <xdr:rowOff>10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4</xdr:rowOff>
              </xdr:from>
              <xdr:to>
                <xdr:col>5</xdr:col>
                <xdr:colOff>40</xdr:colOff>
                <xdr:row>323</xdr:row>
                <xdr:rowOff>10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4</xdr:rowOff>
              </xdr:from>
              <xdr:to>
                <xdr:col>5</xdr:col>
                <xdr:colOff>40</xdr:colOff>
                <xdr:row>324</xdr:row>
                <xdr:rowOff>10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4</xdr:rowOff>
              </xdr:from>
              <xdr:to>
                <xdr:col>5</xdr:col>
                <xdr:colOff>40</xdr:colOff>
                <xdr:row>325</xdr:row>
                <xdr:rowOff>10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4</xdr:rowOff>
              </xdr:from>
              <xdr:to>
                <xdr:col>5</xdr:col>
                <xdr:colOff>40</xdr:colOff>
                <xdr:row>326</xdr:row>
                <xdr:rowOff>10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4</xdr:rowOff>
              </xdr:from>
              <xdr:to>
                <xdr:col>5</xdr:col>
                <xdr:colOff>40</xdr:colOff>
                <xdr:row>327</xdr:row>
                <xdr:rowOff>10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124</xdr:row>
                <xdr:rowOff>13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155</xdr:row>
                <xdr:rowOff>12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178</xdr:row>
                <xdr:rowOff>11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190</xdr:row>
                <xdr:rowOff>7</xdr:rowOff>
              </xdr:from>
              <xdr:to>
                <xdr:col>5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198</xdr:row>
                <xdr:rowOff>7</xdr:rowOff>
              </xdr:from>
              <xdr:to>
                <xdr:col>5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199</xdr:row>
                <xdr:rowOff>7</xdr:rowOff>
              </xdr:from>
              <xdr:to>
                <xdr:col>5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200</xdr:row>
                <xdr:rowOff>7</xdr:rowOff>
              </xdr:from>
              <xdr:to>
                <xdr:col>5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201</xdr:row>
                <xdr:rowOff>7</xdr:rowOff>
              </xdr:from>
              <xdr:to>
                <xdr:col>5</xdr:col>
                <xdr:colOff>40</xdr:colOff>
                <xdr:row>205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202</xdr:row>
                <xdr:rowOff>7</xdr:rowOff>
              </xdr:from>
              <xdr:to>
                <xdr:col>5</xdr:col>
                <xdr:colOff>40</xdr:colOff>
                <xdr:row>206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203</xdr:row>
                <xdr:rowOff>7</xdr:rowOff>
              </xdr:from>
              <xdr:to>
                <xdr:col>5</xdr:col>
                <xdr:colOff>40</xdr:colOff>
                <xdr:row>207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204</xdr:row>
                <xdr:rowOff>7</xdr:rowOff>
              </xdr:from>
              <xdr:to>
                <xdr:col>5</xdr:col>
                <xdr:colOff>40</xdr:colOff>
                <xdr:row>208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205</xdr:row>
                <xdr:rowOff>7</xdr:rowOff>
              </xdr:from>
              <xdr:to>
                <xdr:col>5</xdr:col>
                <xdr:colOff>40</xdr:colOff>
                <xdr:row>209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206</xdr:row>
                <xdr:rowOff>7</xdr:rowOff>
              </xdr:from>
              <xdr:to>
                <xdr:col>5</xdr:col>
                <xdr:colOff>40</xdr:colOff>
                <xdr:row>210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207</xdr:row>
                <xdr:rowOff>7</xdr:rowOff>
              </xdr:from>
              <xdr:to>
                <xdr:col>5</xdr:col>
                <xdr:colOff>40</xdr:colOff>
                <xdr:row>211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208</xdr:row>
                <xdr:rowOff>7</xdr:rowOff>
              </xdr:from>
              <xdr:to>
                <xdr:col>5</xdr:col>
                <xdr:colOff>40</xdr:colOff>
                <xdr:row>212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209</xdr:row>
                <xdr:rowOff>7</xdr:rowOff>
              </xdr:from>
              <xdr:to>
                <xdr:col>5</xdr:col>
                <xdr:colOff>40</xdr:colOff>
                <xdr:row>213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210</xdr:row>
                <xdr:rowOff>7</xdr:rowOff>
              </xdr:from>
              <xdr:to>
                <xdr:col>5</xdr:col>
                <xdr:colOff>40</xdr:colOff>
                <xdr:row>214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211</xdr:row>
                <xdr:rowOff>7</xdr:rowOff>
              </xdr:from>
              <xdr:to>
                <xdr:col>5</xdr:col>
                <xdr:colOff>40</xdr:colOff>
                <xdr:row>215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212</xdr:row>
                <xdr:rowOff>7</xdr:rowOff>
              </xdr:from>
              <xdr:to>
                <xdr:col>5</xdr:col>
                <xdr:colOff>40</xdr:colOff>
                <xdr:row>216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213</xdr:row>
                <xdr:rowOff>7</xdr:rowOff>
              </xdr:from>
              <xdr:to>
                <xdr:col>5</xdr:col>
                <xdr:colOff>40</xdr:colOff>
                <xdr:row>217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214</xdr:row>
                <xdr:rowOff>7</xdr:rowOff>
              </xdr:from>
              <xdr:to>
                <xdr:col>5</xdr:col>
                <xdr:colOff>40</xdr:colOff>
                <xdr:row>218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212</xdr:row>
                <xdr:rowOff>7</xdr:rowOff>
              </xdr:from>
              <xdr:to>
                <xdr:col>5</xdr:col>
                <xdr:colOff>40</xdr:colOff>
                <xdr:row>216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213</xdr:row>
                <xdr:rowOff>7</xdr:rowOff>
              </xdr:from>
              <xdr:to>
                <xdr:col>5</xdr:col>
                <xdr:colOff>40</xdr:colOff>
                <xdr:row>217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214</xdr:row>
                <xdr:rowOff>7</xdr:rowOff>
              </xdr:from>
              <xdr:to>
                <xdr:col>5</xdr:col>
                <xdr:colOff>40</xdr:colOff>
                <xdr:row>218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189</xdr:row>
                <xdr:rowOff>7</xdr:rowOff>
              </xdr:from>
              <xdr:to>
                <xdr:col>5</xdr:col>
                <xdr:colOff>40</xdr:colOff>
                <xdr:row>193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190</xdr:row>
                <xdr:rowOff>7</xdr:rowOff>
              </xdr:from>
              <xdr:to>
                <xdr:col>5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191</xdr:row>
                <xdr:rowOff>7</xdr:rowOff>
              </xdr:from>
              <xdr:to>
                <xdr:col>5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192</xdr:row>
                <xdr:rowOff>7</xdr:rowOff>
              </xdr:from>
              <xdr:to>
                <xdr:col>5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193</xdr:row>
                <xdr:rowOff>7</xdr:rowOff>
              </xdr:from>
              <xdr:to>
                <xdr:col>5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194</xdr:row>
                <xdr:rowOff>7</xdr:rowOff>
              </xdr:from>
              <xdr:to>
                <xdr:col>5</xdr:col>
                <xdr:colOff>40</xdr:colOff>
                <xdr:row>198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195</xdr:row>
                <xdr:rowOff>7</xdr:rowOff>
              </xdr:from>
              <xdr:to>
                <xdr:col>5</xdr:col>
                <xdr:colOff>40</xdr:colOff>
                <xdr:row>199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196</xdr:row>
                <xdr:rowOff>7</xdr:rowOff>
              </xdr:from>
              <xdr:to>
                <xdr:col>5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197</xdr:row>
                <xdr:rowOff>7</xdr:rowOff>
              </xdr:from>
              <xdr:to>
                <xdr:col>5</xdr:col>
                <xdr:colOff>40</xdr:colOff>
                <xdr:row>201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198</xdr:row>
                <xdr:rowOff>7</xdr:rowOff>
              </xdr:from>
              <xdr:to>
                <xdr:col>5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199</xdr:row>
                <xdr:rowOff>7</xdr:rowOff>
              </xdr:from>
              <xdr:to>
                <xdr:col>5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200</xdr:row>
                <xdr:rowOff>7</xdr:rowOff>
              </xdr:from>
              <xdr:to>
                <xdr:col>5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196</xdr:row>
                <xdr:rowOff>7</xdr:rowOff>
              </xdr:from>
              <xdr:to>
                <xdr:col>6</xdr:col>
                <xdr:colOff>40</xdr:colOff>
                <xdr:row>200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202</xdr:row>
                <xdr:rowOff>7</xdr:rowOff>
              </xdr:from>
              <xdr:to>
                <xdr:col>6</xdr:col>
                <xdr:colOff>40</xdr:colOff>
                <xdr:row>206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198</xdr:row>
                <xdr:rowOff>7</xdr:rowOff>
              </xdr:from>
              <xdr:to>
                <xdr:col>6</xdr:col>
                <xdr:colOff>40</xdr:colOff>
                <xdr:row>202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199</xdr:row>
                <xdr:rowOff>7</xdr:rowOff>
              </xdr:from>
              <xdr:to>
                <xdr:col>6</xdr:col>
                <xdr:colOff>40</xdr:colOff>
                <xdr:row>203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200</xdr:row>
                <xdr:rowOff>7</xdr:rowOff>
              </xdr:from>
              <xdr:to>
                <xdr:col>6</xdr:col>
                <xdr:colOff>40</xdr:colOff>
                <xdr:row>204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201</xdr:row>
                <xdr:rowOff>7</xdr:rowOff>
              </xdr:from>
              <xdr:to>
                <xdr:col>6</xdr:col>
                <xdr:colOff>40</xdr:colOff>
                <xdr:row>205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202</xdr:row>
                <xdr:rowOff>7</xdr:rowOff>
              </xdr:from>
              <xdr:to>
                <xdr:col>6</xdr:col>
                <xdr:colOff>40</xdr:colOff>
                <xdr:row>206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203</xdr:row>
                <xdr:rowOff>7</xdr:rowOff>
              </xdr:from>
              <xdr:to>
                <xdr:col>6</xdr:col>
                <xdr:colOff>40</xdr:colOff>
                <xdr:row>207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204</xdr:row>
                <xdr:rowOff>7</xdr:rowOff>
              </xdr:from>
              <xdr:to>
                <xdr:col>6</xdr:col>
                <xdr:colOff>40</xdr:colOff>
                <xdr:row>208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205</xdr:row>
                <xdr:rowOff>7</xdr:rowOff>
              </xdr:from>
              <xdr:to>
                <xdr:col>6</xdr:col>
                <xdr:colOff>40</xdr:colOff>
                <xdr:row>209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206</xdr:row>
                <xdr:rowOff>7</xdr:rowOff>
              </xdr:from>
              <xdr:to>
                <xdr:col>6</xdr:col>
                <xdr:colOff>40</xdr:colOff>
                <xdr:row>210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207</xdr:row>
                <xdr:rowOff>7</xdr:rowOff>
              </xdr:from>
              <xdr:to>
                <xdr:col>6</xdr:col>
                <xdr:colOff>40</xdr:colOff>
                <xdr:row>211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208</xdr:row>
                <xdr:rowOff>7</xdr:rowOff>
              </xdr:from>
              <xdr:to>
                <xdr:col>6</xdr:col>
                <xdr:colOff>40</xdr:colOff>
                <xdr:row>212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209</xdr:row>
                <xdr:rowOff>7</xdr:rowOff>
              </xdr:from>
              <xdr:to>
                <xdr:col>6</xdr:col>
                <xdr:colOff>40</xdr:colOff>
                <xdr:row>213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210</xdr:row>
                <xdr:rowOff>7</xdr:rowOff>
              </xdr:from>
              <xdr:to>
                <xdr:col>6</xdr:col>
                <xdr:colOff>40</xdr:colOff>
                <xdr:row>214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211</xdr:row>
                <xdr:rowOff>7</xdr:rowOff>
              </xdr:from>
              <xdr:to>
                <xdr:col>6</xdr:col>
                <xdr:colOff>40</xdr:colOff>
                <xdr:row>215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212</xdr:row>
                <xdr:rowOff>7</xdr:rowOff>
              </xdr:from>
              <xdr:to>
                <xdr:col>6</xdr:col>
                <xdr:colOff>40</xdr:colOff>
                <xdr:row>216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213</xdr:row>
                <xdr:rowOff>7</xdr:rowOff>
              </xdr:from>
              <xdr:to>
                <xdr:col>6</xdr:col>
                <xdr:colOff>40</xdr:colOff>
                <xdr:row>217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214</xdr:row>
                <xdr:rowOff>7</xdr:rowOff>
              </xdr:from>
              <xdr:to>
                <xdr:col>6</xdr:col>
                <xdr:colOff>40</xdr:colOff>
                <xdr:row>218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212</xdr:row>
                <xdr:rowOff>7</xdr:rowOff>
              </xdr:from>
              <xdr:to>
                <xdr:col>6</xdr:col>
                <xdr:colOff>40</xdr:colOff>
                <xdr:row>216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213</xdr:row>
                <xdr:rowOff>7</xdr:rowOff>
              </xdr:from>
              <xdr:to>
                <xdr:col>6</xdr:col>
                <xdr:colOff>40</xdr:colOff>
                <xdr:row>217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214</xdr:row>
                <xdr:rowOff>7</xdr:rowOff>
              </xdr:from>
              <xdr:to>
                <xdr:col>6</xdr:col>
                <xdr:colOff>40</xdr:colOff>
                <xdr:row>218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215</xdr:row>
                <xdr:rowOff>7</xdr:rowOff>
              </xdr:from>
              <xdr:to>
                <xdr:col>6</xdr:col>
                <xdr:colOff>40</xdr:colOff>
                <xdr:row>219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190</xdr:row>
                <xdr:rowOff>7</xdr:rowOff>
              </xdr:from>
              <xdr:to>
                <xdr:col>6</xdr:col>
                <xdr:colOff>40</xdr:colOff>
                <xdr:row>194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191</xdr:row>
                <xdr:rowOff>7</xdr:rowOff>
              </xdr:from>
              <xdr:to>
                <xdr:col>6</xdr:col>
                <xdr:colOff>40</xdr:colOff>
                <xdr:row>195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192</xdr:row>
                <xdr:rowOff>7</xdr:rowOff>
              </xdr:from>
              <xdr:to>
                <xdr:col>6</xdr:col>
                <xdr:colOff>40</xdr:colOff>
                <xdr:row>196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193</xdr:row>
                <xdr:rowOff>7</xdr:rowOff>
              </xdr:from>
              <xdr:to>
                <xdr:col>6</xdr:col>
                <xdr:colOff>40</xdr:colOff>
                <xdr:row>197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188</xdr:row>
                <xdr:rowOff>7</xdr:rowOff>
              </xdr:from>
              <xdr:to>
                <xdr:col>9</xdr:col>
                <xdr:colOff>34</xdr:colOff>
                <xdr:row>192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<sst xmlns="http://schemas.openxmlformats.org/spreadsheetml/2006/main" count="583" uniqueCount="92">
  <si>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</si>
  <si>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</si>
  <si>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</si>
  <si>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</si>
  <si>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</si>
  <si>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</si>
  <si>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</si>
  <si>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</si>
  <si>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</si>
  <si>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</si>
  <si>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</si>
  <si>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</si>
  <si>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</si>
  <si>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</si>
  <si>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</si>
  <si>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</si>
  <si>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</si>
  <si>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</si>
  <si>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</si>
  <si>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</si>
  <si>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</si>
  <si>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</si>
  <si>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</si>
  <si>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</si>
  <si>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</si>
  <si>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</si>
  <si>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</si>
  <si>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</si>
  <si>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</si>
  <si>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</si>
  <si>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</si>
  <si>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</si>
  <si>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</si>
  <si>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</si>
  <si>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</si>
  <si>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</si>
  <si>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</si>
  <si>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</si>
  <si>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</si>
  <si>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</si>
  <si>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</si>
  <si>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</si>
  <si>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</si>
  <si>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</si>
  <si>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</si>
  <si>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BRAZIL/BOLIVIA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</si>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</sst>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37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[$-409]m/d/yyyy"/>
    <numFmt numFmtId="185" formatCode="_(* #,##0_);_(* \(#,##0\);_(* \-??_);_(@_)"/>
    <numFmt numFmtId="186" formatCode="[$-409]d\-mmm"/>
    <numFmt numFmtId="187" formatCode="&quot;As of &quot;mmmm\ dd&quot;, &quot;yyyy"/>
    <numFmt numFmtId="188" formatCode="[$-409]#,##0_);\(#,##0\)"/>
    <numFmt numFmtId="189" formatCode="#,##0.0_);\(#,##0.0\)"/>
    <numFmt numFmtId="190" formatCode="_(\$* #,##0.00_);_(\$* \(#,##0.00\);_(\$* \-??_);_(@_)"/>
    <numFmt numFmtId="191" formatCode="\$#,##0_);[RED]&quot;($&quot;#,##0\)"/>
    <numFmt numFmtId="192" formatCode="\$#,##0_);&quot;($&quot;#,##0\)"/>
    <numFmt numFmtId="193" formatCode="\$#,##0.0_);[RED]&quot;($&quot;#,##0.0\)"/>
    <numFmt numFmtId="194" formatCode="_(* #,##0.00_);_(* \(#,##0.00\);_(* \-??_);_(@_)"/>
    <numFmt numFmtId="195" formatCode="[$-409]#,##0.00_);\(#,##0.00\)"/>
    <numFmt numFmtId="196" formatCode="\$#,##0.000_);&quot;($&quot;#,##0.000\)"/>
    <numFmt numFmtId="197" formatCode="mm/dd/yy"/>
    <numFmt numFmtId="198" formatCode="_(* #,##0.000_);_(* \(#,##0.000\);_(* \-??_);_(@_)"/>
    <numFmt numFmtId="199" formatCode="[$-409]d\-mmm\-yy"/>
    <numFmt numFmtId="200" formatCode="_(* #,##0.0000_);_(* \(#,##0.0000\);_(* \-??_);_(@_)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2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externalLink" Target="externalLinks/externalLink1.xml"/><Relationship Id="rId23" Type="http://schemas.openxmlformats.org/officeDocument/2006/relationships/externalLink" Target="externalLinks/externalLink2.xml"/><Relationship Id="rId24" Type="http://schemas.openxmlformats.org/officeDocument/2006/relationships/externalLink" Target="externalLinks/externalLink3.xml"/><Relationship Id="rId25" Type="http://schemas.openxmlformats.org/officeDocument/2006/relationships/externalLink" Target="externalLinks/externalLink4.xml"/><Relationship Id="rId2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true"/>
  </sheetPr>
  <dimension ref="A1:IW5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20.13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0.13"/>
    <col collapsed="false" customWidth="false" hidden="false" outlineLevel="0" max="19" min="19" style="2" width="9.14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7"/>
      <c r="J4" s="8" t="s">
        <v>2</v>
      </c>
      <c r="M4" s="9"/>
      <c r="N4" s="1" t="s">
        <v>3</v>
      </c>
      <c r="O4" s="1" t="s">
        <v>4</v>
      </c>
      <c r="R4" s="10" t="s">
        <v>5</v>
      </c>
      <c r="T4" s="11"/>
    </row>
    <row r="5" customFormat="false" ht="21" hidden="false" customHeight="true" outlineLevel="0" collapsed="false">
      <c r="A5" s="4" t="s">
        <v>1</v>
      </c>
      <c r="R5" s="10"/>
      <c r="T5" s="11"/>
    </row>
    <row r="6" customFormat="false" ht="39.75" hidden="false" customHeight="true" outlineLevel="0" collapsed="false">
      <c r="A6" s="4" t="s">
        <v>1</v>
      </c>
      <c r="B6" s="0"/>
      <c r="N6" s="12"/>
      <c r="O6" s="13"/>
    </row>
    <row r="7" customFormat="false" ht="17.25" hidden="false" customHeight="true" outlineLevel="0" collapsed="false">
      <c r="A7" s="4" t="s">
        <v>1</v>
      </c>
      <c r="B7" s="14"/>
      <c r="N7" s="15"/>
      <c r="O7" s="13"/>
      <c r="T7" s="16"/>
    </row>
    <row r="8" customFormat="false" ht="23.25" hidden="false" customHeight="true" outlineLevel="0" collapsed="false">
      <c r="A8" s="4" t="s">
        <v>1</v>
      </c>
      <c r="B8" s="17" t="n">
        <v>37081</v>
      </c>
      <c r="N8" s="18"/>
      <c r="O8" s="13"/>
      <c r="P8" s="13"/>
      <c r="Q8" s="13"/>
      <c r="R8" s="13"/>
    </row>
    <row r="9" customFormat="false" ht="17.25" hidden="false" customHeight="true" outlineLevel="0" collapsed="false">
      <c r="A9" s="4" t="s">
        <v>1</v>
      </c>
      <c r="B9" s="19"/>
      <c r="D9" s="20" t="s">
        <v>6</v>
      </c>
      <c r="E9" s="20"/>
      <c r="F9" s="21"/>
      <c r="G9" s="20" t="s">
        <v>7</v>
      </c>
      <c r="H9" s="20"/>
      <c r="I9" s="22"/>
      <c r="J9" s="23" t="s">
        <v>8</v>
      </c>
      <c r="K9" s="23"/>
      <c r="L9" s="23"/>
      <c r="N9" s="20" t="s">
        <v>9</v>
      </c>
      <c r="O9" s="20"/>
      <c r="P9" s="20"/>
      <c r="Q9" s="20"/>
      <c r="R9" s="20"/>
      <c r="T9" s="24"/>
      <c r="U9" s="24"/>
      <c r="V9" s="24"/>
      <c r="W9" s="24"/>
      <c r="X9" s="24"/>
      <c r="Y9" s="25"/>
    </row>
    <row r="10" customFormat="false" ht="26.25" hidden="false" customHeight="false" outlineLevel="0" collapsed="false">
      <c r="A10" s="4" t="s">
        <v>1</v>
      </c>
      <c r="B10" s="20" t="s">
        <v>10</v>
      </c>
      <c r="C10" s="21"/>
      <c r="D10" s="26" t="s">
        <v>11</v>
      </c>
      <c r="E10" s="27" t="s">
        <v>12</v>
      </c>
      <c r="F10" s="21"/>
      <c r="G10" s="26" t="s">
        <v>13</v>
      </c>
      <c r="H10" s="27" t="s">
        <v>12</v>
      </c>
      <c r="I10" s="28"/>
      <c r="J10" s="29" t="s">
        <v>14</v>
      </c>
      <c r="K10" s="30"/>
      <c r="L10" s="31" t="s">
        <v>12</v>
      </c>
      <c r="M10" s="21"/>
      <c r="N10" s="27" t="s">
        <v>15</v>
      </c>
      <c r="O10" s="27" t="s">
        <v>16</v>
      </c>
      <c r="P10" s="32" t="s">
        <v>17</v>
      </c>
      <c r="Q10" s="32" t="s">
        <v>18</v>
      </c>
      <c r="R10" s="32" t="s">
        <v>19</v>
      </c>
      <c r="S10" s="33"/>
      <c r="T10" s="34"/>
      <c r="U10" s="35"/>
      <c r="V10" s="35"/>
      <c r="W10" s="35"/>
      <c r="X10" s="35"/>
      <c r="Y10" s="36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</row>
    <row r="11" customFormat="false" ht="12.75" hidden="false" customHeight="true" outlineLevel="0" collapsed="false">
      <c r="A11" s="4" t="s">
        <v>1</v>
      </c>
      <c r="B11" s="37"/>
      <c r="D11" s="38"/>
      <c r="E11" s="38"/>
      <c r="L11" s="37"/>
      <c r="N11" s="37"/>
      <c r="O11" s="37"/>
      <c r="P11" s="37"/>
      <c r="Q11" s="37"/>
      <c r="R11" s="37"/>
      <c r="T11" s="38"/>
      <c r="U11" s="38"/>
      <c r="V11" s="38"/>
      <c r="W11" s="38"/>
      <c r="X11" s="38"/>
      <c r="Y11" s="25"/>
    </row>
    <row r="12" customFormat="false" ht="29.25" hidden="false" customHeight="true" outlineLevel="0" collapsed="false">
      <c r="A12" s="4" t="s">
        <v>1</v>
      </c>
      <c r="B12" s="39" t="s">
        <v>20</v>
      </c>
      <c r="C12" s="40"/>
      <c r="D12" s="41"/>
      <c r="E12" s="42"/>
      <c r="F12" s="43"/>
      <c r="G12" s="41"/>
      <c r="H12" s="42"/>
      <c r="I12" s="42"/>
      <c r="J12" s="44"/>
      <c r="K12" s="42"/>
      <c r="L12" s="45"/>
      <c r="M12" s="43"/>
      <c r="N12" s="46" t="n">
        <f aca="false">SUM(N14+N20)</f>
        <v>8.507</v>
      </c>
      <c r="O12" s="46" t="n">
        <f aca="false">SUM(O14+O22+O23+O24)</f>
        <v>-960.446483870968</v>
      </c>
      <c r="P12" s="46" t="n">
        <f aca="false">SUM(P14+P22+P23+P24)</f>
        <v>-1041.993</v>
      </c>
      <c r="Q12" s="46" t="n">
        <f aca="false">SUM(Q14+Q22+Q23+Q24)</f>
        <v>-1041.993</v>
      </c>
      <c r="R12" s="46" t="n">
        <f aca="false">SUM(R14+R22+R23+R24)</f>
        <v>23558.2466654178</v>
      </c>
      <c r="S12" s="25"/>
      <c r="T12" s="47"/>
      <c r="U12" s="47"/>
      <c r="V12" s="47"/>
      <c r="W12" s="47"/>
      <c r="X12" s="47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customFormat="false" ht="9.75" hidden="false" customHeight="true" outlineLevel="0" collapsed="false">
      <c r="A13" s="4" t="s">
        <v>1</v>
      </c>
      <c r="B13" s="48"/>
      <c r="C13" s="49"/>
      <c r="D13" s="50"/>
      <c r="E13" s="51"/>
      <c r="F13" s="52"/>
      <c r="G13" s="50"/>
      <c r="H13" s="51"/>
      <c r="I13" s="53"/>
      <c r="J13" s="54"/>
      <c r="K13" s="53"/>
      <c r="L13" s="51"/>
      <c r="M13" s="55"/>
      <c r="N13" s="56"/>
      <c r="O13" s="56"/>
      <c r="P13" s="56"/>
      <c r="Q13" s="56"/>
      <c r="R13" s="56"/>
      <c r="S13" s="53"/>
      <c r="T13" s="45"/>
      <c r="U13" s="45"/>
      <c r="V13" s="45"/>
      <c r="W13" s="45"/>
      <c r="X13" s="45"/>
      <c r="Y13" s="57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</row>
    <row r="14" customFormat="false" ht="24.75" hidden="false" customHeight="true" outlineLevel="0" collapsed="false">
      <c r="A14" s="4" t="s">
        <v>1</v>
      </c>
      <c r="B14" s="58" t="s">
        <v>21</v>
      </c>
      <c r="C14" s="49"/>
      <c r="D14" s="50" t="s">
        <v>22</v>
      </c>
      <c r="E14" s="51" t="s">
        <v>22</v>
      </c>
      <c r="F14" s="59" t="s">
        <v>22</v>
      </c>
      <c r="G14" s="50" t="s">
        <v>22</v>
      </c>
      <c r="H14" s="51" t="s">
        <v>22</v>
      </c>
      <c r="I14" s="60" t="s">
        <v>22</v>
      </c>
      <c r="J14" s="54" t="s">
        <v>22</v>
      </c>
      <c r="K14" s="60" t="s">
        <v>22</v>
      </c>
      <c r="L14" s="51" t="s">
        <v>22</v>
      </c>
      <c r="M14" s="55"/>
      <c r="N14" s="61" t="n">
        <f aca="false">INDEX('MM PLANT'!$A$6:$W$500,MATCH(Summary!$B$8,'MM PLANT'!$A$6:$A$500,0),19)</f>
        <v>21.129</v>
      </c>
      <c r="O14" s="61" t="n">
        <f aca="false">'MM PLANT'!T$3</f>
        <v>49.2995161290323</v>
      </c>
      <c r="P14" s="61" t="n">
        <f aca="false">INDEX('MM PLANT'!$A$6:$W$500,MATCH(Summary!$B$8,'ARG Gas IM'!$A$6:$A$500,0),21)</f>
        <v>63.385</v>
      </c>
      <c r="Q14" s="61" t="n">
        <f aca="false">INDEX('MM PLANT'!$A$6:$W$500,MATCH(Summary!$B$8,'MM PLANT'!$A$6:$A$500,0),22)</f>
        <v>63.385</v>
      </c>
      <c r="R14" s="61" t="n">
        <f aca="false">INDEX('MM PLANT'!$A$6:$W$500,MATCH(Summary!$B$8,'MM PLANT'!$A$6:$A$500,0),23)</f>
        <v>148.193</v>
      </c>
      <c r="S14" s="53"/>
      <c r="T14" s="56"/>
      <c r="U14" s="56"/>
      <c r="V14" s="56"/>
      <c r="W14" s="56"/>
      <c r="X14" s="56"/>
      <c r="Y14" s="57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</row>
    <row r="15" customFormat="false" ht="24.75" hidden="false" customHeight="true" outlineLevel="0" collapsed="false">
      <c r="A15" s="4" t="s">
        <v>1</v>
      </c>
      <c r="B15" s="62"/>
      <c r="C15" s="49"/>
      <c r="D15" s="50"/>
      <c r="E15" s="51"/>
      <c r="F15" s="52"/>
      <c r="G15" s="50"/>
      <c r="H15" s="51"/>
      <c r="I15" s="53"/>
      <c r="J15" s="54"/>
      <c r="K15" s="53"/>
      <c r="L15" s="51"/>
      <c r="M15" s="55"/>
      <c r="N15" s="56"/>
      <c r="O15" s="56"/>
      <c r="P15" s="56"/>
      <c r="Q15" s="56"/>
      <c r="R15" s="56"/>
      <c r="S15" s="53"/>
      <c r="T15" s="56"/>
      <c r="U15" s="56"/>
      <c r="V15" s="56"/>
      <c r="W15" s="56"/>
      <c r="X15" s="56"/>
      <c r="Y15" s="57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</row>
    <row r="16" customFormat="false" ht="24.75" hidden="false" customHeight="true" outlineLevel="0" collapsed="false">
      <c r="A16" s="4" t="s">
        <v>1</v>
      </c>
      <c r="B16" s="62"/>
      <c r="C16" s="49"/>
      <c r="D16" s="50"/>
      <c r="E16" s="51"/>
      <c r="F16" s="52"/>
      <c r="G16" s="50"/>
      <c r="H16" s="51"/>
      <c r="I16" s="53"/>
      <c r="J16" s="54"/>
      <c r="K16" s="53"/>
      <c r="L16" s="51"/>
      <c r="M16" s="55"/>
      <c r="N16" s="56"/>
      <c r="O16" s="56"/>
      <c r="P16" s="56"/>
      <c r="Q16" s="56"/>
      <c r="R16" s="56"/>
      <c r="S16" s="53"/>
      <c r="T16" s="56"/>
      <c r="U16" s="56"/>
      <c r="V16" s="56"/>
      <c r="W16" s="56"/>
      <c r="X16" s="56"/>
      <c r="Y16" s="57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</row>
    <row r="17" customFormat="false" ht="24.75" hidden="false" customHeight="true" outlineLevel="0" collapsed="false">
      <c r="A17" s="4" t="s">
        <v>1</v>
      </c>
      <c r="B17" s="62"/>
      <c r="C17" s="49"/>
      <c r="D17" s="50"/>
      <c r="E17" s="51"/>
      <c r="F17" s="52"/>
      <c r="G17" s="50"/>
      <c r="H17" s="51"/>
      <c r="I17" s="53"/>
      <c r="J17" s="54"/>
      <c r="K17" s="53"/>
      <c r="L17" s="51"/>
      <c r="M17" s="55"/>
      <c r="N17" s="56"/>
      <c r="O17" s="56"/>
      <c r="P17" s="56"/>
      <c r="Q17" s="56"/>
      <c r="R17" s="56"/>
      <c r="S17" s="53"/>
      <c r="T17" s="56"/>
      <c r="U17" s="56"/>
      <c r="V17" s="56"/>
      <c r="W17" s="56"/>
      <c r="X17" s="56"/>
      <c r="Y17" s="57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</row>
    <row r="18" customFormat="false" ht="24.75" hidden="false" customHeight="true" outlineLevel="0" collapsed="false">
      <c r="A18" s="4" t="s">
        <v>1</v>
      </c>
      <c r="B18" s="62"/>
      <c r="C18" s="49"/>
      <c r="D18" s="50"/>
      <c r="E18" s="51"/>
      <c r="F18" s="52"/>
      <c r="G18" s="50"/>
      <c r="H18" s="51"/>
      <c r="I18" s="53"/>
      <c r="J18" s="54"/>
      <c r="K18" s="53"/>
      <c r="L18" s="51"/>
      <c r="M18" s="55"/>
      <c r="N18" s="56"/>
      <c r="O18" s="56"/>
      <c r="P18" s="56"/>
      <c r="Q18" s="56"/>
      <c r="R18" s="56"/>
      <c r="S18" s="53"/>
      <c r="T18" s="56"/>
      <c r="U18" s="56"/>
      <c r="V18" s="56"/>
      <c r="W18" s="56"/>
      <c r="X18" s="56"/>
      <c r="Y18" s="57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</row>
    <row r="19" customFormat="false" ht="24.75" hidden="false" customHeight="true" outlineLevel="0" collapsed="false">
      <c r="A19" s="4" t="s">
        <v>1</v>
      </c>
      <c r="B19" s="62"/>
      <c r="C19" s="49"/>
      <c r="D19" s="50"/>
      <c r="E19" s="51"/>
      <c r="F19" s="52"/>
      <c r="G19" s="50"/>
      <c r="H19" s="51"/>
      <c r="I19" s="53"/>
      <c r="J19" s="54"/>
      <c r="K19" s="53"/>
      <c r="L19" s="51"/>
      <c r="M19" s="55"/>
      <c r="N19" s="56"/>
      <c r="O19" s="56"/>
      <c r="P19" s="56"/>
      <c r="Q19" s="56"/>
      <c r="R19" s="56"/>
      <c r="S19" s="53"/>
      <c r="T19" s="56"/>
      <c r="U19" s="56"/>
      <c r="V19" s="56"/>
      <c r="W19" s="56"/>
      <c r="X19" s="56"/>
      <c r="Y19" s="57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</row>
    <row r="20" customFormat="false" ht="24.75" hidden="false" customHeight="true" outlineLevel="0" collapsed="false">
      <c r="A20" s="4" t="s">
        <v>1</v>
      </c>
      <c r="B20" s="39" t="s">
        <v>23</v>
      </c>
      <c r="C20" s="49"/>
      <c r="D20" s="50"/>
      <c r="E20" s="51"/>
      <c r="F20" s="52"/>
      <c r="G20" s="50"/>
      <c r="H20" s="51"/>
      <c r="I20" s="53"/>
      <c r="J20" s="63" t="n">
        <f aca="false">INDEX('RAC V@r Total'!$A$6:$Z$500,MATCH(Summary!$B$8,'RAC V@r Total'!$A$6:$A$500,0),26)</f>
        <v>1015.696</v>
      </c>
      <c r="K20" s="53"/>
      <c r="L20" s="51"/>
      <c r="M20" s="55"/>
      <c r="N20" s="46" t="n">
        <f aca="false">SUBTOTAL(9,N22:N24)</f>
        <v>-12.622</v>
      </c>
      <c r="O20" s="46" t="n">
        <f aca="false">SUBTOTAL(9,O22:O24)</f>
        <v>-1009.746</v>
      </c>
      <c r="P20" s="46" t="n">
        <f aca="false">SUBTOTAL(9,P22:P24)</f>
        <v>-1105.378</v>
      </c>
      <c r="Q20" s="46" t="n">
        <f aca="false">SUBTOTAL(9,Q22:Q24)</f>
        <v>-1105.378</v>
      </c>
      <c r="R20" s="46" t="n">
        <f aca="false">SUBTOTAL(9,R22:R24)</f>
        <v>23410.0536654178</v>
      </c>
      <c r="S20" s="64" t="n">
        <f aca="false">R20-R26-R39-R51</f>
        <v>0</v>
      </c>
      <c r="T20" s="53"/>
      <c r="U20" s="56"/>
      <c r="V20" s="56"/>
      <c r="W20" s="56"/>
      <c r="X20" s="56"/>
      <c r="Y20" s="57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</row>
    <row r="21" customFormat="false" ht="8.25" hidden="false" customHeight="true" outlineLevel="0" collapsed="false">
      <c r="A21" s="4" t="s">
        <v>1</v>
      </c>
      <c r="B21" s="65"/>
      <c r="C21" s="40"/>
      <c r="D21" s="41"/>
      <c r="E21" s="42"/>
      <c r="F21" s="43"/>
      <c r="G21" s="41"/>
      <c r="H21" s="42"/>
      <c r="I21" s="42"/>
      <c r="J21" s="42"/>
      <c r="K21" s="42"/>
      <c r="L21" s="45"/>
      <c r="M21" s="43"/>
      <c r="N21" s="45"/>
      <c r="O21" s="45"/>
      <c r="P21" s="45"/>
      <c r="Q21" s="45"/>
      <c r="R21" s="45"/>
      <c r="S21" s="25"/>
      <c r="T21" s="45"/>
      <c r="U21" s="45"/>
      <c r="V21" s="45"/>
      <c r="W21" s="45"/>
      <c r="X21" s="4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customFormat="false" ht="24.75" hidden="false" customHeight="true" outlineLevel="0" collapsed="false">
      <c r="A22" s="4" t="s">
        <v>1</v>
      </c>
      <c r="B22" s="66" t="s">
        <v>24</v>
      </c>
      <c r="C22" s="49"/>
      <c r="D22" s="67" t="n">
        <f aca="false">D29+D32+D34</f>
        <v>-15.831728254524</v>
      </c>
      <c r="E22" s="68" t="s">
        <v>25</v>
      </c>
      <c r="F22" s="52"/>
      <c r="G22" s="67" t="n">
        <f aca="false">G29+G32</f>
        <v>4.25548682896927</v>
      </c>
      <c r="H22" s="69" t="s">
        <v>26</v>
      </c>
      <c r="I22" s="53"/>
      <c r="J22" s="70" t="n">
        <f aca="false">J26</f>
        <v>63.301</v>
      </c>
      <c r="K22" s="53"/>
      <c r="L22" s="69" t="n">
        <v>2000</v>
      </c>
      <c r="M22" s="55"/>
      <c r="N22" s="61" t="n">
        <f aca="false">N29+N32</f>
        <v>-19.568</v>
      </c>
      <c r="O22" s="61" t="n">
        <f aca="false">O29+O32</f>
        <v>-8.25</v>
      </c>
      <c r="P22" s="61" t="n">
        <f aca="false">P29+P32</f>
        <v>-120.911</v>
      </c>
      <c r="Q22" s="61" t="n">
        <f aca="false">Q29+Q32</f>
        <v>-120.911</v>
      </c>
      <c r="R22" s="61" t="n">
        <f aca="false">R29+R32</f>
        <v>-327.091</v>
      </c>
      <c r="S22" s="53"/>
      <c r="T22" s="47"/>
      <c r="U22" s="47"/>
      <c r="V22" s="47"/>
      <c r="W22" s="47"/>
      <c r="X22" s="47"/>
      <c r="Y22" s="57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</row>
    <row r="23" customFormat="false" ht="24.75" hidden="false" customHeight="true" outlineLevel="0" collapsed="false">
      <c r="A23" s="4" t="s">
        <v>1</v>
      </c>
      <c r="B23" s="66" t="s">
        <v>27</v>
      </c>
      <c r="C23" s="49"/>
      <c r="D23" s="67" t="n">
        <f aca="false">D42+D45+D48</f>
        <v>1.88942322335377</v>
      </c>
      <c r="E23" s="69" t="s">
        <v>28</v>
      </c>
      <c r="F23" s="52"/>
      <c r="G23" s="71" t="n">
        <f aca="false">INDEX('SC Total Power'!$A$6:$W$500,MATCH(Summary!$B$8,'SC Total Power'!$A$6:$A$500,0),17)</f>
        <v>0.442552766931476</v>
      </c>
      <c r="H23" s="69" t="s">
        <v>29</v>
      </c>
      <c r="I23" s="53"/>
      <c r="J23" s="70" t="n">
        <f aca="false">J39</f>
        <v>1018.514</v>
      </c>
      <c r="K23" s="53"/>
      <c r="L23" s="69" t="n">
        <v>5000</v>
      </c>
      <c r="M23" s="55"/>
      <c r="N23" s="61" t="n">
        <f aca="false">N39</f>
        <v>6.946</v>
      </c>
      <c r="O23" s="61" t="n">
        <f aca="false">O39</f>
        <v>-1001.496</v>
      </c>
      <c r="P23" s="61" t="n">
        <f aca="false">P39</f>
        <v>-984.467</v>
      </c>
      <c r="Q23" s="61" t="n">
        <f aca="false">Q39</f>
        <v>-984.467</v>
      </c>
      <c r="R23" s="61" t="n">
        <f aca="false">R39</f>
        <v>24176.1316654178</v>
      </c>
      <c r="S23" s="53"/>
      <c r="T23" s="47"/>
      <c r="U23" s="47"/>
      <c r="V23" s="47"/>
      <c r="W23" s="47"/>
      <c r="X23" s="47"/>
      <c r="Y23" s="57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</row>
    <row r="24" customFormat="false" ht="24.75" hidden="false" customHeight="true" outlineLevel="0" collapsed="false">
      <c r="A24" s="4" t="s">
        <v>1</v>
      </c>
      <c r="B24" s="66" t="s">
        <v>30</v>
      </c>
      <c r="C24" s="49"/>
      <c r="D24" s="50"/>
      <c r="E24" s="51"/>
      <c r="F24" s="59"/>
      <c r="G24" s="50"/>
      <c r="H24" s="51"/>
      <c r="I24" s="60"/>
      <c r="J24" s="54"/>
      <c r="K24" s="60"/>
      <c r="L24" s="51"/>
      <c r="M24" s="55"/>
      <c r="N24" s="61" t="n">
        <f aca="false">N51</f>
        <v>0</v>
      </c>
      <c r="O24" s="61" t="n">
        <f aca="false">O51</f>
        <v>0</v>
      </c>
      <c r="P24" s="61" t="n">
        <f aca="false">P51</f>
        <v>0</v>
      </c>
      <c r="Q24" s="61" t="n">
        <f aca="false">Q51</f>
        <v>0</v>
      </c>
      <c r="R24" s="61" t="n">
        <f aca="false">R51</f>
        <v>-438.987</v>
      </c>
      <c r="S24" s="53"/>
      <c r="T24" s="47"/>
      <c r="U24" s="47"/>
      <c r="V24" s="47"/>
      <c r="W24" s="47"/>
      <c r="X24" s="47"/>
      <c r="Y24" s="57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</row>
    <row r="25" customFormat="false" ht="24.75" hidden="false" customHeight="true" outlineLevel="0" collapsed="false">
      <c r="A25" s="4" t="s">
        <v>1</v>
      </c>
      <c r="B25" s="48"/>
      <c r="C25" s="49"/>
      <c r="D25" s="50"/>
      <c r="E25" s="51"/>
      <c r="F25" s="52"/>
      <c r="G25" s="50"/>
      <c r="H25" s="51"/>
      <c r="I25" s="53"/>
      <c r="J25" s="54"/>
      <c r="K25" s="53"/>
      <c r="L25" s="51"/>
      <c r="M25" s="55"/>
      <c r="N25" s="56"/>
      <c r="O25" s="56"/>
      <c r="P25" s="56"/>
      <c r="Q25" s="56"/>
      <c r="R25" s="56"/>
      <c r="S25" s="53"/>
      <c r="T25" s="47"/>
      <c r="U25" s="47"/>
      <c r="V25" s="47"/>
      <c r="W25" s="47"/>
      <c r="X25" s="47"/>
      <c r="Y25" s="57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</row>
    <row r="26" customFormat="false" ht="29.25" hidden="false" customHeight="true" outlineLevel="0" collapsed="false">
      <c r="A26" s="4" t="s">
        <v>1</v>
      </c>
      <c r="B26" s="72" t="s">
        <v>31</v>
      </c>
      <c r="C26" s="40"/>
      <c r="D26" s="41"/>
      <c r="E26" s="42"/>
      <c r="F26" s="43"/>
      <c r="G26" s="41"/>
      <c r="H26" s="42"/>
      <c r="I26" s="42"/>
      <c r="J26" s="63" t="n">
        <f aca="false">J28</f>
        <v>63.301</v>
      </c>
      <c r="K26" s="42"/>
      <c r="L26" s="45"/>
      <c r="M26" s="43"/>
      <c r="N26" s="46" t="n">
        <f aca="false">SUM(N28)</f>
        <v>-19.568</v>
      </c>
      <c r="O26" s="46" t="n">
        <f aca="false">SUM(O28)</f>
        <v>-8.25</v>
      </c>
      <c r="P26" s="46" t="n">
        <f aca="false">SUM(P28)</f>
        <v>-120.911</v>
      </c>
      <c r="Q26" s="46" t="n">
        <f aca="false">SUM(Q28)</f>
        <v>-120.911</v>
      </c>
      <c r="R26" s="46" t="n">
        <f aca="false">SUM(R28)</f>
        <v>-327.091</v>
      </c>
      <c r="S26" s="25"/>
      <c r="T26" s="47"/>
      <c r="U26" s="47"/>
      <c r="V26" s="47"/>
      <c r="W26" s="47"/>
      <c r="X26" s="47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customFormat="false" ht="8.25" hidden="false" customHeight="true" outlineLevel="0" collapsed="false">
      <c r="A27" s="4" t="s">
        <v>1</v>
      </c>
      <c r="B27" s="65"/>
      <c r="C27" s="40"/>
      <c r="D27" s="41"/>
      <c r="E27" s="42"/>
      <c r="F27" s="43"/>
      <c r="G27" s="41"/>
      <c r="H27" s="42"/>
      <c r="I27" s="42"/>
      <c r="J27" s="42"/>
      <c r="K27" s="42"/>
      <c r="L27" s="45"/>
      <c r="M27" s="43"/>
      <c r="N27" s="45"/>
      <c r="O27" s="45"/>
      <c r="P27" s="45"/>
      <c r="Q27" s="45"/>
      <c r="R27" s="45"/>
      <c r="S27" s="25"/>
      <c r="T27" s="56"/>
      <c r="U27" s="56"/>
      <c r="V27" s="56"/>
      <c r="W27" s="56"/>
      <c r="X27" s="56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</row>
    <row r="28" customFormat="false" ht="30" hidden="false" customHeight="true" outlineLevel="0" collapsed="false">
      <c r="A28" s="4" t="s">
        <v>1</v>
      </c>
      <c r="B28" s="73" t="s">
        <v>32</v>
      </c>
      <c r="C28" s="49"/>
      <c r="D28" s="53"/>
      <c r="E28" s="53"/>
      <c r="F28" s="49"/>
      <c r="G28" s="74"/>
      <c r="H28" s="53"/>
      <c r="I28" s="53"/>
      <c r="J28" s="63" t="n">
        <f aca="false">J29</f>
        <v>63.301</v>
      </c>
      <c r="K28" s="53"/>
      <c r="L28" s="75"/>
      <c r="M28" s="49"/>
      <c r="N28" s="76" t="n">
        <f aca="false">SUM(+N29+N32+N34)</f>
        <v>-19.568</v>
      </c>
      <c r="O28" s="76" t="n">
        <f aca="false">SUM(+O29+O32+O34)</f>
        <v>-8.25</v>
      </c>
      <c r="P28" s="76" t="n">
        <f aca="false">SUM(+P29+P32+P34)</f>
        <v>-120.911</v>
      </c>
      <c r="Q28" s="76" t="n">
        <f aca="false">SUM(+Q29+Q32+Q34)</f>
        <v>-120.911</v>
      </c>
      <c r="R28" s="76" t="n">
        <f aca="false">SUM(+R29+R32+R34)</f>
        <v>-327.091</v>
      </c>
      <c r="S28" s="53"/>
      <c r="T28" s="56"/>
      <c r="U28" s="56"/>
      <c r="V28" s="56"/>
      <c r="W28" s="56"/>
      <c r="X28" s="56"/>
      <c r="Y28" s="57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</row>
    <row r="29" customFormat="false" ht="24.95" hidden="false" customHeight="true" outlineLevel="0" collapsed="false">
      <c r="A29" s="4" t="s">
        <v>1</v>
      </c>
      <c r="B29" s="77" t="s">
        <v>33</v>
      </c>
      <c r="C29" s="49" t="s">
        <v>22</v>
      </c>
      <c r="D29" s="67" t="n">
        <f aca="false">SUM(D30:D31)</f>
        <v>-15.831728254524</v>
      </c>
      <c r="E29" s="78"/>
      <c r="F29" s="52" t="s">
        <v>22</v>
      </c>
      <c r="G29" s="67" t="n">
        <f aca="false">SUM(G30:G31)</f>
        <v>4.25548682896927</v>
      </c>
      <c r="H29" s="51"/>
      <c r="I29" s="53" t="s">
        <v>22</v>
      </c>
      <c r="J29" s="63" t="n">
        <f aca="false">INDEX('RAC V@r Total'!$A$6:$Z$500,MATCH(Summary!$B$8,'RAC V@r Total'!$A$6:$A$500,0),20)</f>
        <v>63.301</v>
      </c>
      <c r="K29" s="53"/>
      <c r="L29" s="79"/>
      <c r="M29" s="55"/>
      <c r="N29" s="61" t="n">
        <f aca="false">SUM(N30:N31)</f>
        <v>-19.569</v>
      </c>
      <c r="O29" s="61" t="n">
        <f aca="false">SUM(O30:O31)</f>
        <v>-8.252</v>
      </c>
      <c r="P29" s="61" t="n">
        <f aca="false">SUM(P30:P31)</f>
        <v>-121.097</v>
      </c>
      <c r="Q29" s="61" t="n">
        <f aca="false">SUM(Q30:Q31)</f>
        <v>-121.097</v>
      </c>
      <c r="R29" s="61" t="n">
        <f aca="false">SUM(R30:R31)</f>
        <v>1206.791</v>
      </c>
      <c r="S29" s="53"/>
      <c r="T29" s="56"/>
      <c r="U29" s="56"/>
      <c r="V29" s="56"/>
      <c r="W29" s="56"/>
      <c r="X29" s="56"/>
      <c r="Y29" s="57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</row>
    <row r="30" customFormat="false" ht="21.75" hidden="true" customHeight="true" outlineLevel="0" collapsed="false">
      <c r="A30" s="4" t="s">
        <v>34</v>
      </c>
      <c r="B30" s="80" t="s">
        <v>35</v>
      </c>
      <c r="C30" s="81"/>
      <c r="D30" s="82" t="n">
        <f aca="false">INDEX('ARG Gas IM'!$A$6:$W$500,MATCH(Summary!$B$8,'ARG Gas IM'!$A$6:$A$500,0),16)</f>
        <v>0.0603876837000007</v>
      </c>
      <c r="E30" s="83"/>
      <c r="F30" s="84"/>
      <c r="G30" s="82" t="n">
        <f aca="false">INDEX('ARG Gas IM'!$A$6:$W$500,MATCH(Summary!$B$8,'ARG Gas IM'!$A$6:$A$500,0),17)</f>
        <v>0</v>
      </c>
      <c r="H30" s="83"/>
      <c r="I30" s="81"/>
      <c r="J30" s="85"/>
      <c r="K30" s="81"/>
      <c r="L30" s="83"/>
      <c r="M30" s="86"/>
      <c r="N30" s="87" t="n">
        <f aca="false">INDEX('ARG Gas IM'!$A$6:$W$500,MATCH(Summary!$B$8,'ARG Gas IM'!$A$6:$A$500,0),19)-N34</f>
        <v>-19.568</v>
      </c>
      <c r="O30" s="87" t="n">
        <f aca="false">'ARG Gas IM'!T3-O34</f>
        <v>-8.25</v>
      </c>
      <c r="P30" s="87" t="n">
        <f aca="false">INDEX('ARG Gas IM'!$A$6:$W$500,MATCH(Summary!$B$8,'ARG Gas IM'!$A$6:$A$500,0),21)-P34</f>
        <v>-121.124</v>
      </c>
      <c r="Q30" s="87" t="n">
        <f aca="false">INDEX('ARG Gas IM'!$A$6:$W$500,MATCH(Summary!$B$8,'ARG Gas IM'!$A$6:$A$500,0),22)-Q34</f>
        <v>-121.124</v>
      </c>
      <c r="R30" s="88" t="n">
        <f aca="false">INDEX('ARG Gas IM'!$A$6:$W$500,MATCH(Summary!$B$8,'ARG Gas IM'!$A$6:$A$500,0),23)-R34</f>
        <v>-386.171</v>
      </c>
      <c r="S30" s="89"/>
      <c r="T30" s="90"/>
      <c r="U30" s="90"/>
      <c r="V30" s="90"/>
      <c r="W30" s="90"/>
      <c r="X30" s="90"/>
      <c r="Y30" s="89"/>
      <c r="Z30" s="89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</row>
    <row r="31" customFormat="false" ht="21.75" hidden="true" customHeight="true" outlineLevel="0" collapsed="false">
      <c r="A31" s="4" t="s">
        <v>34</v>
      </c>
      <c r="B31" s="80" t="s">
        <v>36</v>
      </c>
      <c r="C31" s="81"/>
      <c r="D31" s="82" t="n">
        <f aca="false">INDEX('ARG Gas Firm'!$A$6:$W$500,MATCH(Summary!$B$8,'ARG Gas Firm'!$A$6:$A$500,0),16)</f>
        <v>-15.892115938224</v>
      </c>
      <c r="E31" s="83"/>
      <c r="F31" s="84"/>
      <c r="G31" s="82" t="n">
        <f aca="false">INDEX('ARG Gas Firm'!$A$6:$W$500,MATCH(Summary!$B$8,'ARG Gas Firm'!$A$6:$A$500,0),17)</f>
        <v>4.25548682896927</v>
      </c>
      <c r="H31" s="83"/>
      <c r="I31" s="81"/>
      <c r="J31" s="85"/>
      <c r="K31" s="81"/>
      <c r="L31" s="83"/>
      <c r="M31" s="86"/>
      <c r="N31" s="87" t="n">
        <f aca="false">INDEX('ARG Gas Firm'!$A$6:$W$500,MATCH(Summary!$B$8,'ARG Gas Firm'!$A$6:$A$500,0),19)</f>
        <v>-0.001</v>
      </c>
      <c r="O31" s="87" t="n">
        <f aca="false">'ARG Gas Firm'!T$3</f>
        <v>-0.002</v>
      </c>
      <c r="P31" s="87" t="n">
        <f aca="false">INDEX('ARG Gas Firm'!$A$6:$W$500,MATCH(Summary!$B$8,'ARG Gas Firm'!$A$6:$A$500,0),21)</f>
        <v>0.027</v>
      </c>
      <c r="Q31" s="87" t="n">
        <f aca="false">INDEX('ARG Gas Firm'!$A$6:$W$500,MATCH(Summary!$B$8,'ARG Gas Firm'!$A$6:$A$500,0),22)</f>
        <v>0.027</v>
      </c>
      <c r="R31" s="88" t="n">
        <f aca="false">INDEX('ARG Gas Firm'!$A$6:$W$500,MATCH(Summary!$B$8,'ARG Gas Firm'!$A$6:$A$500,0),23)</f>
        <v>1592.962</v>
      </c>
      <c r="S31" s="89"/>
      <c r="T31" s="91"/>
      <c r="U31" s="91"/>
      <c r="V31" s="91"/>
      <c r="W31" s="91"/>
      <c r="X31" s="91"/>
      <c r="Y31" s="89"/>
      <c r="Z31" s="89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</row>
    <row r="32" customFormat="false" ht="24.95" hidden="false" customHeight="true" outlineLevel="0" collapsed="false">
      <c r="A32" s="4" t="s">
        <v>1</v>
      </c>
      <c r="B32" s="92" t="s">
        <v>37</v>
      </c>
      <c r="C32" s="49"/>
      <c r="D32" s="50"/>
      <c r="E32" s="79"/>
      <c r="F32" s="59"/>
      <c r="G32" s="50"/>
      <c r="H32" s="79"/>
      <c r="I32" s="60"/>
      <c r="J32" s="54"/>
      <c r="K32" s="53"/>
      <c r="L32" s="79"/>
      <c r="M32" s="55"/>
      <c r="N32" s="61" t="n">
        <f aca="false">INDEX('ARG Gas Transport'!$A$6:$W$500,MATCH(Summary!$B$8,'ARG Gas Transport'!$A$6:$A$500,0),19)</f>
        <v>0.001</v>
      </c>
      <c r="O32" s="61" t="n">
        <f aca="false">'ARG Gas Transport'!T$3</f>
        <v>0.002</v>
      </c>
      <c r="P32" s="61" t="n">
        <f aca="false">INDEX('ARG Gas Transport'!$A$6:$W$500,MATCH(Summary!$B$8,'ARG Gas IM'!$A$6:$A$500,0),21)</f>
        <v>0.186</v>
      </c>
      <c r="Q32" s="61" t="n">
        <f aca="false">INDEX('ARG Gas Transport'!$A$6:$W$500,MATCH(Summary!$B$8,'ARG Gas Transport'!$A$6:$A$500,0),22)</f>
        <v>0.186</v>
      </c>
      <c r="R32" s="93" t="n">
        <f aca="false">INDEX('ARG Gas Transport'!$A$6:$W$500,MATCH(Summary!$B$8,'ARG Gas Transport'!$A$6:$A$500,0),23)</f>
        <v>-1533.882</v>
      </c>
      <c r="S32" s="60"/>
      <c r="T32" s="56"/>
      <c r="U32" s="56"/>
      <c r="V32" s="56"/>
      <c r="W32" s="56"/>
      <c r="X32" s="56"/>
      <c r="Y32" s="57"/>
      <c r="Z32" s="60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</row>
    <row r="33" customFormat="false" ht="8.25" hidden="false" customHeight="true" outlineLevel="0" collapsed="false">
      <c r="A33" s="4" t="s">
        <v>1</v>
      </c>
      <c r="B33" s="65"/>
      <c r="C33" s="40"/>
      <c r="D33" s="41"/>
      <c r="E33" s="42"/>
      <c r="F33" s="43"/>
      <c r="G33" s="41"/>
      <c r="H33" s="42"/>
      <c r="I33" s="42"/>
      <c r="J33" s="42"/>
      <c r="K33" s="42"/>
      <c r="L33" s="45"/>
      <c r="M33" s="43"/>
      <c r="N33" s="45"/>
      <c r="O33" s="45"/>
      <c r="P33" s="45"/>
      <c r="Q33" s="45"/>
      <c r="R33" s="45"/>
      <c r="S33" s="25"/>
      <c r="T33" s="47"/>
      <c r="U33" s="47"/>
      <c r="V33" s="47"/>
      <c r="W33" s="47"/>
      <c r="X33" s="47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customFormat="false" ht="24.75" hidden="false" customHeight="true" outlineLevel="0" collapsed="false">
      <c r="A34" s="4" t="s">
        <v>1</v>
      </c>
      <c r="B34" s="77" t="s">
        <v>38</v>
      </c>
      <c r="C34" s="74"/>
      <c r="D34" s="50"/>
      <c r="E34" s="51"/>
      <c r="F34" s="59"/>
      <c r="G34" s="50"/>
      <c r="H34" s="51"/>
      <c r="I34" s="60"/>
      <c r="J34" s="54"/>
      <c r="K34" s="53" t="s">
        <v>22</v>
      </c>
      <c r="L34" s="78"/>
      <c r="M34" s="55"/>
      <c r="N34" s="61" t="n">
        <v>0</v>
      </c>
      <c r="O34" s="61" t="n">
        <v>0</v>
      </c>
      <c r="P34" s="61" t="n">
        <f aca="false">SUM(P35:P36)</f>
        <v>0</v>
      </c>
      <c r="Q34" s="61" t="n">
        <f aca="false">SUM(Q35:Q36)</f>
        <v>0</v>
      </c>
      <c r="R34" s="61" t="n">
        <f aca="false">SUM(R35:R36)</f>
        <v>0</v>
      </c>
      <c r="S34" s="57"/>
      <c r="T34" s="56"/>
      <c r="U34" s="56"/>
      <c r="V34" s="56"/>
      <c r="W34" s="56"/>
      <c r="X34" s="56"/>
      <c r="Y34" s="57"/>
      <c r="Z34" s="57"/>
      <c r="AA34" s="74"/>
      <c r="AB34" s="74"/>
      <c r="AC34" s="74"/>
      <c r="AD34" s="74"/>
      <c r="AE34" s="74"/>
      <c r="AF34" s="74"/>
      <c r="AG34" s="74"/>
      <c r="AH34" s="74"/>
      <c r="AI34" s="74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</row>
    <row r="35" customFormat="false" ht="21.75" hidden="true" customHeight="true" outlineLevel="0" collapsed="false">
      <c r="A35" s="4" t="s">
        <v>34</v>
      </c>
      <c r="B35" s="80"/>
      <c r="C35" s="81"/>
      <c r="D35" s="82" t="s">
        <v>22</v>
      </c>
      <c r="E35" s="83"/>
      <c r="F35" s="84"/>
      <c r="G35" s="82" t="s">
        <v>22</v>
      </c>
      <c r="H35" s="83"/>
      <c r="I35" s="81"/>
      <c r="J35" s="85" t="s">
        <v>22</v>
      </c>
      <c r="K35" s="81"/>
      <c r="L35" s="83"/>
      <c r="M35" s="86"/>
      <c r="N35" s="87" t="n">
        <v>0</v>
      </c>
      <c r="O35" s="87" t="n">
        <v>0</v>
      </c>
      <c r="P35" s="87" t="n">
        <v>0</v>
      </c>
      <c r="Q35" s="87" t="n">
        <v>0</v>
      </c>
      <c r="R35" s="88" t="n">
        <v>0</v>
      </c>
      <c r="S35" s="89"/>
      <c r="T35" s="91"/>
      <c r="U35" s="91"/>
      <c r="V35" s="91"/>
      <c r="W35" s="91"/>
      <c r="X35" s="91"/>
      <c r="Y35" s="89"/>
      <c r="Z35" s="89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</row>
    <row r="36" customFormat="false" ht="21.75" hidden="true" customHeight="true" outlineLevel="0" collapsed="false">
      <c r="A36" s="4" t="s">
        <v>34</v>
      </c>
      <c r="B36" s="80"/>
      <c r="C36" s="81"/>
      <c r="D36" s="82" t="s">
        <v>22</v>
      </c>
      <c r="E36" s="83"/>
      <c r="F36" s="84"/>
      <c r="G36" s="82" t="s">
        <v>22</v>
      </c>
      <c r="H36" s="83"/>
      <c r="I36" s="81"/>
      <c r="J36" s="85" t="s">
        <v>22</v>
      </c>
      <c r="K36" s="81"/>
      <c r="L36" s="83"/>
      <c r="M36" s="86"/>
      <c r="N36" s="87" t="n">
        <v>0</v>
      </c>
      <c r="O36" s="87" t="n">
        <v>0</v>
      </c>
      <c r="P36" s="87" t="n">
        <v>0</v>
      </c>
      <c r="Q36" s="87" t="n">
        <v>0</v>
      </c>
      <c r="R36" s="88" t="n">
        <v>0</v>
      </c>
      <c r="S36" s="89"/>
      <c r="T36" s="89"/>
      <c r="U36" s="89"/>
      <c r="V36" s="89"/>
      <c r="W36" s="89"/>
      <c r="X36" s="89"/>
      <c r="Y36" s="89"/>
      <c r="Z36" s="89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</row>
    <row r="37" customFormat="false" ht="21.75" hidden="false" customHeight="true" outlineLevel="0" collapsed="false">
      <c r="A37" s="4" t="s">
        <v>1</v>
      </c>
      <c r="B37" s="94"/>
      <c r="C37" s="95"/>
      <c r="D37" s="96"/>
      <c r="E37" s="97"/>
      <c r="F37" s="59"/>
      <c r="G37" s="57"/>
      <c r="H37" s="79"/>
      <c r="I37" s="60"/>
      <c r="J37" s="44"/>
      <c r="K37" s="60"/>
      <c r="L37" s="79"/>
      <c r="M37" s="55"/>
      <c r="N37" s="56"/>
      <c r="O37" s="98"/>
      <c r="P37" s="98"/>
      <c r="Q37" s="56"/>
      <c r="R37" s="56"/>
      <c r="S37" s="60"/>
      <c r="T37" s="57"/>
      <c r="U37" s="57"/>
      <c r="V37" s="57"/>
      <c r="W37" s="57"/>
      <c r="X37" s="57"/>
      <c r="Y37" s="57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</row>
    <row r="38" customFormat="false" ht="21.75" hidden="true" customHeight="true" outlineLevel="0" collapsed="false">
      <c r="A38" s="4"/>
      <c r="B38" s="94"/>
      <c r="C38" s="95"/>
      <c r="D38" s="96"/>
      <c r="E38" s="79"/>
      <c r="F38" s="59"/>
      <c r="G38" s="57"/>
      <c r="H38" s="79"/>
      <c r="I38" s="60"/>
      <c r="J38" s="44"/>
      <c r="K38" s="60"/>
      <c r="L38" s="79"/>
      <c r="M38" s="55"/>
      <c r="N38" s="56"/>
      <c r="O38" s="98"/>
      <c r="P38" s="98"/>
      <c r="Q38" s="56"/>
      <c r="R38" s="56"/>
      <c r="S38" s="60"/>
      <c r="T38" s="57"/>
      <c r="U38" s="57"/>
      <c r="V38" s="57"/>
      <c r="W38" s="57"/>
      <c r="X38" s="57"/>
      <c r="Y38" s="57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</row>
    <row r="39" customFormat="false" ht="29.25" hidden="false" customHeight="true" outlineLevel="0" collapsed="false">
      <c r="A39" s="4" t="s">
        <v>1</v>
      </c>
      <c r="B39" s="72" t="s">
        <v>39</v>
      </c>
      <c r="C39" s="40"/>
      <c r="D39" s="41"/>
      <c r="E39" s="42"/>
      <c r="F39" s="43"/>
      <c r="G39" s="41"/>
      <c r="H39" s="42"/>
      <c r="I39" s="42"/>
      <c r="J39" s="63" t="n">
        <f aca="false">INDEX('RAC V@r Total'!$A$6:$Z$500,MATCH(Summary!$B$8,'RAC V@r Total'!$A$6:$A$500,0),23)</f>
        <v>1018.514</v>
      </c>
      <c r="K39" s="42"/>
      <c r="L39" s="45"/>
      <c r="M39" s="43"/>
      <c r="N39" s="46" t="n">
        <f aca="false">N41+N47</f>
        <v>6.946</v>
      </c>
      <c r="O39" s="46" t="n">
        <f aca="false">O41+O47</f>
        <v>-1001.496</v>
      </c>
      <c r="P39" s="46" t="n">
        <f aca="false">P41+P47</f>
        <v>-984.467</v>
      </c>
      <c r="Q39" s="46" t="n">
        <f aca="false">Q41+Q47</f>
        <v>-984.467</v>
      </c>
      <c r="R39" s="46" t="n">
        <f aca="false">R41+R47</f>
        <v>24176.1316654178</v>
      </c>
      <c r="S39" s="25"/>
      <c r="T39" s="47"/>
      <c r="U39" s="47"/>
      <c r="V39" s="47"/>
      <c r="W39" s="47"/>
      <c r="X39" s="47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customFormat="false" ht="8.25" hidden="false" customHeight="true" outlineLevel="0" collapsed="false">
      <c r="A40" s="4" t="s">
        <v>1</v>
      </c>
      <c r="B40" s="65"/>
      <c r="C40" s="40"/>
      <c r="D40" s="41"/>
      <c r="E40" s="42"/>
      <c r="F40" s="43"/>
      <c r="G40" s="41"/>
      <c r="H40" s="42"/>
      <c r="I40" s="42"/>
      <c r="J40" s="42"/>
      <c r="K40" s="42"/>
      <c r="L40" s="45"/>
      <c r="M40" s="43"/>
      <c r="N40" s="45"/>
      <c r="O40" s="45"/>
      <c r="P40" s="45"/>
      <c r="Q40" s="45"/>
      <c r="R40" s="45"/>
      <c r="S40" s="25"/>
      <c r="T40" s="56"/>
      <c r="U40" s="56"/>
      <c r="V40" s="56"/>
      <c r="W40" s="56"/>
      <c r="X40" s="56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customFormat="false" ht="30" hidden="false" customHeight="true" outlineLevel="0" collapsed="false">
      <c r="A41" s="4" t="s">
        <v>1</v>
      </c>
      <c r="B41" s="73" t="s">
        <v>32</v>
      </c>
      <c r="C41" s="49"/>
      <c r="D41" s="67" t="n">
        <f aca="false">D42+D45</f>
        <v>1.71119522335377</v>
      </c>
      <c r="E41" s="51"/>
      <c r="F41" s="49"/>
      <c r="G41" s="71" t="n">
        <f aca="false">INDEX('Arg Total Power'!$A$6:$W$500,MATCH(Summary!$B$8,'Arg Total Power'!$A$6:$A$500,0),17)</f>
        <v>0.401378968571289</v>
      </c>
      <c r="H41" s="78"/>
      <c r="I41" s="53"/>
      <c r="J41" s="63" t="n">
        <f aca="false">INDEX('RAC V@r Total'!$A$6:$Z$500,MATCH(Summary!$B$8,'RAC V@r Total'!$A$6:$A$500,0),19)</f>
        <v>438.176</v>
      </c>
      <c r="K41" s="53"/>
      <c r="L41" s="75"/>
      <c r="M41" s="49"/>
      <c r="N41" s="76" t="n">
        <f aca="false">N42+N45</f>
        <v>0.292</v>
      </c>
      <c r="O41" s="76" t="n">
        <f aca="false">O42+O45</f>
        <v>77.129</v>
      </c>
      <c r="P41" s="76" t="n">
        <f aca="false">P42+P45</f>
        <v>84.982</v>
      </c>
      <c r="Q41" s="76" t="n">
        <f aca="false">Q42+Q45</f>
        <v>84.982</v>
      </c>
      <c r="R41" s="76" t="n">
        <f aca="false">R42+R45</f>
        <v>802.242665417803</v>
      </c>
      <c r="S41" s="99"/>
      <c r="T41" s="56"/>
      <c r="U41" s="56"/>
      <c r="V41" s="56"/>
      <c r="W41" s="56"/>
      <c r="X41" s="56"/>
      <c r="Y41" s="57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</row>
    <row r="42" customFormat="false" ht="24.75" hidden="false" customHeight="true" outlineLevel="0" collapsed="false">
      <c r="A42" s="4" t="s">
        <v>1</v>
      </c>
      <c r="B42" s="92" t="s">
        <v>40</v>
      </c>
      <c r="C42" s="49"/>
      <c r="D42" s="67" t="n">
        <f aca="false">D43+D44</f>
        <v>-0.284686966192317</v>
      </c>
      <c r="E42" s="51"/>
      <c r="F42" s="100"/>
      <c r="G42" s="50"/>
      <c r="H42" s="78"/>
      <c r="I42" s="53"/>
      <c r="J42" s="44"/>
      <c r="K42" s="53"/>
      <c r="L42" s="79"/>
      <c r="M42" s="55"/>
      <c r="N42" s="61" t="n">
        <f aca="false">N43+N44</f>
        <v>0.292</v>
      </c>
      <c r="O42" s="61" t="n">
        <f aca="false">O43+O44</f>
        <v>77.129</v>
      </c>
      <c r="P42" s="61" t="n">
        <f aca="false">P43+P44</f>
        <v>84.982</v>
      </c>
      <c r="Q42" s="61" t="n">
        <f aca="false">Q43+Q44</f>
        <v>84.982</v>
      </c>
      <c r="R42" s="61" t="n">
        <f aca="false">R43+R44</f>
        <v>802.242665417803</v>
      </c>
      <c r="S42" s="53"/>
      <c r="T42" s="56"/>
      <c r="U42" s="56"/>
      <c r="V42" s="56"/>
      <c r="W42" s="56"/>
      <c r="X42" s="56"/>
      <c r="Y42" s="57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</row>
    <row r="43" customFormat="false" ht="21.75" hidden="true" customHeight="true" outlineLevel="0" collapsed="false">
      <c r="A43" s="4" t="s">
        <v>34</v>
      </c>
      <c r="B43" s="80" t="s">
        <v>41</v>
      </c>
      <c r="C43" s="81"/>
      <c r="D43" s="82" t="n">
        <f aca="false">INDEX('EZE Power Trading'!$A$6:$W$500,MATCH(Summary!$B$8,'EZE Power Trading'!$A$6:$A$500,0),16)</f>
        <v>-0.162626466634062</v>
      </c>
      <c r="E43" s="83"/>
      <c r="F43" s="84"/>
      <c r="G43" s="101" t="n">
        <f aca="false">INDEX('EZE Power Trading'!$A$6:$W$500,MATCH(Summary!$B$8,'EZE Power Trading'!$A$6:$A$500,0),17)</f>
        <v>0</v>
      </c>
      <c r="H43" s="83"/>
      <c r="I43" s="81"/>
      <c r="J43" s="85"/>
      <c r="K43" s="81"/>
      <c r="L43" s="83"/>
      <c r="M43" s="86"/>
      <c r="N43" s="87" t="n">
        <f aca="false">INDEX('EZE Power Trading'!$A$6:$W$500,MATCH(Summary!$B$8,'EZE Power Trading'!$A$6:$A$500,0),19)</f>
        <v>-0.292</v>
      </c>
      <c r="O43" s="87" t="n">
        <f aca="false">'EZE Power Trading'!T$3</f>
        <v>16.581</v>
      </c>
      <c r="P43" s="87" t="n">
        <f aca="false">INDEX('EZE Power Trading'!$A$6:$W$500,MATCH(Summary!$B$8,'EZE Power Trading'!$A$6:$A$500,0),21)</f>
        <v>24.291</v>
      </c>
      <c r="Q43" s="87" t="n">
        <f aca="false">INDEX('EZE Power Trading'!$A$6:$W$500,MATCH(Summary!$B$8,'EZE Power Trading'!$A$6:$A$500,0),22)</f>
        <v>24.291</v>
      </c>
      <c r="R43" s="88" t="n">
        <f aca="false">INDEX('EZE Power Trading'!$A$6:$W$500,MATCH(Summary!$B$8,'EZE Power Trading'!$A$6:$A$500,0),23)</f>
        <v>558.924665417804</v>
      </c>
      <c r="S43" s="89"/>
      <c r="T43" s="90"/>
      <c r="U43" s="90"/>
      <c r="V43" s="90"/>
      <c r="W43" s="90"/>
      <c r="X43" s="90"/>
      <c r="Y43" s="89"/>
      <c r="Z43" s="89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81"/>
      <c r="FN43" s="81"/>
      <c r="FO43" s="81"/>
      <c r="FP43" s="81"/>
      <c r="FQ43" s="81"/>
      <c r="FR43" s="81"/>
      <c r="FS43" s="81"/>
      <c r="FT43" s="81"/>
      <c r="FU43" s="81"/>
      <c r="FV43" s="81"/>
      <c r="FW43" s="81"/>
      <c r="FX43" s="81"/>
      <c r="FY43" s="81"/>
      <c r="FZ43" s="81"/>
      <c r="GA43" s="81"/>
      <c r="GB43" s="81"/>
      <c r="GC43" s="81"/>
      <c r="GD43" s="81"/>
      <c r="GE43" s="81"/>
      <c r="GF43" s="81"/>
      <c r="GG43" s="81"/>
      <c r="GH43" s="81"/>
      <c r="GI43" s="81"/>
      <c r="GJ43" s="81"/>
      <c r="GK43" s="81"/>
      <c r="GL43" s="81"/>
      <c r="GM43" s="81"/>
      <c r="GN43" s="81"/>
      <c r="GO43" s="81"/>
      <c r="GP43" s="81"/>
      <c r="GQ43" s="81"/>
      <c r="GR43" s="81"/>
      <c r="GS43" s="81"/>
      <c r="GT43" s="81"/>
      <c r="GU43" s="81"/>
      <c r="GV43" s="81"/>
      <c r="GW43" s="81"/>
      <c r="GX43" s="81"/>
      <c r="GY43" s="81"/>
      <c r="GZ43" s="81"/>
      <c r="HA43" s="81"/>
      <c r="HB43" s="81"/>
      <c r="HC43" s="81"/>
      <c r="HD43" s="81"/>
      <c r="HE43" s="81"/>
      <c r="HF43" s="81"/>
      <c r="HG43" s="81"/>
      <c r="HH43" s="81"/>
      <c r="HI43" s="81"/>
      <c r="HJ43" s="81"/>
      <c r="HK43" s="81"/>
      <c r="HL43" s="81"/>
      <c r="HM43" s="81"/>
      <c r="HN43" s="81"/>
      <c r="HO43" s="81"/>
      <c r="HP43" s="81"/>
      <c r="HQ43" s="81"/>
      <c r="HR43" s="81"/>
      <c r="HS43" s="81"/>
      <c r="HT43" s="81"/>
      <c r="HU43" s="81"/>
      <c r="HV43" s="81"/>
      <c r="HW43" s="81"/>
      <c r="HX43" s="81"/>
      <c r="HY43" s="81"/>
      <c r="HZ43" s="81"/>
      <c r="IA43" s="81"/>
      <c r="IB43" s="81"/>
      <c r="IC43" s="81"/>
      <c r="ID43" s="81"/>
      <c r="IE43" s="81"/>
      <c r="IF43" s="81"/>
      <c r="IG43" s="81"/>
      <c r="IH43" s="81"/>
      <c r="II43" s="81"/>
      <c r="IJ43" s="81"/>
      <c r="IK43" s="81"/>
      <c r="IL43" s="81"/>
      <c r="IM43" s="81"/>
      <c r="IN43" s="81"/>
      <c r="IO43" s="81"/>
      <c r="IP43" s="81"/>
      <c r="IQ43" s="81"/>
      <c r="IR43" s="81"/>
      <c r="IS43" s="81"/>
      <c r="IT43" s="81"/>
      <c r="IU43" s="81"/>
      <c r="IV43" s="81"/>
      <c r="IW43" s="81"/>
    </row>
    <row r="44" customFormat="false" ht="21.75" hidden="true" customHeight="true" outlineLevel="0" collapsed="false">
      <c r="A44" s="4" t="s">
        <v>34</v>
      </c>
      <c r="B44" s="80" t="s">
        <v>42</v>
      </c>
      <c r="C44" s="81"/>
      <c r="D44" s="82" t="n">
        <f aca="false">INDEX('Rio Cuarto Power Trading'!$A$6:$W$500,MATCH(Summary!$B$8,'Rio Cuarto Power Trading'!$A$6:$A$500,0),16)</f>
        <v>-0.122060499558255</v>
      </c>
      <c r="E44" s="83"/>
      <c r="F44" s="84"/>
      <c r="G44" s="102" t="n">
        <f aca="false">INDEX('Rio Cuarto Power Trading'!$A$6:$W$500,MATCH(Summary!$B$8,'Rio Cuarto Power Trading'!$A$6:$A$500,0),17)</f>
        <v>0</v>
      </c>
      <c r="H44" s="83"/>
      <c r="I44" s="81"/>
      <c r="J44" s="85"/>
      <c r="K44" s="81"/>
      <c r="L44" s="83"/>
      <c r="M44" s="86"/>
      <c r="N44" s="87" t="n">
        <f aca="false">INDEX('Rio Cuarto Power Trading'!$A$6:$W$500,MATCH(Summary!$B$8,'Rio Cuarto Power Trading'!$A$6:$A$500,0),19)</f>
        <v>0.584</v>
      </c>
      <c r="O44" s="87" t="n">
        <f aca="false">'Rio Cuarto Power Trading'!T$3</f>
        <v>60.548</v>
      </c>
      <c r="P44" s="87" t="n">
        <f aca="false">INDEX('Rio Cuarto Power Trading'!$A$6:$W$500,MATCH(Summary!$B$8,'Rio Cuarto Power Trading'!$A$6:$A$500,0),21)</f>
        <v>60.691</v>
      </c>
      <c r="Q44" s="87" t="n">
        <f aca="false">INDEX('Rio Cuarto Power Trading'!$A$6:$W$500,MATCH(Summary!$B$8,'Rio Cuarto Power Trading'!$A$6:$A$500,0),22)</f>
        <v>60.691</v>
      </c>
      <c r="R44" s="88" t="n">
        <f aca="false">INDEX('Rio Cuarto Power Trading'!$A$6:$W$500,MATCH(Summary!$B$8,'Rio Cuarto Power Trading'!$A$6:$A$500,0),23)</f>
        <v>243.318</v>
      </c>
      <c r="S44" s="89"/>
      <c r="T44" s="91"/>
      <c r="U44" s="91"/>
      <c r="V44" s="91"/>
      <c r="W44" s="91"/>
      <c r="X44" s="91"/>
      <c r="Y44" s="89"/>
      <c r="Z44" s="89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81"/>
      <c r="FN44" s="81"/>
      <c r="FO44" s="81"/>
      <c r="FP44" s="81"/>
      <c r="FQ44" s="81"/>
      <c r="FR44" s="81"/>
      <c r="FS44" s="81"/>
      <c r="FT44" s="81"/>
      <c r="FU44" s="81"/>
      <c r="FV44" s="81"/>
      <c r="FW44" s="81"/>
      <c r="FX44" s="81"/>
      <c r="FY44" s="81"/>
      <c r="FZ44" s="81"/>
      <c r="GA44" s="81"/>
      <c r="GB44" s="81"/>
      <c r="GC44" s="81"/>
      <c r="GD44" s="81"/>
      <c r="GE44" s="81"/>
      <c r="GF44" s="81"/>
      <c r="GG44" s="81"/>
      <c r="GH44" s="81"/>
      <c r="GI44" s="81"/>
      <c r="GJ44" s="81"/>
      <c r="GK44" s="81"/>
      <c r="GL44" s="81"/>
      <c r="GM44" s="81"/>
      <c r="GN44" s="81"/>
      <c r="GO44" s="81"/>
      <c r="GP44" s="81"/>
      <c r="GQ44" s="81"/>
      <c r="GR44" s="81"/>
      <c r="GS44" s="81"/>
      <c r="GT44" s="81"/>
      <c r="GU44" s="81"/>
      <c r="GV44" s="81"/>
      <c r="GW44" s="81"/>
      <c r="GX44" s="81"/>
      <c r="GY44" s="81"/>
      <c r="GZ44" s="81"/>
      <c r="HA44" s="81"/>
      <c r="HB44" s="81"/>
      <c r="HC44" s="81"/>
      <c r="HD44" s="81"/>
      <c r="HE44" s="81"/>
      <c r="HF44" s="81"/>
      <c r="HG44" s="81"/>
      <c r="HH44" s="81"/>
      <c r="HI44" s="81"/>
      <c r="HJ44" s="81"/>
      <c r="HK44" s="81"/>
      <c r="HL44" s="81"/>
      <c r="HM44" s="81"/>
      <c r="HN44" s="81"/>
      <c r="HO44" s="81"/>
      <c r="HP44" s="81"/>
      <c r="HQ44" s="81"/>
      <c r="HR44" s="81"/>
      <c r="HS44" s="81"/>
      <c r="HT44" s="81"/>
      <c r="HU44" s="81"/>
      <c r="HV44" s="81"/>
      <c r="HW44" s="81"/>
      <c r="HX44" s="81"/>
      <c r="HY44" s="81"/>
      <c r="HZ44" s="81"/>
      <c r="IA44" s="81"/>
      <c r="IB44" s="81"/>
      <c r="IC44" s="81"/>
      <c r="ID44" s="81"/>
      <c r="IE44" s="81"/>
      <c r="IF44" s="81"/>
      <c r="IG44" s="81"/>
      <c r="IH44" s="81"/>
      <c r="II44" s="81"/>
      <c r="IJ44" s="81"/>
      <c r="IK44" s="81"/>
      <c r="IL44" s="81"/>
      <c r="IM44" s="81"/>
      <c r="IN44" s="81"/>
      <c r="IO44" s="81"/>
      <c r="IP44" s="81"/>
      <c r="IQ44" s="81"/>
      <c r="IR44" s="81"/>
      <c r="IS44" s="81"/>
      <c r="IT44" s="81"/>
      <c r="IU44" s="81"/>
      <c r="IV44" s="81"/>
      <c r="IW44" s="81"/>
    </row>
    <row r="45" customFormat="false" ht="24.75" hidden="false" customHeight="true" outlineLevel="0" collapsed="false">
      <c r="A45" s="103" t="s">
        <v>1</v>
      </c>
      <c r="B45" s="104" t="s">
        <v>43</v>
      </c>
      <c r="C45" s="105" t="s">
        <v>44</v>
      </c>
      <c r="D45" s="67" t="n">
        <f aca="false">+(INDEX('Modesto Maranzana Power'!$A$6:$W$500,MATCH(Summary!$B$8,'Modesto Maranzana Power'!$A$6:$A$500,0),16))</f>
        <v>1.99588218954609</v>
      </c>
      <c r="E45" s="106"/>
      <c r="F45" s="100"/>
      <c r="G45" s="50"/>
      <c r="H45" s="106"/>
      <c r="I45" s="74"/>
      <c r="J45" s="44"/>
      <c r="K45" s="74"/>
      <c r="L45" s="106"/>
      <c r="M45" s="55"/>
      <c r="N45" s="61" t="n">
        <f aca="false">INDEX('Modesto Maranzana Power'!$A$6:$W$500,MATCH(Summary!$B$8,'Modesto Maranzana Power'!$A$6:$A$500,0),19)</f>
        <v>0</v>
      </c>
      <c r="O45" s="61" t="n">
        <f aca="false">'Modesto Maranzana Power'!T$3</f>
        <v>0</v>
      </c>
      <c r="P45" s="61" t="n">
        <f aca="false">INDEX('Modesto Maranzana Power'!$A$6:$W$500,MATCH(Summary!$B$8,'Modesto Maranzana Power'!$A$6:$A$500,0),21)</f>
        <v>0</v>
      </c>
      <c r="Q45" s="61" t="n">
        <f aca="false">INDEX('Modesto Maranzana Power'!$A$6:$W$500,MATCH(Summary!$B$8,'Modesto Maranzana Power'!$A$6:$A$500,0),22)</f>
        <v>0</v>
      </c>
      <c r="R45" s="61" t="n">
        <f aca="false">INDEX('Modesto Maranzana Power'!$A$6:$W$500,MATCH(Summary!$B$8,'Modesto Maranzana Power'!$A$6:$A$500,0),23)</f>
        <v>0</v>
      </c>
      <c r="S45" s="74"/>
      <c r="T45" s="45"/>
      <c r="U45" s="45"/>
      <c r="V45" s="45"/>
      <c r="W45" s="45"/>
      <c r="X45" s="45"/>
      <c r="Y45" s="57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</row>
    <row r="46" customFormat="false" ht="10.5" hidden="false" customHeight="true" outlineLevel="0" collapsed="false">
      <c r="A46" s="4" t="s">
        <v>1</v>
      </c>
      <c r="B46" s="94"/>
      <c r="C46" s="95"/>
      <c r="D46" s="96"/>
      <c r="E46" s="79"/>
      <c r="F46" s="59"/>
      <c r="G46" s="57"/>
      <c r="H46" s="79"/>
      <c r="I46" s="60"/>
      <c r="J46" s="44"/>
      <c r="K46" s="60"/>
      <c r="L46" s="79"/>
      <c r="M46" s="55"/>
      <c r="N46" s="56"/>
      <c r="O46" s="98"/>
      <c r="P46" s="98"/>
      <c r="Q46" s="56"/>
      <c r="R46" s="56"/>
      <c r="S46" s="60"/>
      <c r="T46" s="57"/>
      <c r="U46" s="57"/>
      <c r="V46" s="57"/>
      <c r="W46" s="57"/>
      <c r="X46" s="57"/>
      <c r="Y46" s="57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</row>
    <row r="47" customFormat="false" ht="30" hidden="false" customHeight="true" outlineLevel="0" collapsed="false">
      <c r="A47" s="4" t="s">
        <v>1</v>
      </c>
      <c r="B47" s="73" t="s">
        <v>45</v>
      </c>
      <c r="C47" s="95"/>
      <c r="D47" s="96"/>
      <c r="E47" s="79"/>
      <c r="F47" s="59"/>
      <c r="G47" s="57"/>
      <c r="H47" s="79"/>
      <c r="I47" s="60"/>
      <c r="J47" s="63" t="n">
        <f aca="false">INDEX('RAC V@r Total'!$A$6:$Z$500,MATCH(Summary!$B$8,'RAC V@r Total'!$A$6:$A$500,0),16)</f>
        <v>615.201</v>
      </c>
      <c r="K47" s="60"/>
      <c r="L47" s="79"/>
      <c r="M47" s="55"/>
      <c r="N47" s="76" t="n">
        <f aca="false">N48</f>
        <v>6.654</v>
      </c>
      <c r="O47" s="76" t="n">
        <f aca="false">O48</f>
        <v>-1078.625</v>
      </c>
      <c r="P47" s="76" t="n">
        <f aca="false">P48</f>
        <v>-1069.449</v>
      </c>
      <c r="Q47" s="76" t="n">
        <f aca="false">Q48</f>
        <v>-1069.449</v>
      </c>
      <c r="R47" s="76" t="n">
        <f aca="false">R48</f>
        <v>23373.889</v>
      </c>
      <c r="S47" s="57"/>
      <c r="T47" s="57"/>
      <c r="U47" s="57"/>
      <c r="V47" s="57"/>
      <c r="W47" s="57"/>
      <c r="X47" s="57"/>
      <c r="Y47" s="57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60"/>
      <c r="FJ47" s="60"/>
      <c r="FK47" s="60"/>
      <c r="FL47" s="60"/>
      <c r="FM47" s="60"/>
      <c r="FN47" s="60"/>
      <c r="FO47" s="60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60"/>
      <c r="HN47" s="60"/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</row>
    <row r="48" customFormat="false" ht="24.95" hidden="false" customHeight="true" outlineLevel="0" collapsed="false">
      <c r="A48" s="4" t="s">
        <v>1</v>
      </c>
      <c r="B48" s="92" t="s">
        <v>40</v>
      </c>
      <c r="C48" s="49"/>
      <c r="D48" s="67" t="n">
        <f aca="false">INDEX('BRA Power'!$A$6:$W$500,MATCH(Summary!$B$8,'BRA Power'!$A$6:$A$500,0),16)</f>
        <v>0.178228</v>
      </c>
      <c r="E48" s="78"/>
      <c r="F48" s="52"/>
      <c r="G48" s="71" t="n">
        <f aca="false">INDEX('BRA Power'!$A$6:$W$500,MATCH(Summary!$B$8,'BRA Power'!$A$6:$A$500,0),17)</f>
        <v>0.0501202187449956</v>
      </c>
      <c r="H48" s="78"/>
      <c r="I48" s="53"/>
      <c r="J48" s="44"/>
      <c r="K48" s="53"/>
      <c r="L48" s="79"/>
      <c r="M48" s="55"/>
      <c r="N48" s="61" t="n">
        <f aca="false">INDEX('BRA Power'!$A$6:$W$500,MATCH(Summary!$B$8,'BRA Power'!$A$6:$A$500,0),19)</f>
        <v>6.654</v>
      </c>
      <c r="O48" s="61" t="n">
        <f aca="false">'BRA Power'!T$3</f>
        <v>-1078.625</v>
      </c>
      <c r="P48" s="61" t="n">
        <f aca="false">INDEX('BRA Power'!$A$6:$W$500,MATCH(Summary!$B$8,'BRA Power'!$A$6:$A$500,0),21)</f>
        <v>-1069.449</v>
      </c>
      <c r="Q48" s="61" t="n">
        <f aca="false">INDEX('BRA Power'!$A$6:$W$500,MATCH(Summary!$B$8,'BRA Power'!$A$6:$A$500,0),22)</f>
        <v>-1069.449</v>
      </c>
      <c r="R48" s="61" t="n">
        <f aca="false">INDEX('BRA Power'!$A$6:$W$500,MATCH(Summary!$B$8,'BRA Power'!$A$6:$A$500,0),23)</f>
        <v>23373.889</v>
      </c>
      <c r="S48" s="74"/>
      <c r="T48" s="57"/>
      <c r="U48" s="57"/>
      <c r="V48" s="57"/>
      <c r="W48" s="57"/>
      <c r="X48" s="57"/>
      <c r="Y48" s="57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</row>
    <row r="49" customFormat="false" ht="21.75" hidden="false" customHeight="true" outlineLevel="0" collapsed="false">
      <c r="A49" s="4" t="s">
        <v>1</v>
      </c>
      <c r="B49" s="94"/>
      <c r="C49" s="95"/>
      <c r="D49" s="96"/>
      <c r="E49" s="79"/>
      <c r="F49" s="59"/>
      <c r="G49" s="57"/>
      <c r="H49" s="79"/>
      <c r="I49" s="60"/>
      <c r="J49" s="44"/>
      <c r="K49" s="60"/>
      <c r="L49" s="79"/>
      <c r="M49" s="55"/>
      <c r="N49" s="56"/>
      <c r="O49" s="98"/>
      <c r="P49" s="98"/>
      <c r="Q49" s="56"/>
      <c r="R49" s="56"/>
      <c r="S49" s="57"/>
      <c r="T49" s="57"/>
      <c r="U49" s="57"/>
      <c r="V49" s="57"/>
      <c r="W49" s="57"/>
      <c r="X49" s="57"/>
      <c r="Y49" s="57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</row>
    <row r="50" customFormat="false" ht="21.75" hidden="true" customHeight="true" outlineLevel="0" collapsed="false">
      <c r="A50" s="4"/>
      <c r="B50" s="94"/>
      <c r="C50" s="95"/>
      <c r="D50" s="96"/>
      <c r="E50" s="79"/>
      <c r="F50" s="59"/>
      <c r="G50" s="57"/>
      <c r="H50" s="79"/>
      <c r="I50" s="60"/>
      <c r="J50" s="44"/>
      <c r="K50" s="60"/>
      <c r="L50" s="79"/>
      <c r="M50" s="55"/>
      <c r="N50" s="56"/>
      <c r="O50" s="98"/>
      <c r="P50" s="98"/>
      <c r="Q50" s="56"/>
      <c r="R50" s="56"/>
      <c r="S50" s="57"/>
      <c r="T50" s="57"/>
      <c r="U50" s="57"/>
      <c r="V50" s="57"/>
      <c r="W50" s="57"/>
      <c r="X50" s="57"/>
      <c r="Y50" s="57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</row>
    <row r="51" customFormat="false" ht="30" hidden="false" customHeight="true" outlineLevel="0" collapsed="false">
      <c r="A51" s="4" t="s">
        <v>1</v>
      </c>
      <c r="B51" s="72" t="s">
        <v>46</v>
      </c>
      <c r="C51" s="95"/>
      <c r="D51" s="96"/>
      <c r="E51" s="79"/>
      <c r="F51" s="59"/>
      <c r="G51" s="57"/>
      <c r="H51" s="79"/>
      <c r="I51" s="60"/>
      <c r="J51" s="44"/>
      <c r="K51" s="60"/>
      <c r="L51" s="79"/>
      <c r="M51" s="55"/>
      <c r="N51" s="46" t="n">
        <f aca="false">SUM(N52:N53)</f>
        <v>0</v>
      </c>
      <c r="O51" s="46" t="n">
        <f aca="false">SUM(O52:O53)</f>
        <v>0</v>
      </c>
      <c r="P51" s="46" t="n">
        <f aca="false">SUM(P52:P53)</f>
        <v>0</v>
      </c>
      <c r="Q51" s="46" t="n">
        <f aca="false">SUM(Q52:Q53)</f>
        <v>0</v>
      </c>
      <c r="R51" s="46" t="n">
        <f aca="false">SUM(R52:R53)</f>
        <v>-438.987</v>
      </c>
      <c r="S51" s="57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</row>
    <row r="52" customFormat="false" ht="24.75" hidden="false" customHeight="true" outlineLevel="0" collapsed="false">
      <c r="A52" s="4" t="s">
        <v>1</v>
      </c>
      <c r="B52" s="77" t="s">
        <v>47</v>
      </c>
      <c r="C52" s="74"/>
      <c r="D52" s="50"/>
      <c r="E52" s="51"/>
      <c r="F52" s="59"/>
      <c r="G52" s="50"/>
      <c r="H52" s="51"/>
      <c r="I52" s="60"/>
      <c r="J52" s="54"/>
      <c r="K52" s="53" t="s">
        <v>22</v>
      </c>
      <c r="L52" s="78"/>
      <c r="M52" s="55"/>
      <c r="N52" s="61" t="n">
        <f aca="false">N57</f>
        <v>0</v>
      </c>
      <c r="O52" s="61" t="n">
        <f aca="false">O57</f>
        <v>0</v>
      </c>
      <c r="P52" s="61" t="n">
        <f aca="false">P57</f>
        <v>0</v>
      </c>
      <c r="Q52" s="61" t="n">
        <f aca="false">Q57</f>
        <v>0</v>
      </c>
      <c r="R52" s="61" t="n">
        <f aca="false">R57</f>
        <v>-1376.857</v>
      </c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  <c r="FN52" s="81"/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81"/>
      <c r="HM52" s="81"/>
      <c r="HN52" s="81"/>
      <c r="HO52" s="81"/>
      <c r="HP52" s="81"/>
      <c r="HQ52" s="81"/>
      <c r="HR52" s="81"/>
      <c r="HS52" s="81"/>
      <c r="HT52" s="81"/>
      <c r="HU52" s="81"/>
      <c r="HV52" s="81"/>
      <c r="HW52" s="81"/>
      <c r="HX52" s="81"/>
      <c r="HY52" s="81"/>
      <c r="HZ52" s="81"/>
      <c r="IA52" s="81"/>
      <c r="IB52" s="81"/>
      <c r="IC52" s="81"/>
      <c r="ID52" s="81"/>
      <c r="IE52" s="81"/>
      <c r="IF52" s="81"/>
      <c r="IG52" s="81"/>
      <c r="IH52" s="81"/>
      <c r="II52" s="81"/>
      <c r="IJ52" s="81"/>
      <c r="IK52" s="81"/>
      <c r="IL52" s="81"/>
      <c r="IM52" s="81"/>
      <c r="IN52" s="81"/>
      <c r="IO52" s="81"/>
      <c r="IP52" s="81"/>
      <c r="IQ52" s="81"/>
      <c r="IR52" s="81"/>
      <c r="IS52" s="81"/>
      <c r="IT52" s="81"/>
      <c r="IU52" s="81"/>
      <c r="IV52" s="81"/>
      <c r="IW52" s="81"/>
    </row>
    <row r="53" customFormat="false" ht="24" hidden="false" customHeight="true" outlineLevel="0" collapsed="false">
      <c r="A53" s="4" t="s">
        <v>1</v>
      </c>
      <c r="B53" s="77" t="s">
        <v>48</v>
      </c>
      <c r="C53" s="74"/>
      <c r="D53" s="50"/>
      <c r="E53" s="51"/>
      <c r="F53" s="59"/>
      <c r="G53" s="50"/>
      <c r="H53" s="51"/>
      <c r="I53" s="60"/>
      <c r="J53" s="54"/>
      <c r="K53" s="53" t="s">
        <v>22</v>
      </c>
      <c r="L53" s="78"/>
      <c r="M53" s="55"/>
      <c r="N53" s="61" t="n">
        <f aca="false">SUM(N54:N56)</f>
        <v>0</v>
      </c>
      <c r="O53" s="61" t="n">
        <f aca="false">SUM(O54:O56)</f>
        <v>0</v>
      </c>
      <c r="P53" s="61" t="n">
        <f aca="false">SUM(P54:P56)</f>
        <v>0</v>
      </c>
      <c r="Q53" s="61" t="n">
        <f aca="false">SUM(Q54:Q56)</f>
        <v>0</v>
      </c>
      <c r="R53" s="61" t="n">
        <f aca="false">SUM(R54:R56)</f>
        <v>937.87</v>
      </c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</row>
    <row r="54" customFormat="false" ht="21.75" hidden="true" customHeight="true" outlineLevel="0" collapsed="false">
      <c r="A54" s="4" t="s">
        <v>34</v>
      </c>
      <c r="B54" s="80" t="s">
        <v>49</v>
      </c>
      <c r="C54" s="81"/>
      <c r="D54" s="82" t="n">
        <v>0</v>
      </c>
      <c r="E54" s="83"/>
      <c r="F54" s="84"/>
      <c r="G54" s="82" t="n">
        <f aca="false">INDEX('ARG Gas IM'!$A$6:$W$500,MATCH(Summary!$B$8,'ARG Gas IM'!$A$6:$A$500,0),17)</f>
        <v>0</v>
      </c>
      <c r="H54" s="83"/>
      <c r="I54" s="81"/>
      <c r="J54" s="85" t="n">
        <f aca="false">INDEX('ARG Gas IM'!$A$6:$W$500,MATCH(Summary!$B$8,'ARG Gas IM'!$A$6:$A$500,0),18)</f>
        <v>0</v>
      </c>
      <c r="K54" s="81"/>
      <c r="L54" s="83"/>
      <c r="M54" s="86"/>
      <c r="N54" s="87" t="n">
        <f aca="false">INDEX('GNS Bolv Gas MTM'!$A$6:$W$500,MATCH(Summary!$B$8,'GNS Bolv Gas MTM'!$A$6:$A$500,0),19)</f>
        <v>0</v>
      </c>
      <c r="O54" s="87" t="n">
        <f aca="false">'GNS Bolv Gas MTM'!T$3</f>
        <v>0</v>
      </c>
      <c r="P54" s="87" t="n">
        <f aca="false">INDEX('GNS Bolv Gas MTM'!$A$6:$W$500,MATCH(Summary!$B$8,'GNS Bolv Gas MTM'!$A$6:$A$500,0),21)</f>
        <v>0</v>
      </c>
      <c r="Q54" s="87" t="n">
        <f aca="false">INDEX('GNS Bolv Gas MTM'!$A$6:$W$500,MATCH(Summary!$B$8,'GNS Bolv Gas MTM'!$A$6:$A$500,0),22)</f>
        <v>0</v>
      </c>
      <c r="R54" s="87" t="n">
        <f aca="false">INDEX('GNS Bolv Gas MTM'!$A$6:$W$500,MATCH(Summary!$B$8,'GNS Bolv Gas MTM'!$A$6:$A$500,0),23)</f>
        <v>-37.239</v>
      </c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81"/>
      <c r="HM54" s="81"/>
      <c r="HN54" s="81"/>
      <c r="HO54" s="81"/>
      <c r="HP54" s="81"/>
      <c r="HQ54" s="81"/>
      <c r="HR54" s="81"/>
      <c r="HS54" s="81"/>
      <c r="HT54" s="81"/>
      <c r="HU54" s="81"/>
      <c r="HV54" s="81"/>
      <c r="HW54" s="81"/>
      <c r="HX54" s="81"/>
      <c r="HY54" s="81"/>
      <c r="HZ54" s="81"/>
      <c r="IA54" s="81"/>
      <c r="IB54" s="81"/>
      <c r="IC54" s="81"/>
      <c r="ID54" s="81"/>
      <c r="IE54" s="81"/>
      <c r="IF54" s="81"/>
      <c r="IG54" s="81"/>
      <c r="IH54" s="81"/>
      <c r="II54" s="81"/>
      <c r="IJ54" s="81"/>
      <c r="IK54" s="81"/>
      <c r="IL54" s="81"/>
      <c r="IM54" s="81"/>
      <c r="IN54" s="81"/>
      <c r="IO54" s="81"/>
      <c r="IP54" s="81"/>
      <c r="IQ54" s="81"/>
      <c r="IR54" s="81"/>
      <c r="IS54" s="81"/>
      <c r="IT54" s="81"/>
      <c r="IU54" s="81"/>
      <c r="IV54" s="81"/>
      <c r="IW54" s="81"/>
    </row>
    <row r="55" customFormat="false" ht="21.75" hidden="true" customHeight="true" outlineLevel="0" collapsed="false">
      <c r="A55" s="4" t="s">
        <v>34</v>
      </c>
      <c r="B55" s="80" t="s">
        <v>50</v>
      </c>
      <c r="C55" s="81"/>
      <c r="D55" s="82" t="n">
        <v>0</v>
      </c>
      <c r="E55" s="83"/>
      <c r="F55" s="84"/>
      <c r="G55" s="82" t="n">
        <f aca="false">INDEX('ARG Gas IM'!$A$6:$W$500,MATCH(Summary!$B$8,'ARG Gas IM'!$A$6:$A$500,0),17)</f>
        <v>0</v>
      </c>
      <c r="H55" s="83"/>
      <c r="I55" s="81"/>
      <c r="J55" s="85" t="n">
        <f aca="false">INDEX('ARG Gas IM'!$A$6:$W$500,MATCH(Summary!$B$8,'ARG Gas IM'!$A$6:$A$500,0),18)</f>
        <v>0</v>
      </c>
      <c r="K55" s="81"/>
      <c r="L55" s="83"/>
      <c r="M55" s="86"/>
      <c r="N55" s="87" t="n">
        <f aca="false">INDEX('SC Gas MTM'!$A$6:$W$500,MATCH(Summary!$B$8,'SC Gas MTM'!$A$6:$A$500,0),19)</f>
        <v>0</v>
      </c>
      <c r="O55" s="87" t="n">
        <f aca="false">'SC Gas MTM'!T$3</f>
        <v>0</v>
      </c>
      <c r="P55" s="87" t="n">
        <f aca="false">INDEX('SC Gas MTM'!$A$6:$W$500,MATCH(Summary!$B$8,'SC Gas MTM'!$A$6:$A$500,0),21)</f>
        <v>0</v>
      </c>
      <c r="Q55" s="87" t="n">
        <f aca="false">INDEX('SC Gas MTM'!$A$6:$W$500,MATCH(Summary!$B$8,'SC Gas MTM'!$A$6:$A$500,0),22)</f>
        <v>0</v>
      </c>
      <c r="R55" s="87" t="n">
        <f aca="false">INDEX('SC Gas MTM'!$A$6:$W$500,MATCH(Summary!$B$8,'SC Gas MTM'!$A$6:$A$500,0),23)</f>
        <v>1197.025</v>
      </c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  <c r="HQ55" s="81"/>
      <c r="HR55" s="81"/>
      <c r="HS55" s="81"/>
      <c r="HT55" s="81"/>
      <c r="HU55" s="81"/>
      <c r="HV55" s="81"/>
      <c r="HW55" s="81"/>
      <c r="HX55" s="81"/>
      <c r="HY55" s="81"/>
      <c r="HZ55" s="81"/>
      <c r="IA55" s="81"/>
      <c r="IB55" s="81"/>
      <c r="IC55" s="81"/>
      <c r="ID55" s="81"/>
      <c r="IE55" s="81"/>
      <c r="IF55" s="81"/>
      <c r="IG55" s="81"/>
      <c r="IH55" s="81"/>
      <c r="II55" s="81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81"/>
      <c r="IU55" s="81"/>
      <c r="IV55" s="81"/>
      <c r="IW55" s="81"/>
    </row>
    <row r="56" customFormat="false" ht="21.75" hidden="true" customHeight="true" outlineLevel="0" collapsed="false">
      <c r="A56" s="4" t="s">
        <v>34</v>
      </c>
      <c r="B56" s="80" t="s">
        <v>51</v>
      </c>
      <c r="C56" s="81"/>
      <c r="D56" s="82" t="n">
        <v>0</v>
      </c>
      <c r="E56" s="83"/>
      <c r="F56" s="84"/>
      <c r="G56" s="82" t="n">
        <f aca="false">INDEX('ARG Gas IM'!$A$6:$W$500,MATCH(Summary!$B$8,'ARG Gas IM'!$A$6:$A$500,0),17)</f>
        <v>0</v>
      </c>
      <c r="H56" s="83"/>
      <c r="I56" s="81"/>
      <c r="J56" s="85" t="n">
        <f aca="false">INDEX('ARG Gas IM'!$A$6:$W$500,MATCH(Summary!$B$8,'ARG Gas IM'!$A$6:$A$500,0),18)</f>
        <v>0</v>
      </c>
      <c r="K56" s="81"/>
      <c r="L56" s="83"/>
      <c r="M56" s="86"/>
      <c r="N56" s="87" t="n">
        <f aca="false">INDEX('TBS Gas MTM'!$A$6:$W$500,MATCH(Summary!$B$8,'TBS Gas MTM'!$A$6:$A$500,0),19)</f>
        <v>0</v>
      </c>
      <c r="O56" s="87" t="n">
        <f aca="false">'TBS Gas MTM'!T$3</f>
        <v>0</v>
      </c>
      <c r="P56" s="87" t="n">
        <f aca="false">INDEX('TBS Gas MTM'!$A$6:$W$500,MATCH(Summary!$B$8,'TBS Gas MTM'!$A$6:$A$500,0),21)</f>
        <v>0</v>
      </c>
      <c r="Q56" s="87" t="n">
        <f aca="false">INDEX('TBS Gas MTM'!$A$6:$W$500,MATCH(Summary!$B$8,'TBS Gas MTM'!$A$6:$A$500,0),22)</f>
        <v>0</v>
      </c>
      <c r="R56" s="87" t="n">
        <f aca="false">INDEX('TBS Gas MTM'!$A$6:$W$500,MATCH(Summary!$B$8,'TBS Gas MTM'!$A$6:$A$500,0),23)</f>
        <v>-221.916</v>
      </c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  <c r="FN56" s="81"/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81"/>
      <c r="HM56" s="81"/>
      <c r="HN56" s="81"/>
      <c r="HO56" s="81"/>
      <c r="HP56" s="81"/>
      <c r="HQ56" s="81"/>
      <c r="HR56" s="81"/>
      <c r="HS56" s="81"/>
      <c r="HT56" s="81"/>
      <c r="HU56" s="81"/>
      <c r="HV56" s="81"/>
      <c r="HW56" s="81"/>
      <c r="HX56" s="81"/>
      <c r="HY56" s="81"/>
      <c r="HZ56" s="81"/>
      <c r="IA56" s="81"/>
      <c r="IB56" s="81"/>
      <c r="IC56" s="81"/>
      <c r="ID56" s="81"/>
      <c r="IE56" s="81"/>
      <c r="IF56" s="81"/>
      <c r="IG56" s="81"/>
      <c r="IH56" s="81"/>
      <c r="II56" s="81"/>
      <c r="IJ56" s="81"/>
      <c r="IK56" s="81"/>
      <c r="IL56" s="81"/>
      <c r="IM56" s="81"/>
      <c r="IN56" s="81"/>
      <c r="IO56" s="81"/>
      <c r="IP56" s="81"/>
      <c r="IQ56" s="81"/>
      <c r="IR56" s="81"/>
      <c r="IS56" s="81"/>
      <c r="IT56" s="81"/>
      <c r="IU56" s="81"/>
      <c r="IV56" s="81"/>
      <c r="IW56" s="81"/>
    </row>
    <row r="57" customFormat="false" ht="21.75" hidden="true" customHeight="true" outlineLevel="0" collapsed="false">
      <c r="A57" s="4" t="s">
        <v>34</v>
      </c>
      <c r="B57" s="80" t="s">
        <v>52</v>
      </c>
      <c r="C57" s="81"/>
      <c r="D57" s="82" t="n">
        <v>0</v>
      </c>
      <c r="E57" s="83"/>
      <c r="F57" s="84"/>
      <c r="G57" s="82" t="n">
        <f aca="false">INDEX('ARG Gas IM'!$A$6:$W$500,MATCH(Summary!$B$8,'ARG Gas IM'!$A$6:$A$500,0),17)</f>
        <v>0</v>
      </c>
      <c r="H57" s="83"/>
      <c r="I57" s="81"/>
      <c r="J57" s="85" t="n">
        <f aca="false">INDEX('ARG Gas IM'!$A$6:$W$500,MATCH(Summary!$B$8,'ARG Gas IM'!$A$6:$A$500,0),18)</f>
        <v>0</v>
      </c>
      <c r="K57" s="81"/>
      <c r="L57" s="83"/>
      <c r="M57" s="86"/>
      <c r="N57" s="87" t="n">
        <f aca="false">INDEX('TBS CRD MTM'!$A$6:$W$500,MATCH(Summary!$B$8,'TBS CRD MTM'!$A$6:$A$500,0),19)</f>
        <v>0</v>
      </c>
      <c r="O57" s="87" t="n">
        <f aca="false">'TBS CRD MTM'!T$3</f>
        <v>0</v>
      </c>
      <c r="P57" s="87" t="n">
        <f aca="false">INDEX('TBS CRD MTM'!$A$6:$W$500,MATCH(Summary!$B$8,'TBS CRD MTM'!$A$6:$A$500,0),21)</f>
        <v>0</v>
      </c>
      <c r="Q57" s="87" t="n">
        <f aca="false">INDEX('TBS CRD MTM'!$A$6:$W$500,MATCH(Summary!$B$8,'TBS CRD MTM'!$A$6:$A$500,0),22)</f>
        <v>0</v>
      </c>
      <c r="R57" s="87" t="n">
        <f aca="false">INDEX('TBS CRD MTM'!$A$6:$W$500,MATCH(Summary!$B$8,'TBS CRD MTM'!$A$6:$A$500,0),23)</f>
        <v>-1376.857</v>
      </c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  <c r="FN57" s="81"/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81"/>
      <c r="HA57" s="81"/>
      <c r="HB57" s="81"/>
      <c r="HC57" s="81"/>
      <c r="HD57" s="81"/>
      <c r="HE57" s="81"/>
      <c r="HF57" s="81"/>
      <c r="HG57" s="81"/>
      <c r="HH57" s="81"/>
      <c r="HI57" s="81"/>
      <c r="HJ57" s="81"/>
      <c r="HK57" s="81"/>
      <c r="HL57" s="81"/>
      <c r="HM57" s="81"/>
      <c r="HN57" s="81"/>
      <c r="HO57" s="81"/>
      <c r="HP57" s="81"/>
      <c r="HQ57" s="81"/>
      <c r="HR57" s="81"/>
      <c r="HS57" s="81"/>
      <c r="HT57" s="81"/>
      <c r="HU57" s="81"/>
      <c r="HV57" s="81"/>
      <c r="HW57" s="81"/>
      <c r="HX57" s="81"/>
      <c r="HY57" s="81"/>
      <c r="HZ57" s="81"/>
      <c r="IA57" s="81"/>
      <c r="IB57" s="81"/>
      <c r="IC57" s="81"/>
      <c r="ID57" s="81"/>
      <c r="IE57" s="81"/>
      <c r="IF57" s="81"/>
      <c r="IG57" s="81"/>
      <c r="IH57" s="81"/>
      <c r="II57" s="81"/>
      <c r="IJ57" s="81"/>
      <c r="IK57" s="81"/>
      <c r="IL57" s="81"/>
      <c r="IM57" s="81"/>
      <c r="IN57" s="81"/>
      <c r="IO57" s="81"/>
      <c r="IP57" s="81"/>
      <c r="IQ57" s="81"/>
      <c r="IR57" s="81"/>
      <c r="IS57" s="81"/>
      <c r="IT57" s="81"/>
      <c r="IU57" s="81"/>
      <c r="IV57" s="81"/>
      <c r="IW57" s="81"/>
    </row>
    <row r="58" customFormat="false" ht="15.75" hidden="false" customHeight="false" outlineLevel="0" collapsed="false">
      <c r="D58" s="107"/>
      <c r="E58" s="107"/>
      <c r="F58" s="40"/>
      <c r="G58" s="107"/>
      <c r="H58" s="107"/>
      <c r="I58" s="107"/>
      <c r="J58" s="107"/>
    </row>
    <row r="59" customFormat="false" ht="15.75" hidden="false" customHeight="false" outlineLevel="0" collapsed="false">
      <c r="D59" s="107"/>
      <c r="E59" s="107"/>
      <c r="F59" s="40"/>
      <c r="G59" s="107"/>
      <c r="H59" s="107"/>
      <c r="I59" s="107"/>
      <c r="J59" s="107"/>
    </row>
  </sheetData>
  <autoFilter ref="A1:T57">
    <filterColumn colId="0">
      <filters>
        <filter val="y"/>
      </filters>
    </filterColumn>
  </autoFilter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I3" s="134"/>
      <c r="K3" s="116" t="n">
        <f aca="false">Summary!B8</f>
        <v>37081</v>
      </c>
      <c r="L3" s="117" t="n">
        <f aca="false">SUM(L6:L371)</f>
        <v>60548</v>
      </c>
      <c r="P3" s="112" t="n">
        <v>1000000</v>
      </c>
      <c r="Q3" s="112"/>
      <c r="R3" s="112" t="n">
        <v>1000</v>
      </c>
      <c r="S3" s="109"/>
      <c r="T3" s="118" t="n">
        <f aca="false">SUM(T6:T371)</f>
        <v>60.548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Data'!$A$2:$B$8,MATCH(WEEKDAY('Rio Cuarto Power Trading'!A6,3),'Master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Data'!$A$2:$B$8,MATCH(WEEKDAY('Rio Cuarto Power Trading'!A7,3),'Master Data'!$A$2:$A$8,0),2)</f>
        <v>T</v>
      </c>
      <c r="D7" s="112" t="n">
        <v>0</v>
      </c>
      <c r="E7" s="112" t="n">
        <v>0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0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Data'!$A$2:$B$8,MATCH(WEEKDAY('Rio Cuarto Power Trading'!A8,3),'Master Data'!$A$2:$A$8,0),2)</f>
        <v>W</v>
      </c>
      <c r="D8" s="112" t="n">
        <v>0</v>
      </c>
      <c r="E8" s="112" t="n">
        <v>0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Data'!$A$2:$B$8,MATCH(WEEKDAY('Rio Cuarto Power Trading'!A9,3),'Master Data'!$A$2:$A$8,0),2)</f>
        <v>Th</v>
      </c>
      <c r="D9" s="112" t="n">
        <v>0</v>
      </c>
      <c r="E9" s="112" t="n">
        <v>0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0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Data'!$A$2:$B$8,MATCH(WEEKDAY('Rio Cuarto Power Trading'!A10,3),'Master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Data'!$A$2:$B$8,MATCH(WEEKDAY('Rio Cuarto Power Trading'!A11,3),'Master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Data'!$A$2:$B$8,MATCH(WEEKDAY('Rio Cuarto Power Trading'!A12,3),'Master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Data'!$A$2:$B$8,MATCH(WEEKDAY('Rio Cuarto Power Trading'!A13,3),'Master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Data'!$A$2:$B$8,MATCH(WEEKDAY('Rio Cuarto Power Trading'!A14,3),'Master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Data'!$A$2:$B$8,MATCH(WEEKDAY('Rio Cuarto Power Trading'!A15,3),'Master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Data'!$A$2:$B$8,MATCH(WEEKDAY('Rio Cuarto Power Trading'!A16,3),'Master Data'!$A$2:$A$8,0),2)</f>
        <v>Th</v>
      </c>
      <c r="D16" s="112" t="n">
        <v>0</v>
      </c>
      <c r="E16" s="112" t="n">
        <v>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Data'!$A$2:$B$8,MATCH(WEEKDAY('Rio Cuarto Power Trading'!A17,3),'Master Data'!$A$2:$A$8,0),2)</f>
        <v>F</v>
      </c>
      <c r="D17" s="112" t="n">
        <v>0</v>
      </c>
      <c r="E17" s="112" t="n">
        <v>0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Data'!$A$2:$B$8,MATCH(WEEKDAY('Rio Cuarto Power Trading'!A18,3),'Master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Data'!$A$2:$B$8,MATCH(WEEKDAY('Rio Cuarto Power Trading'!A19,3),'Master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Data'!$A$2:$B$8,MATCH(WEEKDAY('Rio Cuarto Power Trading'!A20,3),'Master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Data'!$A$2:$B$8,MATCH(WEEKDAY('Rio Cuarto Power Trading'!A21,3),'Master Data'!$A$2:$A$8,0),2)</f>
        <v>T</v>
      </c>
      <c r="D21" s="112" t="n">
        <v>0</v>
      </c>
      <c r="E21" s="112" t="n">
        <v>0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Data'!$A$2:$B$8,MATCH(WEEKDAY('Rio Cuarto Power Trading'!A22,3),'Master Data'!$A$2:$A$8,0),2)</f>
        <v>W</v>
      </c>
      <c r="D22" s="112" t="n">
        <v>0</v>
      </c>
      <c r="E22" s="112" t="n">
        <v>0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Data'!$A$2:$B$8,MATCH(WEEKDAY('Rio Cuarto Power Trading'!A23,3),'Master Data'!$A$2:$A$8,0),2)</f>
        <v>Th</v>
      </c>
      <c r="D23" s="112" t="n">
        <v>0</v>
      </c>
      <c r="E23" s="112" t="n">
        <v>0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Data'!$A$2:$B$8,MATCH(WEEKDAY('Rio Cuarto Power Trading'!A24,3),'Master Data'!$A$2:$A$8,0),2)</f>
        <v>F</v>
      </c>
      <c r="D24" s="112" t="n">
        <v>0</v>
      </c>
      <c r="E24" s="112" t="n">
        <v>0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Data'!$A$2:$B$8,MATCH(WEEKDAY('Rio Cuarto Power Trading'!A25,3),'Master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Data'!$A$2:$B$8,MATCH(WEEKDAY('Rio Cuarto Power Trading'!A26,3),'Master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Data'!$A$2:$B$8,MATCH(WEEKDAY('Rio Cuarto Power Trading'!A27,3),'Master Data'!$A$2:$A$8,0),2)</f>
        <v>M</v>
      </c>
      <c r="D27" s="112" t="n">
        <v>0</v>
      </c>
      <c r="E27" s="112" t="n">
        <v>0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Data'!$A$2:$B$8,MATCH(WEEKDAY('Rio Cuarto Power Trading'!A28,3),'Master Data'!$A$2:$A$8,0),2)</f>
        <v>T</v>
      </c>
      <c r="D28" s="112" t="n">
        <v>0</v>
      </c>
      <c r="E28" s="112" t="n">
        <v>0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Data'!$A$2:$B$8,MATCH(WEEKDAY('Rio Cuarto Power Trading'!A29,3),'Master Data'!$A$2:$A$8,0),2)</f>
        <v>W</v>
      </c>
      <c r="D29" s="112" t="n">
        <v>0</v>
      </c>
      <c r="E29" s="112" t="n">
        <v>0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Data'!$A$2:$B$8,MATCH(WEEKDAY('Rio Cuarto Power Trading'!A30,3),'Master Data'!$A$2:$A$8,0),2)</f>
        <v>Th</v>
      </c>
      <c r="D30" s="112" t="n">
        <v>0</v>
      </c>
      <c r="E30" s="112" t="n">
        <v>0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Data'!$A$2:$B$8,MATCH(WEEKDAY('Rio Cuarto Power Trading'!A31,3),'Master Data'!$A$2:$A$8,0),2)</f>
        <v>F</v>
      </c>
      <c r="D31" s="112" t="n">
        <v>0</v>
      </c>
      <c r="E31" s="112" t="n">
        <v>0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Data'!$A$2:$B$8,MATCH(WEEKDAY('Rio Cuarto Power Trading'!A32,3),'Master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Data'!$A$2:$B$8,MATCH(WEEKDAY('Rio Cuarto Power Trading'!A33,3),'Master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Data'!$A$2:$B$8,MATCH(WEEKDAY('Rio Cuarto Power Trading'!A34,3),'Master Data'!$A$2:$A$8,0),2)</f>
        <v>M</v>
      </c>
      <c r="D34" s="112" t="n">
        <v>0</v>
      </c>
      <c r="E34" s="112" t="n">
        <v>0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Data'!$A$2:$B$8,MATCH(WEEKDAY('Rio Cuarto Power Trading'!A35,3),'Master Data'!$A$2:$A$8,0),2)</f>
        <v>T</v>
      </c>
      <c r="D35" s="112" t="n">
        <v>0</v>
      </c>
      <c r="E35" s="112" t="n">
        <v>0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true" customHeight="false" outlineLevel="0" collapsed="false">
      <c r="A36" s="108" t="n">
        <f aca="false">A35+1</f>
        <v>36922</v>
      </c>
      <c r="B36" s="119" t="str">
        <f aca="false">INDEX('Master Data'!$A$2:$B$8,MATCH(WEEKDAY('Rio Cuarto Power Trading'!A36,3),'Master Data'!$A$2:$A$8,0),2)</f>
        <v>W</v>
      </c>
      <c r="D36" s="112" t="n">
        <v>0</v>
      </c>
      <c r="E36" s="112" t="n">
        <v>0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Data'!$A$2:$B$8,MATCH(WEEKDAY('Rio Cuarto Power Trading'!A37,3),'Master Data'!$A$2:$A$8,0),2)</f>
        <v>Th</v>
      </c>
      <c r="D37" s="112" t="n">
        <v>0</v>
      </c>
      <c r="E37" s="112" t="n">
        <v>0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Data'!$A$2:$B$8,MATCH(WEEKDAY('Rio Cuarto Power Trading'!A38,3),'Master Data'!$A$2:$A$8,0),2)</f>
        <v>F</v>
      </c>
      <c r="D38" s="112" t="n">
        <v>0</v>
      </c>
      <c r="E38" s="112" t="n">
        <v>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Data'!$A$2:$B$8,MATCH(WEEKDAY('Rio Cuarto Power Trading'!A39,3),'Master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Data'!$A$2:$B$8,MATCH(WEEKDAY('Rio Cuarto Power Trading'!A40,3),'Master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Data'!$A$2:$B$8,MATCH(WEEKDAY('Rio Cuarto Power Trading'!A41,3),'Master Data'!$A$2:$A$8,0),2)</f>
        <v>M</v>
      </c>
      <c r="D41" s="112" t="n">
        <v>0</v>
      </c>
      <c r="E41" s="112" t="n">
        <v>0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Data'!$A$2:$B$8,MATCH(WEEKDAY('Rio Cuarto Power Trading'!A42,3),'Master Data'!$A$2:$A$8,0),2)</f>
        <v>T</v>
      </c>
      <c r="D42" s="112" t="n">
        <v>0</v>
      </c>
      <c r="E42" s="112" t="n">
        <v>0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Data'!$A$2:$B$8,MATCH(WEEKDAY('Rio Cuarto Power Trading'!A43,3),'Master Data'!$A$2:$A$8,0),2)</f>
        <v>W</v>
      </c>
      <c r="D43" s="112" t="n">
        <v>0</v>
      </c>
      <c r="E43" s="112" t="n">
        <v>0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Data'!$A$2:$B$8,MATCH(WEEKDAY('Rio Cuarto Power Trading'!A44,3),'Master Data'!$A$2:$A$8,0),2)</f>
        <v>Th</v>
      </c>
      <c r="D44" s="112" t="n">
        <v>0</v>
      </c>
      <c r="E44" s="112" t="n">
        <v>0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Data'!$A$2:$B$8,MATCH(WEEKDAY('Rio Cuarto Power Trading'!A45,3),'Master Data'!$A$2:$A$8,0),2)</f>
        <v>F</v>
      </c>
      <c r="D45" s="112" t="n">
        <v>0</v>
      </c>
      <c r="E45" s="112" t="n">
        <v>0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Data'!$A$2:$B$8,MATCH(WEEKDAY('Rio Cuarto Power Trading'!A46,3),'Master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Data'!$A$2:$B$8,MATCH(WEEKDAY('Rio Cuarto Power Trading'!A47,3),'Master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Data'!$A$2:$B$8,MATCH(WEEKDAY('Rio Cuarto Power Trading'!A48,3),'Master Data'!$A$2:$A$8,0),2)</f>
        <v>M</v>
      </c>
      <c r="D48" s="112" t="n">
        <v>0</v>
      </c>
      <c r="E48" s="112" t="n">
        <v>0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Data'!$A$2:$B$8,MATCH(WEEKDAY('Rio Cuarto Power Trading'!A49,3),'Master Data'!$A$2:$A$8,0),2)</f>
        <v>T</v>
      </c>
      <c r="D49" s="112" t="n">
        <v>0</v>
      </c>
      <c r="E49" s="112" t="n">
        <v>0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Data'!$A$2:$B$8,MATCH(WEEKDAY('Rio Cuarto Power Trading'!A50,3),'Master Data'!$A$2:$A$8,0),2)</f>
        <v>W</v>
      </c>
      <c r="D50" s="112" t="n">
        <v>0</v>
      </c>
      <c r="E50" s="112" t="n">
        <v>0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Data'!$A$2:$B$8,MATCH(WEEKDAY('Rio Cuarto Power Trading'!A51,3),'Master Data'!$A$2:$A$8,0),2)</f>
        <v>Th</v>
      </c>
      <c r="D51" s="112" t="n">
        <v>0</v>
      </c>
      <c r="E51" s="112" t="n">
        <v>0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Data'!$A$2:$B$8,MATCH(WEEKDAY('Rio Cuarto Power Trading'!A52,3),'Master Data'!$A$2:$A$8,0),2)</f>
        <v>F</v>
      </c>
      <c r="D52" s="112" t="n">
        <v>0</v>
      </c>
      <c r="E52" s="112" t="n">
        <v>0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Data'!$A$2:$B$8,MATCH(WEEKDAY('Rio Cuarto Power Trading'!A53,3),'Master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Data'!$A$2:$B$8,MATCH(WEEKDAY('Rio Cuarto Power Trading'!A54,3),'Master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Data'!$A$2:$B$8,MATCH(WEEKDAY('Rio Cuarto Power Trading'!A55,3),'Master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Data'!$A$2:$B$8,MATCH(WEEKDAY('Rio Cuarto Power Trading'!A56,3),'Master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Data'!$A$2:$B$8,MATCH(WEEKDAY('Rio Cuarto Power Trading'!A57,3),'Master Data'!$A$2:$A$8,0),2)</f>
        <v>W</v>
      </c>
      <c r="D57" s="112" t="n">
        <v>0</v>
      </c>
      <c r="E57" s="112" t="n">
        <v>0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Data'!$A$2:$B$8,MATCH(WEEKDAY('Rio Cuarto Power Trading'!A58,3),'Master Data'!$A$2:$A$8,0),2)</f>
        <v>Th</v>
      </c>
      <c r="D58" s="112" t="n">
        <v>0</v>
      </c>
      <c r="E58" s="112" t="n">
        <v>0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Data'!$A$2:$B$8,MATCH(WEEKDAY('Rio Cuarto Power Trading'!A59,3),'Master Data'!$A$2:$A$8,0),2)</f>
        <v>F</v>
      </c>
      <c r="D59" s="112" t="n">
        <v>0</v>
      </c>
      <c r="E59" s="112" t="n">
        <v>0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Data'!$A$2:$B$8,MATCH(WEEKDAY('Rio Cuarto Power Trading'!A60,3),'Master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Data'!$A$2:$B$8,MATCH(WEEKDAY('Rio Cuarto Power Trading'!A61,3),'Master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Data'!$A$2:$B$8,MATCH(WEEKDAY('Rio Cuarto Power Trading'!A62,3),'Master Data'!$A$2:$A$8,0),2)</f>
        <v>M</v>
      </c>
      <c r="D62" s="112" t="n">
        <v>0</v>
      </c>
      <c r="E62" s="112" t="n">
        <v>0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Data'!$A$2:$B$8,MATCH(WEEKDAY('Rio Cuarto Power Trading'!A63,3),'Master Data'!$A$2:$A$8,0),2)</f>
        <v>T</v>
      </c>
      <c r="D63" s="112" t="n">
        <v>0</v>
      </c>
      <c r="E63" s="112" t="n">
        <v>0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true" customHeight="false" outlineLevel="0" collapsed="false">
      <c r="A64" s="108" t="n">
        <f aca="false">A63+1</f>
        <v>36950</v>
      </c>
      <c r="B64" s="119" t="str">
        <f aca="false">INDEX('Master Data'!$A$2:$B$8,MATCH(WEEKDAY('Rio Cuarto Power Trading'!A64,3),'Master Data'!$A$2:$A$8,0),2)</f>
        <v>W</v>
      </c>
      <c r="D64" s="112" t="n">
        <v>0</v>
      </c>
      <c r="E64" s="112" t="n">
        <v>0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Data'!$A$2:$B$8,MATCH(WEEKDAY('Rio Cuarto Power Trading'!A65,3),'Master Data'!$A$2:$A$8,0),2)</f>
        <v>Th</v>
      </c>
      <c r="D65" s="112" t="n">
        <v>0</v>
      </c>
      <c r="E65" s="112" t="n">
        <v>0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Data'!$A$2:$B$8,MATCH(WEEKDAY('Rio Cuarto Power Trading'!A66,3),'Master Data'!$A$2:$A$8,0),2)</f>
        <v>F</v>
      </c>
      <c r="D66" s="112" t="n">
        <v>0</v>
      </c>
      <c r="E66" s="112" t="n">
        <v>0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Data'!$A$2:$B$8,MATCH(WEEKDAY('Rio Cuarto Power Trading'!A67,3),'Master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Data'!$A$2:$B$8,MATCH(WEEKDAY('Rio Cuarto Power Trading'!A68,3),'Master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Data'!$A$2:$B$8,MATCH(WEEKDAY('Rio Cuarto Power Trading'!A69,3),'Master Data'!$A$2:$A$8,0),2)</f>
        <v>M</v>
      </c>
      <c r="D69" s="112" t="n">
        <v>0</v>
      </c>
      <c r="E69" s="112" t="n">
        <v>0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Data'!$A$2:$B$8,MATCH(WEEKDAY('Rio Cuarto Power Trading'!A70,3),'Master Data'!$A$2:$A$8,0),2)</f>
        <v>T</v>
      </c>
      <c r="D70" s="112" t="n">
        <v>0</v>
      </c>
      <c r="E70" s="112" t="n">
        <v>0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Data'!$A$2:$B$8,MATCH(WEEKDAY('Rio Cuarto Power Trading'!A71,3),'Master Data'!$A$2:$A$8,0),2)</f>
        <v>W</v>
      </c>
      <c r="D71" s="112" t="n">
        <v>0</v>
      </c>
      <c r="E71" s="112" t="n">
        <v>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Data'!$A$2:$B$8,MATCH(WEEKDAY('Rio Cuarto Power Trading'!A72,3),'Master Data'!$A$2:$A$8,0),2)</f>
        <v>Th</v>
      </c>
      <c r="D72" s="112" t="n">
        <v>0</v>
      </c>
      <c r="E72" s="112" t="n">
        <v>0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Data'!$A$2:$B$8,MATCH(WEEKDAY('Rio Cuarto Power Trading'!A73,3),'Master Data'!$A$2:$A$8,0),2)</f>
        <v>F</v>
      </c>
      <c r="D73" s="112" t="n">
        <v>0</v>
      </c>
      <c r="E73" s="112" t="n">
        <v>0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Data'!$A$2:$B$8,MATCH(WEEKDAY('Rio Cuarto Power Trading'!A74,3),'Master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Data'!$A$2:$B$8,MATCH(WEEKDAY('Rio Cuarto Power Trading'!A75,3),'Master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Data'!$A$2:$B$8,MATCH(WEEKDAY('Rio Cuarto Power Trading'!A76,3),'Master Data'!$A$2:$A$8,0),2)</f>
        <v>M</v>
      </c>
      <c r="D76" s="112" t="n">
        <v>0</v>
      </c>
      <c r="E76" s="112" t="n">
        <v>0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Data'!$A$2:$B$8,MATCH(WEEKDAY('Rio Cuarto Power Trading'!A77,3),'Master Data'!$A$2:$A$8,0),2)</f>
        <v>T</v>
      </c>
      <c r="D77" s="112" t="n">
        <v>0</v>
      </c>
      <c r="E77" s="112" t="n">
        <v>0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Data'!$A$2:$B$8,MATCH(WEEKDAY('Rio Cuarto Power Trading'!A78,3),'Master Data'!$A$2:$A$8,0),2)</f>
        <v>W</v>
      </c>
      <c r="D78" s="112" t="n">
        <v>0</v>
      </c>
      <c r="E78" s="112" t="n">
        <v>0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Data'!$A$2:$B$8,MATCH(WEEKDAY('Rio Cuarto Power Trading'!A79,3),'Master Data'!$A$2:$A$8,0),2)</f>
        <v>Th</v>
      </c>
      <c r="D79" s="112" t="n">
        <v>0</v>
      </c>
      <c r="E79" s="112" t="n">
        <v>0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Data'!$A$2:$B$8,MATCH(WEEKDAY('Rio Cuarto Power Trading'!A80,3),'Master Data'!$A$2:$A$8,0),2)</f>
        <v>F</v>
      </c>
      <c r="D80" s="112" t="n">
        <v>0</v>
      </c>
      <c r="E80" s="112" t="n">
        <v>0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Data'!$A$2:$B$8,MATCH(WEEKDAY('Rio Cuarto Power Trading'!A81,3),'Master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Data'!$A$2:$B$8,MATCH(WEEKDAY('Rio Cuarto Power Trading'!A82,3),'Master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Data'!$A$2:$B$8,MATCH(WEEKDAY('Rio Cuarto Power Trading'!A83,3),'Master Data'!$A$2:$A$8,0),2)</f>
        <v>M</v>
      </c>
      <c r="D83" s="112" t="n">
        <v>0</v>
      </c>
      <c r="E83" s="112" t="n">
        <v>0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Data'!$A$2:$B$8,MATCH(WEEKDAY('Rio Cuarto Power Trading'!A84,3),'Master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Data'!$A$2:$B$8,MATCH(WEEKDAY('Rio Cuarto Power Trading'!A85,3),'Master Data'!$A$2:$A$8,0),2)</f>
        <v>W</v>
      </c>
      <c r="D85" s="112" t="n">
        <v>0</v>
      </c>
      <c r="E85" s="112" t="n">
        <v>0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Data'!$A$2:$B$8,MATCH(WEEKDAY('Rio Cuarto Power Trading'!A86,3),'Master Data'!$A$2:$A$8,0),2)</f>
        <v>Th</v>
      </c>
      <c r="D86" s="112" t="n">
        <v>0</v>
      </c>
      <c r="E86" s="112" t="n">
        <v>0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Data'!$A$2:$B$8,MATCH(WEEKDAY('Rio Cuarto Power Trading'!A87,3),'Master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Data'!$A$2:$B$8,MATCH(WEEKDAY('Rio Cuarto Power Trading'!A88,3),'Master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Data'!$A$2:$B$8,MATCH(WEEKDAY('Rio Cuarto Power Trading'!A89,3),'Master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Data'!$A$2:$B$8,MATCH(WEEKDAY('Rio Cuarto Power Trading'!A90,3),'Master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Data'!$A$2:$B$8,MATCH(WEEKDAY('Rio Cuarto Power Trading'!A91,3),'Master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Data'!$A$2:$B$8,MATCH(WEEKDAY('Rio Cuarto Power Trading'!A92,3),'Master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Data'!$A$2:$B$8,MATCH(WEEKDAY('Rio Cuarto Power Trading'!A93,3),'Master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true" customHeight="false" outlineLevel="0" collapsed="false">
      <c r="A94" s="108" t="n">
        <f aca="false">A93+1</f>
        <v>36980</v>
      </c>
      <c r="B94" s="119" t="str">
        <f aca="false">INDEX('Master Data'!$A$2:$B$8,MATCH(WEEKDAY('Rio Cuarto Power Trading'!A94,3),'Master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Data'!$A$2:$B$8,MATCH(WEEKDAY('Rio Cuarto Power Trading'!A95,3),'Master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Data'!$A$2:$B$8,MATCH(WEEKDAY('Rio Cuarto Power Trading'!A96,3),'Master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Data'!$A$2:$B$8,MATCH(WEEKDAY('Rio Cuarto Power Trading'!A97,3),'Master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Data'!$A$2:$B$8,MATCH(WEEKDAY('Rio Cuarto Power Trading'!A98,3),'Master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Data'!$A$2:$B$8,MATCH(WEEKDAY('Rio Cuarto Power Trading'!A99,3),'Master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Data'!$A$2:$B$8,MATCH(WEEKDAY('Rio Cuarto Power Trading'!A100,3),'Master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Data'!$A$2:$B$8,MATCH(WEEKDAY('Rio Cuarto Power Trading'!A101,3),'Master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Data'!$A$2:$B$8,MATCH(WEEKDAY('Rio Cuarto Power Trading'!A102,3),'Master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Data'!$A$2:$B$8,MATCH(WEEKDAY('Rio Cuarto Power Trading'!A103,3),'Master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Data'!$A$2:$B$8,MATCH(WEEKDAY('Rio Cuarto Power Trading'!A104,3),'Master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Data'!$A$2:$B$8,MATCH(WEEKDAY('Rio Cuarto Power Trading'!A105,3),'Master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Data'!$A$2:$B$8,MATCH(WEEKDAY('Rio Cuarto Power Trading'!A106,3),'Master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Data'!$A$2:$B$8,MATCH(WEEKDAY('Rio Cuarto Power Trading'!A107,3),'Master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Data'!$A$2:$B$8,MATCH(WEEKDAY('Rio Cuarto Power Trading'!A108,3),'Master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Data'!$A$2:$B$8,MATCH(WEEKDAY('Rio Cuarto Power Trading'!A109,3),'Master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Data'!$A$2:$B$8,MATCH(WEEKDAY('Rio Cuarto Power Trading'!A110,3),'Master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Data'!$A$2:$B$8,MATCH(WEEKDAY('Rio Cuarto Power Trading'!A111,3),'Master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Data'!$A$2:$B$8,MATCH(WEEKDAY('Rio Cuarto Power Trading'!A112,3),'Master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Data'!$A$2:$B$8,MATCH(WEEKDAY('Rio Cuarto Power Trading'!A113,3),'Master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Data'!$A$2:$B$8,MATCH(WEEKDAY('Rio Cuarto Power Trading'!A114,3),'Master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Data'!$A$2:$B$8,MATCH(WEEKDAY('Rio Cuarto Power Trading'!A115,3),'Master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Data'!$A$2:$B$8,MATCH(WEEKDAY('Rio Cuarto Power Trading'!A116,3),'Master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Data'!$A$2:$B$8,MATCH(WEEKDAY('Rio Cuarto Power Trading'!A117,3),'Master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Data'!$A$2:$B$8,MATCH(WEEKDAY('Rio Cuarto Power Trading'!A118,3),'Master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Data'!$A$2:$B$8,MATCH(WEEKDAY('Rio Cuarto Power Trading'!A119,3),'Master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Data'!$A$2:$B$8,MATCH(WEEKDAY('Rio Cuarto Power Trading'!A120,3),'Master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Data'!$A$2:$B$8,MATCH(WEEKDAY('Rio Cuarto Power Trading'!A121,3),'Master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Data'!$A$2:$B$8,MATCH(WEEKDAY('Rio Cuarto Power Trading'!A122,3),'Master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Data'!$A$2:$B$8,MATCH(WEEKDAY('Rio Cuarto Power Trading'!A123,3),'Master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Data'!$A$2:$B$8,MATCH(WEEKDAY('Rio Cuarto Power Trading'!A124,3),'Master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true" customHeight="false" outlineLevel="0" collapsed="false">
      <c r="A125" s="108" t="n">
        <f aca="false">A124+1</f>
        <v>37011</v>
      </c>
      <c r="B125" s="119" t="str">
        <f aca="false">INDEX('Master Data'!$A$2:$B$8,MATCH(WEEKDAY('Rio Cuarto Power Trading'!A125,3),'Master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Data'!$A$2:$B$8,MATCH(WEEKDAY('Rio Cuarto Power Trading'!A126,3),'Master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Data'!$A$2:$B$8,MATCH(WEEKDAY('Rio Cuarto Power Trading'!A127,3),'Master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Data'!$A$2:$B$8,MATCH(WEEKDAY('Rio Cuarto Power Trading'!A128,3),'Master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Data'!$A$2:$B$8,MATCH(WEEKDAY('Rio Cuarto Power Trading'!A129,3),'Master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Data'!$A$2:$B$8,MATCH(WEEKDAY('Rio Cuarto Power Trading'!A130,3),'Master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Data'!$A$2:$B$8,MATCH(WEEKDAY('Rio Cuarto Power Trading'!A131,3),'Master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Data'!$A$2:$B$8,MATCH(WEEKDAY('Rio Cuarto Power Trading'!A132,3),'Master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Data'!$A$2:$B$8,MATCH(WEEKDAY('Rio Cuarto Power Trading'!A133,3),'Master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Data'!$A$2:$B$8,MATCH(WEEKDAY('Rio Cuarto Power Trading'!A134,3),'Master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Data'!$A$2:$B$8,MATCH(WEEKDAY('Rio Cuarto Power Trading'!A135,3),'Master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Data'!$A$2:$B$8,MATCH(WEEKDAY('Rio Cuarto Power Trading'!A136,3),'Master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Data'!$A$2:$B$8,MATCH(WEEKDAY('Rio Cuarto Power Trading'!A137,3),'Master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Data'!$A$2:$B$8,MATCH(WEEKDAY('Rio Cuarto Power Trading'!A138,3),'Master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Data'!$A$2:$B$8,MATCH(WEEKDAY('Rio Cuarto Power Trading'!A139,3),'Master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Data'!$A$2:$B$8,MATCH(WEEKDAY('Rio Cuarto Power Trading'!A140,3),'Master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Data'!$A$2:$B$8,MATCH(WEEKDAY('Rio Cuarto Power Trading'!A141,3),'Master Data'!$A$2:$A$8,0),2)</f>
        <v>W</v>
      </c>
      <c r="D141" s="112" t="n">
        <v>1804892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1.804892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Data'!$A$2:$B$8,MATCH(WEEKDAY('Rio Cuarto Power Trading'!A142,3),'Master Data'!$A$2:$A$8,0),2)</f>
        <v>Th</v>
      </c>
      <c r="D142" s="112" t="n">
        <v>1803673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1.803673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Data'!$A$2:$B$8,MATCH(WEEKDAY('Rio Cuarto Power Trading'!A143,3),'Master Data'!$A$2:$A$8,0),2)</f>
        <v>F</v>
      </c>
      <c r="D143" s="112" t="n">
        <v>1801197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1.801197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Data'!$A$2:$B$8,MATCH(WEEKDAY('Rio Cuarto Power Trading'!A144,3),'Master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Data'!$A$2:$B$8,MATCH(WEEKDAY('Rio Cuarto Power Trading'!A145,3),'Master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Data'!$A$2:$B$8,MATCH(WEEKDAY('Rio Cuarto Power Trading'!A146,3),'Master Data'!$A$2:$A$8,0),2)</f>
        <v>M</v>
      </c>
      <c r="D146" s="112" t="n">
        <v>1800657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D146/P$3</f>
        <v>1.800657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Data'!$A$2:$B$8,MATCH(WEEKDAY('Rio Cuarto Power Trading'!A147,3),'Master Data'!$A$2:$A$8,0),2)</f>
        <v>T</v>
      </c>
      <c r="D147" s="112" t="n">
        <v>1800432.8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1.8004328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Data'!$A$2:$B$8,MATCH(WEEKDAY('Rio Cuarto Power Trading'!A148,3),'Master Data'!$A$2:$A$8,0),2)</f>
        <v>W</v>
      </c>
      <c r="D148" s="112" t="n">
        <v>1650888</v>
      </c>
      <c r="E148" s="112" t="n">
        <v>0</v>
      </c>
      <c r="F148" s="112" t="n">
        <v>0</v>
      </c>
      <c r="G148" s="112" t="n">
        <v>-24031</v>
      </c>
      <c r="I148" s="112" t="n">
        <f aca="false">IF(MONTH($A148)=MONTH($A147),IF(G148=0,I147,G148),G148)</f>
        <v>-24031</v>
      </c>
      <c r="J148" s="112" t="n">
        <f aca="false">IF(MONTH($A148)=MONTH($A147),SUM(I148-I147),I148)</f>
        <v>-24031</v>
      </c>
      <c r="K148" s="112" t="n">
        <f aca="false">IF(WEEKDAY(A148,3)&gt;4,0,(IF(A148&lt;K$2,0,IF(A148&lt;=K$3,1,0))))</f>
        <v>0</v>
      </c>
      <c r="L148" s="112" t="n">
        <f aca="false">J148*K148</f>
        <v>-0</v>
      </c>
      <c r="M148" s="112" t="n">
        <f aca="false">SUM(J$97:J148)</f>
        <v>-24031</v>
      </c>
      <c r="N148" s="112" t="n">
        <f aca="false">SUM(J$6:J148)</f>
        <v>-24031</v>
      </c>
      <c r="P148" s="112" t="n">
        <f aca="false">D148/P$3</f>
        <v>1.650888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-24.031</v>
      </c>
      <c r="T148" s="114" t="n">
        <f aca="false">L148/$R$3</f>
        <v>-0</v>
      </c>
      <c r="U148" s="114" t="n">
        <f aca="false">I148/$R$3</f>
        <v>-24.031</v>
      </c>
      <c r="V148" s="114" t="n">
        <f aca="false">M148/$R$3</f>
        <v>-24.031</v>
      </c>
      <c r="W148" s="114" t="n">
        <f aca="false">N148/$R$3</f>
        <v>-24.031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Data'!$A$2:$B$8,MATCH(WEEKDAY('Rio Cuarto Power Trading'!A149,3),'Master Data'!$A$2:$A$8,0),2)</f>
        <v>Th</v>
      </c>
      <c r="D149" s="112" t="n">
        <v>1651528</v>
      </c>
      <c r="E149" s="112" t="n">
        <v>0</v>
      </c>
      <c r="F149" s="112" t="n">
        <v>0</v>
      </c>
      <c r="G149" s="112" t="n">
        <v>-31146</v>
      </c>
      <c r="I149" s="112" t="n">
        <f aca="false">IF(MONTH($A149)=MONTH($A148),IF(G149=0,I148,G149),G149)</f>
        <v>-31146</v>
      </c>
      <c r="J149" s="112" t="n">
        <f aca="false">IF(MONTH($A149)=MONTH($A148),SUM(I149-I148),I149)</f>
        <v>-7115</v>
      </c>
      <c r="K149" s="112" t="n">
        <f aca="false">IF(WEEKDAY(A149,3)&gt;4,0,(IF(A149&lt;K$2,0,IF(A149&lt;=K$3,1,0))))</f>
        <v>0</v>
      </c>
      <c r="L149" s="112" t="n">
        <f aca="false">J149*K149</f>
        <v>-0</v>
      </c>
      <c r="M149" s="112" t="n">
        <f aca="false">SUM(J$97:J149)</f>
        <v>-31146</v>
      </c>
      <c r="N149" s="112" t="n">
        <f aca="false">SUM(J$6:J149)</f>
        <v>-31146</v>
      </c>
      <c r="P149" s="112" t="n">
        <f aca="false">D149/P$3</f>
        <v>1.651528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-7.115</v>
      </c>
      <c r="T149" s="114" t="n">
        <f aca="false">L149/$R$3</f>
        <v>-0</v>
      </c>
      <c r="U149" s="114" t="n">
        <f aca="false">I149/$R$3</f>
        <v>-31.146</v>
      </c>
      <c r="V149" s="114" t="n">
        <f aca="false">M149/$R$3</f>
        <v>-31.146</v>
      </c>
      <c r="W149" s="114" t="n">
        <f aca="false">N149/$R$3</f>
        <v>-31.146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Data'!$A$2:$B$8,MATCH(WEEKDAY('Rio Cuarto Power Trading'!A150,3),'Master Data'!$A$2:$A$8,0),2)</f>
        <v>F</v>
      </c>
      <c r="D150" s="112" t="n">
        <v>1651528</v>
      </c>
      <c r="E150" s="112" t="n">
        <v>0</v>
      </c>
      <c r="F150" s="112" t="n">
        <v>0</v>
      </c>
      <c r="G150" s="112" t="n">
        <v>-35805</v>
      </c>
      <c r="I150" s="112" t="n">
        <f aca="false">IF(MONTH($A150)=MONTH($A149),IF(G150=0,I149,G150),G150)</f>
        <v>-35805</v>
      </c>
      <c r="J150" s="112" t="n">
        <f aca="false">IF(MONTH($A150)=MONTH($A149),SUM(I150-I149),I150)</f>
        <v>-4659</v>
      </c>
      <c r="K150" s="112" t="n">
        <f aca="false">IF(WEEKDAY(A150,3)&gt;4,0,(IF(A150&lt;K$2,0,IF(A150&lt;=K$3,1,0))))</f>
        <v>0</v>
      </c>
      <c r="L150" s="112" t="n">
        <f aca="false">J150*K150</f>
        <v>-0</v>
      </c>
      <c r="M150" s="112" t="n">
        <f aca="false">SUM(J$97:J150)</f>
        <v>-35805</v>
      </c>
      <c r="N150" s="112" t="n">
        <f aca="false">SUM(J$6:J150)</f>
        <v>-35805</v>
      </c>
      <c r="P150" s="112" t="n">
        <f aca="false">D150/P$3</f>
        <v>1.651528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-4.659</v>
      </c>
      <c r="T150" s="114" t="n">
        <f aca="false">L150/$R$3</f>
        <v>-0</v>
      </c>
      <c r="U150" s="114" t="n">
        <f aca="false">I150/$R$3</f>
        <v>-35.805</v>
      </c>
      <c r="V150" s="114" t="n">
        <f aca="false">M150/$R$3</f>
        <v>-35.805</v>
      </c>
      <c r="W150" s="114" t="n">
        <f aca="false">N150/$R$3</f>
        <v>-35.805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Data'!$A$2:$B$8,MATCH(WEEKDAY('Rio Cuarto Power Trading'!A151,3),'Master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-35805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-35805</v>
      </c>
      <c r="N151" s="112" t="n">
        <f aca="false">SUM(J$6:J151)</f>
        <v>-35805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-35.805</v>
      </c>
      <c r="V151" s="114" t="n">
        <f aca="false">M151/$R$3</f>
        <v>-35.805</v>
      </c>
      <c r="W151" s="114" t="n">
        <f aca="false">N151/$R$3</f>
        <v>-35.805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Data'!$A$2:$B$8,MATCH(WEEKDAY('Rio Cuarto Power Trading'!A152,3),'Master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-35805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-35805</v>
      </c>
      <c r="N152" s="112" t="n">
        <f aca="false">SUM(J$6:J152)</f>
        <v>-35805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-35.805</v>
      </c>
      <c r="V152" s="114" t="n">
        <f aca="false">M152/$R$3</f>
        <v>-35.805</v>
      </c>
      <c r="W152" s="114" t="n">
        <f aca="false">N152/$R$3</f>
        <v>-35.805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Data'!$A$2:$B$8,MATCH(WEEKDAY('Rio Cuarto Power Trading'!A153,3),'Master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-35805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-35805</v>
      </c>
      <c r="N153" s="112" t="n">
        <f aca="false">SUM(J$6:J153)</f>
        <v>-35805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-35.805</v>
      </c>
      <c r="V153" s="114" t="n">
        <f aca="false">M153/$R$3</f>
        <v>-35.805</v>
      </c>
      <c r="W153" s="114" t="n">
        <f aca="false">N153/$R$3</f>
        <v>-35.805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Data'!$A$2:$B$8,MATCH(WEEKDAY('Rio Cuarto Power Trading'!A154,3),'Master Data'!$A$2:$A$8,0),2)</f>
        <v>T</v>
      </c>
      <c r="D154" s="112" t="n">
        <v>1876711.32665312</v>
      </c>
      <c r="E154" s="112" t="n">
        <v>0</v>
      </c>
      <c r="F154" s="112" t="n">
        <v>0</v>
      </c>
      <c r="G154" s="112" t="n">
        <v>-5535</v>
      </c>
      <c r="I154" s="112" t="n">
        <f aca="false">IF(MONTH($A154)=MONTH($A153),IF(G154=0,I153,G154),G154)</f>
        <v>-5535</v>
      </c>
      <c r="J154" s="112" t="n">
        <f aca="false">IF(MONTH($A154)=MONTH($A153),SUM(I154-I153),I154)</f>
        <v>30270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-5535</v>
      </c>
      <c r="N154" s="112" t="n">
        <f aca="false">SUM(J$6:J154)</f>
        <v>-5535</v>
      </c>
      <c r="P154" s="112" t="n">
        <f aca="false">D154/P$3</f>
        <v>1.87671132665312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30.27</v>
      </c>
      <c r="T154" s="114" t="n">
        <f aca="false">L154/$R$3</f>
        <v>0</v>
      </c>
      <c r="U154" s="114" t="n">
        <f aca="false">I154/$R$3</f>
        <v>-5.535</v>
      </c>
      <c r="V154" s="114" t="n">
        <f aca="false">M154/$R$3</f>
        <v>-5.535</v>
      </c>
      <c r="W154" s="114" t="n">
        <f aca="false">N154/$R$3</f>
        <v>-5.535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Data'!$A$2:$B$8,MATCH(WEEKDAY('Rio Cuarto Power Trading'!A155,3),'Master Data'!$A$2:$A$8,0),2)</f>
        <v>W</v>
      </c>
      <c r="D155" s="112" t="n">
        <v>1875367.94708649</v>
      </c>
      <c r="E155" s="112" t="n">
        <v>0</v>
      </c>
      <c r="F155" s="112" t="n">
        <v>0</v>
      </c>
      <c r="G155" s="112" t="n">
        <v>1506</v>
      </c>
      <c r="I155" s="112" t="n">
        <f aca="false">IF(MONTH($A155)=MONTH($A154),IF(G155=0,I154,G155),G155)</f>
        <v>1506</v>
      </c>
      <c r="J155" s="112" t="n">
        <f aca="false">IF(MONTH($A155)=MONTH($A154),SUM(I155-I154),I155)</f>
        <v>7041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1506</v>
      </c>
      <c r="N155" s="112" t="n">
        <f aca="false">SUM(J$6:J155)</f>
        <v>1506</v>
      </c>
      <c r="P155" s="112" t="n">
        <f aca="false">D155/P$3</f>
        <v>1.87536794708649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7.041</v>
      </c>
      <c r="T155" s="114" t="n">
        <f aca="false">L155/$R$3</f>
        <v>0</v>
      </c>
      <c r="U155" s="114" t="n">
        <f aca="false">I155/$R$3</f>
        <v>1.506</v>
      </c>
      <c r="V155" s="114" t="n">
        <f aca="false">M155/$R$3</f>
        <v>1.506</v>
      </c>
      <c r="W155" s="114" t="n">
        <f aca="false">N155/$R$3</f>
        <v>1.506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Data'!$A$2:$B$8,MATCH(WEEKDAY('Rio Cuarto Power Trading'!A156,3),'Master Data'!$A$2:$A$8,0),2)</f>
        <v>Th</v>
      </c>
      <c r="D156" s="112" t="n">
        <v>1875173.51302383</v>
      </c>
      <c r="E156" s="112" t="n">
        <v>0</v>
      </c>
      <c r="F156" s="112" t="n">
        <v>0</v>
      </c>
      <c r="G156" s="112" t="n">
        <v>7835</v>
      </c>
      <c r="I156" s="112" t="n">
        <f aca="false">IF(MONTH($A156)=MONTH($A155),IF(G156=0,I155,G156),G156)</f>
        <v>7835</v>
      </c>
      <c r="J156" s="112" t="n">
        <f aca="false">IF(MONTH($A156)=MONTH($A155),SUM(I156-I155),I156)</f>
        <v>6329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7835</v>
      </c>
      <c r="N156" s="112" t="n">
        <f aca="false">SUM(J$6:J156)</f>
        <v>7835</v>
      </c>
      <c r="P156" s="112" t="n">
        <f aca="false">D156/P$3</f>
        <v>1.87517351302383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6.329</v>
      </c>
      <c r="T156" s="114" t="n">
        <f aca="false">L156/$R$3</f>
        <v>0</v>
      </c>
      <c r="U156" s="114" t="n">
        <f aca="false">I156/$R$3</f>
        <v>7.835</v>
      </c>
      <c r="V156" s="114" t="n">
        <f aca="false">M156/$R$3</f>
        <v>7.835</v>
      </c>
      <c r="W156" s="114" t="n">
        <f aca="false">N156/$R$3</f>
        <v>7.835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Data'!$A$2:$B$8,MATCH(WEEKDAY('Rio Cuarto Power Trading'!A157,3),'Master Data'!$A$2:$A$8,0),2)</f>
        <v>F</v>
      </c>
      <c r="D157" s="112" t="n">
        <v>1883363.30116451</v>
      </c>
      <c r="E157" s="112" t="n">
        <v>0</v>
      </c>
      <c r="F157" s="112" t="n">
        <v>0</v>
      </c>
      <c r="G157" s="112" t="n">
        <v>756</v>
      </c>
      <c r="I157" s="112" t="n">
        <f aca="false">IF(MONTH($A157)=MONTH($A156),IF(G157=0,I156,G157),G157)</f>
        <v>756</v>
      </c>
      <c r="J157" s="112" t="n">
        <f aca="false">IF(MONTH($A157)=MONTH($A156),SUM(I157-I156),I157)</f>
        <v>756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8591</v>
      </c>
      <c r="N157" s="112" t="n">
        <f aca="false">SUM(J$6:J157)</f>
        <v>8591</v>
      </c>
      <c r="P157" s="112" t="n">
        <f aca="false">D157/P$3</f>
        <v>1.88336330116451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0.756</v>
      </c>
      <c r="T157" s="114" t="n">
        <f aca="false">L157/$R$3</f>
        <v>0</v>
      </c>
      <c r="U157" s="114" t="n">
        <f aca="false">I157/$R$3</f>
        <v>0.756</v>
      </c>
      <c r="V157" s="114" t="n">
        <f aca="false">M157/$R$3</f>
        <v>8.591</v>
      </c>
      <c r="W157" s="114" t="n">
        <f aca="false">N157/$R$3</f>
        <v>8.591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Data'!$A$2:$B$8,MATCH(WEEKDAY('Rio Cuarto Power Trading'!A158,3),'Master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756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8591</v>
      </c>
      <c r="N158" s="112" t="n">
        <f aca="false">SUM(J$6:J158)</f>
        <v>8591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0.756</v>
      </c>
      <c r="V158" s="114" t="n">
        <f aca="false">M158/$R$3</f>
        <v>8.591</v>
      </c>
      <c r="W158" s="114" t="n">
        <f aca="false">N158/$R$3</f>
        <v>8.591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Data'!$A$2:$B$8,MATCH(WEEKDAY('Rio Cuarto Power Trading'!A159,3),'Master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756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8591</v>
      </c>
      <c r="N159" s="112" t="n">
        <f aca="false">SUM(J$6:J159)</f>
        <v>8591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0.756</v>
      </c>
      <c r="V159" s="114" t="n">
        <f aca="false">M159/$R$3</f>
        <v>8.591</v>
      </c>
      <c r="W159" s="114" t="n">
        <f aca="false">N159/$R$3</f>
        <v>8.591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Data'!$A$2:$B$8,MATCH(WEEKDAY('Rio Cuarto Power Trading'!A160,3),'Master Data'!$A$2:$A$8,0),2)</f>
        <v>M</v>
      </c>
      <c r="D160" s="112" t="n">
        <v>1879070.06239188</v>
      </c>
      <c r="E160" s="112" t="n">
        <v>0</v>
      </c>
      <c r="F160" s="112" t="n">
        <v>0</v>
      </c>
      <c r="G160" s="112" t="n">
        <v>23114</v>
      </c>
      <c r="I160" s="112" t="n">
        <f aca="false">IF(MONTH($A160)=MONTH($A159),IF(G160=0,I159,G160),G160)</f>
        <v>23114</v>
      </c>
      <c r="J160" s="112" t="n">
        <f aca="false">IF(MONTH($A160)=MONTH($A159),SUM(I160-I159),I160)</f>
        <v>22358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30949</v>
      </c>
      <c r="N160" s="112" t="n">
        <f aca="false">SUM(J$6:J160)</f>
        <v>30949</v>
      </c>
      <c r="P160" s="112" t="n">
        <f aca="false">D160/P$3</f>
        <v>1.87907006239188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22.358</v>
      </c>
      <c r="T160" s="114" t="n">
        <f aca="false">L160/$R$3</f>
        <v>0</v>
      </c>
      <c r="U160" s="114" t="n">
        <f aca="false">I160/$R$3</f>
        <v>23.114</v>
      </c>
      <c r="V160" s="114" t="n">
        <f aca="false">M160/$R$3</f>
        <v>30.949</v>
      </c>
      <c r="W160" s="114" t="n">
        <f aca="false">N160/$R$3</f>
        <v>30.949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Data'!$A$2:$B$8,MATCH(WEEKDAY('Rio Cuarto Power Trading'!A161,3),'Master Data'!$A$2:$A$8,0),2)</f>
        <v>T</v>
      </c>
      <c r="D161" s="112" t="n">
        <v>1879111.68233176</v>
      </c>
      <c r="E161" s="112" t="n">
        <v>0</v>
      </c>
      <c r="F161" s="112" t="n">
        <v>0</v>
      </c>
      <c r="G161" s="112" t="n">
        <v>46780</v>
      </c>
      <c r="I161" s="112" t="n">
        <f aca="false">IF(MONTH($A161)=MONTH($A160),IF(G161=0,I160,G161),G161)</f>
        <v>46780</v>
      </c>
      <c r="J161" s="112" t="n">
        <f aca="false">IF(MONTH($A161)=MONTH($A160),SUM(I161-I160),I161)</f>
        <v>23666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54615</v>
      </c>
      <c r="N161" s="112" t="n">
        <f aca="false">SUM(J$6:J161)</f>
        <v>54615</v>
      </c>
      <c r="P161" s="112" t="n">
        <f aca="false">D161/P$3</f>
        <v>1.87911168233176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23.666</v>
      </c>
      <c r="T161" s="114" t="n">
        <f aca="false">L161/$R$3</f>
        <v>0</v>
      </c>
      <c r="U161" s="114" t="n">
        <f aca="false">I161/$R$3</f>
        <v>46.78</v>
      </c>
      <c r="V161" s="114" t="n">
        <f aca="false">M161/$R$3</f>
        <v>54.615</v>
      </c>
      <c r="W161" s="114" t="n">
        <f aca="false">N161/$R$3</f>
        <v>54.615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Data'!$A$2:$B$8,MATCH(WEEKDAY('Rio Cuarto Power Trading'!A162,3),'Master Data'!$A$2:$A$8,0),2)</f>
        <v>W</v>
      </c>
      <c r="D162" s="112" t="n">
        <v>1881307.57678333</v>
      </c>
      <c r="E162" s="112" t="n">
        <v>0</v>
      </c>
      <c r="F162" s="112" t="n">
        <v>0</v>
      </c>
      <c r="G162" s="112" t="n">
        <v>67082</v>
      </c>
      <c r="I162" s="112" t="n">
        <f aca="false">IF(MONTH($A162)=MONTH($A161),IF(G162=0,I161,G162),G162)</f>
        <v>67082</v>
      </c>
      <c r="J162" s="112" t="n">
        <f aca="false">IF(MONTH($A162)=MONTH($A161),SUM(I162-I161),I162)</f>
        <v>20302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74917</v>
      </c>
      <c r="N162" s="112" t="n">
        <f aca="false">SUM(J$6:J162)</f>
        <v>74917</v>
      </c>
      <c r="P162" s="112" t="n">
        <f aca="false">D162/P$3</f>
        <v>1.88130757678333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20.302</v>
      </c>
      <c r="T162" s="114" t="n">
        <f aca="false">L162/$R$3</f>
        <v>0</v>
      </c>
      <c r="U162" s="114" t="n">
        <f aca="false">I162/$R$3</f>
        <v>67.082</v>
      </c>
      <c r="V162" s="114" t="n">
        <f aca="false">M162/$R$3</f>
        <v>74.917</v>
      </c>
      <c r="W162" s="114" t="n">
        <f aca="false">N162/$R$3</f>
        <v>74.917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Data'!$A$2:$B$8,MATCH(WEEKDAY('Rio Cuarto Power Trading'!A163,3),'Master Data'!$A$2:$A$8,0),2)</f>
        <v>Th</v>
      </c>
      <c r="D163" s="112" t="n">
        <v>1881447.66821673</v>
      </c>
      <c r="E163" s="112" t="n">
        <v>0</v>
      </c>
      <c r="F163" s="112" t="n">
        <v>0</v>
      </c>
      <c r="G163" s="112" t="n">
        <v>67276</v>
      </c>
      <c r="I163" s="112" t="n">
        <f aca="false">IF(MONTH($A163)=MONTH($A162),IF(G163=0,I162,G163),G163)</f>
        <v>67276</v>
      </c>
      <c r="J163" s="112" t="n">
        <f aca="false">IF(MONTH($A163)=MONTH($A162),SUM(I163-I162),I163)</f>
        <v>194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75111</v>
      </c>
      <c r="N163" s="112" t="n">
        <f aca="false">SUM(J$6:J163)</f>
        <v>75111</v>
      </c>
      <c r="P163" s="112" t="n">
        <f aca="false">D163/P$3</f>
        <v>1.88144766821673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0.194</v>
      </c>
      <c r="T163" s="114" t="n">
        <f aca="false">L163/$R$3</f>
        <v>0</v>
      </c>
      <c r="U163" s="114" t="n">
        <f aca="false">I163/$R$3</f>
        <v>67.276</v>
      </c>
      <c r="V163" s="114" t="n">
        <f aca="false">M163/$R$3</f>
        <v>75.111</v>
      </c>
      <c r="W163" s="114" t="n">
        <f aca="false">N163/$R$3</f>
        <v>75.111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Data'!$A$2:$B$8,MATCH(WEEKDAY('Rio Cuarto Power Trading'!A164,3),'Master Data'!$A$2:$A$8,0),2)</f>
        <v>F</v>
      </c>
      <c r="D164" s="112" t="n">
        <v>1880848.49996287</v>
      </c>
      <c r="E164" s="112" t="n">
        <v>0</v>
      </c>
      <c r="F164" s="112" t="n">
        <v>0</v>
      </c>
      <c r="G164" s="112" t="n">
        <v>135075</v>
      </c>
      <c r="I164" s="112" t="n">
        <f aca="false">IF(MONTH($A164)=MONTH($A163),IF(G164=0,I163,G164),G164)</f>
        <v>135075</v>
      </c>
      <c r="J164" s="112" t="n">
        <f aca="false">IF(MONTH($A164)=MONTH($A163),SUM(I164-I163),I164)</f>
        <v>67799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142910</v>
      </c>
      <c r="N164" s="112" t="n">
        <f aca="false">SUM(J$6:J164)</f>
        <v>142910</v>
      </c>
      <c r="P164" s="112" t="n">
        <f aca="false">D164/P$3</f>
        <v>1.88084849996287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67.799</v>
      </c>
      <c r="T164" s="114" t="n">
        <f aca="false">L164/$R$3</f>
        <v>0</v>
      </c>
      <c r="U164" s="114" t="n">
        <f aca="false">I164/$R$3</f>
        <v>135.075</v>
      </c>
      <c r="V164" s="114" t="n">
        <f aca="false">M164/$R$3</f>
        <v>142.91</v>
      </c>
      <c r="W164" s="114" t="n">
        <f aca="false">N164/$R$3</f>
        <v>142.91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Data'!$A$2:$B$8,MATCH(WEEKDAY('Rio Cuarto Power Trading'!A165,3),'Master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135075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142910</v>
      </c>
      <c r="N165" s="112" t="n">
        <f aca="false">SUM(J$6:J165)</f>
        <v>142910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135.075</v>
      </c>
      <c r="V165" s="114" t="n">
        <f aca="false">M165/$R$3</f>
        <v>142.91</v>
      </c>
      <c r="W165" s="114" t="n">
        <f aca="false">N165/$R$3</f>
        <v>142.91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Data'!$A$2:$B$8,MATCH(WEEKDAY('Rio Cuarto Power Trading'!A166,3),'Master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135075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142910</v>
      </c>
      <c r="N166" s="112" t="n">
        <f aca="false">SUM(J$6:J166)</f>
        <v>142910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135.075</v>
      </c>
      <c r="V166" s="114" t="n">
        <f aca="false">M166/$R$3</f>
        <v>142.91</v>
      </c>
      <c r="W166" s="114" t="n">
        <f aca="false">N166/$R$3</f>
        <v>142.91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Data'!$A$2:$B$8,MATCH(WEEKDAY('Rio Cuarto Power Trading'!A167,3),'Master Data'!$A$2:$A$8,0),2)</f>
        <v>M</v>
      </c>
      <c r="D167" s="112" t="n">
        <v>1876221.54248931</v>
      </c>
      <c r="E167" s="112" t="n">
        <v>0</v>
      </c>
      <c r="F167" s="112" t="n">
        <v>0</v>
      </c>
      <c r="G167" s="112" t="n">
        <v>135389</v>
      </c>
      <c r="I167" s="112" t="n">
        <f aca="false">IF(MONTH($A167)=MONTH($A166),IF(G167=0,I166,G167),G167)</f>
        <v>135389</v>
      </c>
      <c r="J167" s="112" t="n">
        <f aca="false">IF(MONTH($A167)=MONTH($A166),SUM(I167-I166),I167)</f>
        <v>314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143224</v>
      </c>
      <c r="N167" s="112" t="n">
        <f aca="false">SUM(J$6:J167)</f>
        <v>143224</v>
      </c>
      <c r="P167" s="112" t="n">
        <f aca="false">D167/P$3</f>
        <v>1.87622154248931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0.314</v>
      </c>
      <c r="T167" s="114" t="n">
        <f aca="false">L167/$R$3</f>
        <v>0</v>
      </c>
      <c r="U167" s="114" t="n">
        <f aca="false">I167/$R$3</f>
        <v>135.389</v>
      </c>
      <c r="V167" s="114" t="n">
        <f aca="false">M167/$R$3</f>
        <v>143.224</v>
      </c>
      <c r="W167" s="114" t="n">
        <f aca="false">N167/$R$3</f>
        <v>143.224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Data'!$A$2:$B$8,MATCH(WEEKDAY('Rio Cuarto Power Trading'!A168,3),'Master Data'!$A$2:$A$8,0),2)</f>
        <v>T</v>
      </c>
      <c r="D168" s="112" t="n">
        <v>1879607.31747572</v>
      </c>
      <c r="E168" s="112" t="n">
        <v>0</v>
      </c>
      <c r="F168" s="112" t="n">
        <v>0</v>
      </c>
      <c r="G168" s="112" t="n">
        <v>160918</v>
      </c>
      <c r="I168" s="112" t="n">
        <f aca="false">IF(MONTH($A168)=MONTH($A167),IF(G168=0,I167,G168),G168)</f>
        <v>160918</v>
      </c>
      <c r="J168" s="112" t="n">
        <f aca="false">IF(MONTH($A168)=MONTH($A167),SUM(I168-I167),I168)</f>
        <v>25529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168753</v>
      </c>
      <c r="N168" s="112" t="n">
        <f aca="false">SUM(J$6:J168)</f>
        <v>168753</v>
      </c>
      <c r="P168" s="112" t="n">
        <f aca="false">D168/P$3</f>
        <v>1.87960731747572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25.529</v>
      </c>
      <c r="T168" s="114" t="n">
        <f aca="false">L168/$R$3</f>
        <v>0</v>
      </c>
      <c r="U168" s="114" t="n">
        <f aca="false">I168/$R$3</f>
        <v>160.918</v>
      </c>
      <c r="V168" s="114" t="n">
        <f aca="false">M168/$R$3</f>
        <v>168.753</v>
      </c>
      <c r="W168" s="114" t="n">
        <f aca="false">N168/$R$3</f>
        <v>168.753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Data'!$A$2:$B$8,MATCH(WEEKDAY('Rio Cuarto Power Trading'!A169,3),'Master Data'!$A$2:$A$8,0),2)</f>
        <v>W</v>
      </c>
      <c r="D169" s="112" t="n">
        <v>1881417.3378414</v>
      </c>
      <c r="E169" s="112" t="n">
        <v>0</v>
      </c>
      <c r="F169" s="112" t="n">
        <v>0</v>
      </c>
      <c r="G169" s="112" t="n">
        <v>162018</v>
      </c>
      <c r="I169" s="112" t="n">
        <f aca="false">IF(MONTH($A169)=MONTH($A168),IF(G169=0,I168,G169),G169)</f>
        <v>162018</v>
      </c>
      <c r="J169" s="112" t="n">
        <f aca="false">IF(MONTH($A169)=MONTH($A168),SUM(I169-I168),I169)</f>
        <v>1100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169853</v>
      </c>
      <c r="N169" s="112" t="n">
        <f aca="false">SUM(J$6:J169)</f>
        <v>169853</v>
      </c>
      <c r="P169" s="112" t="n">
        <f aca="false">D169/P$3</f>
        <v>1.8814173378414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1.1</v>
      </c>
      <c r="T169" s="114" t="n">
        <f aca="false">L169/$R$3</f>
        <v>0</v>
      </c>
      <c r="U169" s="114" t="n">
        <f aca="false">I169/$R$3</f>
        <v>162.018</v>
      </c>
      <c r="V169" s="114" t="n">
        <f aca="false">M169/$R$3</f>
        <v>169.853</v>
      </c>
      <c r="W169" s="114" t="n">
        <f aca="false">N169/$R$3</f>
        <v>169.853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Data'!$A$2:$B$8,MATCH(WEEKDAY('Rio Cuarto Power Trading'!A170,3),'Master Data'!$A$2:$A$8,0),2)</f>
        <v>Th</v>
      </c>
      <c r="D170" s="112" t="n">
        <v>1881722.54099825</v>
      </c>
      <c r="E170" s="112" t="n">
        <v>0</v>
      </c>
      <c r="F170" s="112" t="n">
        <v>0</v>
      </c>
      <c r="G170" s="112" t="n">
        <v>169295</v>
      </c>
      <c r="I170" s="112" t="n">
        <f aca="false">IF(MONTH($A170)=MONTH($A169),IF(G170=0,I169,G170),G170)</f>
        <v>169295</v>
      </c>
      <c r="J170" s="112" t="n">
        <f aca="false">IF(MONTH($A170)=MONTH($A169),SUM(I170-I169),I170)</f>
        <v>7277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177130</v>
      </c>
      <c r="N170" s="112" t="n">
        <f aca="false">SUM(J$6:J170)</f>
        <v>177130</v>
      </c>
      <c r="P170" s="112" t="n">
        <f aca="false">D170/P$3</f>
        <v>1.88172254099825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7.277</v>
      </c>
      <c r="T170" s="114" t="n">
        <f aca="false">L170/$R$3</f>
        <v>0</v>
      </c>
      <c r="U170" s="114" t="n">
        <f aca="false">I170/$R$3</f>
        <v>169.295</v>
      </c>
      <c r="V170" s="114" t="n">
        <f aca="false">M170/$R$3</f>
        <v>177.13</v>
      </c>
      <c r="W170" s="114" t="n">
        <f aca="false">N170/$R$3</f>
        <v>177.13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Data'!$A$2:$B$8,MATCH(WEEKDAY('Rio Cuarto Power Trading'!A171,3),'Master Data'!$A$2:$A$8,0),2)</f>
        <v>F</v>
      </c>
      <c r="D171" s="112" t="n">
        <v>1883146.79349963</v>
      </c>
      <c r="E171" s="112" t="n">
        <v>0</v>
      </c>
      <c r="F171" s="112" t="n">
        <v>0</v>
      </c>
      <c r="G171" s="112" t="n">
        <v>175544</v>
      </c>
      <c r="I171" s="112" t="n">
        <f aca="false">IF(MONTH($A171)=MONTH($A170),IF(G171=0,I170,G171),G171)</f>
        <v>175544</v>
      </c>
      <c r="J171" s="112" t="n">
        <f aca="false">IF(MONTH($A171)=MONTH($A170),SUM(I171-I170),I171)</f>
        <v>6249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183379</v>
      </c>
      <c r="N171" s="112" t="n">
        <f aca="false">SUM(J$6:J171)</f>
        <v>183379</v>
      </c>
      <c r="P171" s="112" t="n">
        <f aca="false">D171/P$3</f>
        <v>1.88314679349963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6.249</v>
      </c>
      <c r="T171" s="114" t="n">
        <f aca="false">L171/$R$3</f>
        <v>0</v>
      </c>
      <c r="U171" s="114" t="n">
        <f aca="false">I171/$R$3</f>
        <v>175.544</v>
      </c>
      <c r="V171" s="114" t="n">
        <f aca="false">M171/$R$3</f>
        <v>183.379</v>
      </c>
      <c r="W171" s="114" t="n">
        <f aca="false">N171/$R$3</f>
        <v>183.379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Data'!$A$2:$B$8,MATCH(WEEKDAY('Rio Cuarto Power Trading'!A172,3),'Master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175544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183379</v>
      </c>
      <c r="N172" s="112" t="n">
        <f aca="false">SUM(J$6:J172)</f>
        <v>183379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175.544</v>
      </c>
      <c r="V172" s="114" t="n">
        <f aca="false">M172/$R$3</f>
        <v>183.379</v>
      </c>
      <c r="W172" s="114" t="n">
        <f aca="false">N172/$R$3</f>
        <v>183.379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Data'!$A$2:$B$8,MATCH(WEEKDAY('Rio Cuarto Power Trading'!A173,3),'Master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175544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183379</v>
      </c>
      <c r="N173" s="112" t="n">
        <f aca="false">SUM(J$6:J173)</f>
        <v>183379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175.544</v>
      </c>
      <c r="V173" s="114" t="n">
        <f aca="false">M173/$R$3</f>
        <v>183.379</v>
      </c>
      <c r="W173" s="114" t="n">
        <f aca="false">N173/$R$3</f>
        <v>183.379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Data'!$A$2:$B$8,MATCH(WEEKDAY('Rio Cuarto Power Trading'!A174,3),'Master Data'!$A$2:$A$8,0),2)</f>
        <v>M</v>
      </c>
      <c r="D174" s="112" t="n">
        <v>1882794.42253444</v>
      </c>
      <c r="E174" s="112" t="n">
        <v>0</v>
      </c>
      <c r="F174" s="112" t="n">
        <v>0</v>
      </c>
      <c r="G174" s="112" t="n">
        <v>176243</v>
      </c>
      <c r="I174" s="112" t="n">
        <f aca="false">IF(MONTH($A174)=MONTH($A173),IF(G174=0,I173,G174),G174)</f>
        <v>176243</v>
      </c>
      <c r="J174" s="112" t="n">
        <f aca="false">IF(MONTH($A174)=MONTH($A173),SUM(I174-I173),I174)</f>
        <v>699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184078</v>
      </c>
      <c r="N174" s="112" t="n">
        <f aca="false">SUM(J$6:J174)</f>
        <v>184078</v>
      </c>
      <c r="P174" s="112" t="n">
        <f aca="false">D174/P$3</f>
        <v>1.88279442253444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0.699</v>
      </c>
      <c r="T174" s="114" t="n">
        <f aca="false">L174/$R$3</f>
        <v>0</v>
      </c>
      <c r="U174" s="114" t="n">
        <f aca="false">I174/$R$3</f>
        <v>176.243</v>
      </c>
      <c r="V174" s="114" t="n">
        <f aca="false">M174/$R$3</f>
        <v>184.078</v>
      </c>
      <c r="W174" s="114" t="n">
        <f aca="false">N174/$R$3</f>
        <v>184.078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Data'!$A$2:$B$8,MATCH(WEEKDAY('Rio Cuarto Power Trading'!A175,3),'Master Data'!$A$2:$A$8,0),2)</f>
        <v>T</v>
      </c>
      <c r="D175" s="112" t="n">
        <v>1883954.56877536</v>
      </c>
      <c r="E175" s="112" t="n">
        <v>0</v>
      </c>
      <c r="F175" s="112" t="n">
        <v>0</v>
      </c>
      <c r="G175" s="112" t="n">
        <v>176727</v>
      </c>
      <c r="I175" s="112" t="n">
        <f aca="false">IF(MONTH($A175)=MONTH($A174),IF(G175=0,I174,G175),G175)</f>
        <v>176727</v>
      </c>
      <c r="J175" s="112" t="n">
        <f aca="false">IF(MONTH($A175)=MONTH($A174),SUM(I175-I174),I175)</f>
        <v>484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184562</v>
      </c>
      <c r="N175" s="112" t="n">
        <f aca="false">SUM(J$6:J175)</f>
        <v>184562</v>
      </c>
      <c r="P175" s="112" t="n">
        <f aca="false">D175/P$3</f>
        <v>1.88395456877536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0.484</v>
      </c>
      <c r="T175" s="114" t="n">
        <f aca="false">L175/$R$3</f>
        <v>0</v>
      </c>
      <c r="U175" s="114" t="n">
        <f aca="false">I175/$R$3</f>
        <v>176.727</v>
      </c>
      <c r="V175" s="114" t="n">
        <f aca="false">M175/$R$3</f>
        <v>184.562</v>
      </c>
      <c r="W175" s="114" t="n">
        <f aca="false">N175/$R$3</f>
        <v>184.562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Data'!$A$2:$B$8,MATCH(WEEKDAY('Rio Cuarto Power Trading'!A176,3),'Master Data'!$A$2:$A$8,0),2)</f>
        <v>W</v>
      </c>
      <c r="D176" s="112" t="n">
        <v>1892307.94853185</v>
      </c>
      <c r="E176" s="112" t="n">
        <v>0</v>
      </c>
      <c r="F176" s="112" t="n">
        <v>0</v>
      </c>
      <c r="G176" s="112" t="n">
        <v>178131</v>
      </c>
      <c r="I176" s="112" t="n">
        <f aca="false">IF(MONTH($A176)=MONTH($A175),IF(G176=0,I175,G176),G176)</f>
        <v>178131</v>
      </c>
      <c r="J176" s="112" t="n">
        <f aca="false">IF(MONTH($A176)=MONTH($A175),SUM(I176-I175),I176)</f>
        <v>1404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185966</v>
      </c>
      <c r="N176" s="112" t="n">
        <f aca="false">SUM(J$6:J176)</f>
        <v>185966</v>
      </c>
      <c r="P176" s="112" t="n">
        <f aca="false">D176/P$3</f>
        <v>1.89230794853185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1.404</v>
      </c>
      <c r="T176" s="114" t="n">
        <f aca="false">L176/$R$3</f>
        <v>0</v>
      </c>
      <c r="U176" s="114" t="n">
        <f aca="false">I176/$R$3</f>
        <v>178.131</v>
      </c>
      <c r="V176" s="114" t="n">
        <f aca="false">M176/$R$3</f>
        <v>185.966</v>
      </c>
      <c r="W176" s="114" t="n">
        <f aca="false">N176/$R$3</f>
        <v>185.966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Data'!$A$2:$B$8,MATCH(WEEKDAY('Rio Cuarto Power Trading'!A177,3),'Master Data'!$A$2:$A$8,0),2)</f>
        <v>Th</v>
      </c>
      <c r="D177" s="112" t="n">
        <v>1885416.01642687</v>
      </c>
      <c r="E177" s="112" t="n">
        <v>0</v>
      </c>
      <c r="F177" s="112" t="n">
        <v>0</v>
      </c>
      <c r="G177" s="112" t="n">
        <v>171101</v>
      </c>
      <c r="I177" s="112" t="n">
        <f aca="false">IF(MONTH($A177)=MONTH($A176),IF(G177=0,I176,G177),G177)</f>
        <v>171101</v>
      </c>
      <c r="J177" s="112" t="n">
        <f aca="false">IF(MONTH($A177)=MONTH($A176),SUM(I177-I176),I177)</f>
        <v>-7030</v>
      </c>
      <c r="K177" s="112" t="n">
        <f aca="false">IF(WEEKDAY(A177,3)&gt;4,0,(IF(A177&lt;K$2,0,IF(A177&lt;=K$3,1,0))))</f>
        <v>0</v>
      </c>
      <c r="L177" s="112" t="n">
        <f aca="false">J177*K177</f>
        <v>-0</v>
      </c>
      <c r="M177" s="112" t="n">
        <f aca="false">SUM(J$97:J177)</f>
        <v>178936</v>
      </c>
      <c r="N177" s="112" t="n">
        <f aca="false">SUM(J$6:J177)</f>
        <v>178936</v>
      </c>
      <c r="P177" s="112" t="n">
        <f aca="false">D177/P$3</f>
        <v>1.88541601642687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-7.03</v>
      </c>
      <c r="T177" s="114" t="n">
        <f aca="false">L177/$R$3</f>
        <v>-0</v>
      </c>
      <c r="U177" s="114" t="n">
        <f aca="false">I177/$R$3</f>
        <v>171.101</v>
      </c>
      <c r="V177" s="114" t="n">
        <f aca="false">M177/$R$3</f>
        <v>178.936</v>
      </c>
      <c r="W177" s="114" t="n">
        <f aca="false">N177/$R$3</f>
        <v>178.936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Data'!$A$2:$B$8,MATCH(WEEKDAY('Rio Cuarto Power Trading'!A178,3),'Master Data'!$A$2:$A$8,0),2)</f>
        <v>F</v>
      </c>
      <c r="D178" s="112" t="n">
        <v>1884186.92124649</v>
      </c>
      <c r="E178" s="112" t="n">
        <v>0</v>
      </c>
      <c r="F178" s="112" t="n">
        <v>0</v>
      </c>
      <c r="G178" s="112" t="n">
        <v>167238</v>
      </c>
      <c r="I178" s="112" t="n">
        <f aca="false">IF(MONTH($A178)=MONTH($A177),IF(G178=0,I177,G178),G178)</f>
        <v>167238</v>
      </c>
      <c r="J178" s="112" t="n">
        <f aca="false">IF(MONTH($A178)=MONTH($A177),SUM(I178-I177),I178)</f>
        <v>-3863</v>
      </c>
      <c r="K178" s="112" t="n">
        <f aca="false">IF(WEEKDAY(A178,3)&gt;4,0,(IF(A178&lt;K$2,0,IF(A178&lt;=K$3,1,0))))</f>
        <v>0</v>
      </c>
      <c r="L178" s="112" t="n">
        <f aca="false">J178*K178</f>
        <v>-0</v>
      </c>
      <c r="M178" s="112" t="n">
        <f aca="false">SUM(J$97:J178)</f>
        <v>175073</v>
      </c>
      <c r="N178" s="112" t="n">
        <f aca="false">SUM(J$6:J178)</f>
        <v>175073</v>
      </c>
      <c r="P178" s="112" t="n">
        <f aca="false">D178/P$3</f>
        <v>1.88418692124649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-3.863</v>
      </c>
      <c r="T178" s="114" t="n">
        <f aca="false">L178/$R$3</f>
        <v>-0</v>
      </c>
      <c r="U178" s="114" t="n">
        <f aca="false">I178/$R$3</f>
        <v>167.238</v>
      </c>
      <c r="V178" s="114" t="n">
        <f aca="false">M178/$R$3</f>
        <v>175.073</v>
      </c>
      <c r="W178" s="114" t="n">
        <f aca="false">N178/$R$3</f>
        <v>175.073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Data'!$A$2:$B$8,MATCH(WEEKDAY('Rio Cuarto Power Trading'!A179,3),'Master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167238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175073</v>
      </c>
      <c r="N179" s="112" t="n">
        <f aca="false">SUM(J$6:J179)</f>
        <v>175073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167.238</v>
      </c>
      <c r="V179" s="114" t="n">
        <f aca="false">M179/$R$3</f>
        <v>175.073</v>
      </c>
      <c r="W179" s="114" t="n">
        <f aca="false">N179/$R$3</f>
        <v>175.073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Data'!$A$2:$B$8,MATCH(WEEKDAY('Rio Cuarto Power Trading'!A180,3),'Master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167238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175073</v>
      </c>
      <c r="N180" s="112" t="n">
        <f aca="false">SUM(J$6:J180)</f>
        <v>175073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167.238</v>
      </c>
      <c r="V180" s="114" t="n">
        <f aca="false">M180/$R$3</f>
        <v>175.073</v>
      </c>
      <c r="W180" s="114" t="n">
        <f aca="false">N180/$R$3</f>
        <v>175.073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Data'!$A$2:$B$8,MATCH(WEEKDAY('Rio Cuarto Power Trading'!A181,3),'Master Data'!$A$2:$A$8,0),2)</f>
        <v>M</v>
      </c>
      <c r="D181" s="112" t="n">
        <v>1885797.32450614</v>
      </c>
      <c r="E181" s="112" t="n">
        <v>0</v>
      </c>
      <c r="F181" s="112" t="n">
        <v>0</v>
      </c>
      <c r="G181" s="112" t="n">
        <v>167527</v>
      </c>
      <c r="I181" s="112" t="n">
        <f aca="false">IF(MONTH($A181)=MONTH($A180),IF(G181=0,I180,G181),G181)</f>
        <v>167527</v>
      </c>
      <c r="J181" s="112" t="n">
        <f aca="false">IF(MONTH($A181)=MONTH($A180),SUM(I181-I180),I181)</f>
        <v>289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175362</v>
      </c>
      <c r="N181" s="112" t="n">
        <f aca="false">SUM(J$6:J181)</f>
        <v>175362</v>
      </c>
      <c r="P181" s="112" t="n">
        <f aca="false">D181/P$3</f>
        <v>1.88579732450614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0.289</v>
      </c>
      <c r="T181" s="114" t="n">
        <f aca="false">L181/$R$3</f>
        <v>0</v>
      </c>
      <c r="U181" s="114" t="n">
        <f aca="false">I181/$R$3</f>
        <v>167.527</v>
      </c>
      <c r="V181" s="114" t="n">
        <f aca="false">M181/$R$3</f>
        <v>175.362</v>
      </c>
      <c r="W181" s="114" t="n">
        <f aca="false">N181/$R$3</f>
        <v>175.362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Data'!$A$2:$B$8,MATCH(WEEKDAY('Rio Cuarto Power Trading'!A182,3),'Master Data'!$A$2:$A$8,0),2)</f>
        <v>T</v>
      </c>
      <c r="D182" s="112" t="n">
        <v>1885160.17822509</v>
      </c>
      <c r="E182" s="112" t="n">
        <v>0</v>
      </c>
      <c r="F182" s="112" t="n">
        <v>0</v>
      </c>
      <c r="G182" s="112" t="n">
        <v>167791</v>
      </c>
      <c r="I182" s="112" t="n">
        <f aca="false">IF(MONTH($A182)=MONTH($A181),IF(G182=0,I181,G182),G182)</f>
        <v>167791</v>
      </c>
      <c r="J182" s="112" t="n">
        <f aca="false">IF(MONTH($A182)=MONTH($A181),SUM(I182-I181),I182)</f>
        <v>264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175626</v>
      </c>
      <c r="N182" s="112" t="n">
        <f aca="false">SUM(J$6:J182)</f>
        <v>175626</v>
      </c>
      <c r="P182" s="112" t="n">
        <f aca="false">D182/P$3</f>
        <v>1.88516017822509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0.264</v>
      </c>
      <c r="T182" s="114" t="n">
        <f aca="false">L182/$R$3</f>
        <v>0</v>
      </c>
      <c r="U182" s="114" t="n">
        <f aca="false">I182/$R$3</f>
        <v>167.791</v>
      </c>
      <c r="V182" s="114" t="n">
        <f aca="false">M182/$R$3</f>
        <v>175.626</v>
      </c>
      <c r="W182" s="114" t="n">
        <f aca="false">N182/$R$3</f>
        <v>175.626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Data'!$A$2:$B$8,MATCH(WEEKDAY('Rio Cuarto Power Trading'!A183,3),'Master Data'!$A$2:$A$8,0),2)</f>
        <v>W</v>
      </c>
      <c r="D183" s="112" t="n">
        <v>1881216.12546862</v>
      </c>
      <c r="E183" s="112" t="n">
        <v>0</v>
      </c>
      <c r="F183" s="112" t="n">
        <v>0</v>
      </c>
      <c r="G183" s="112" t="n">
        <v>173330</v>
      </c>
      <c r="I183" s="112" t="n">
        <f aca="false">IF(MONTH($A183)=MONTH($A182),IF(G183=0,I182,G183),G183)</f>
        <v>173330</v>
      </c>
      <c r="J183" s="112" t="n">
        <f aca="false">IF(MONTH($A183)=MONTH($A182),SUM(I183-I182),I183)</f>
        <v>5539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181165</v>
      </c>
      <c r="N183" s="112" t="n">
        <f aca="false">SUM(J$6:J183)</f>
        <v>181165</v>
      </c>
      <c r="P183" s="112" t="n">
        <f aca="false">D183/P$3</f>
        <v>1.88121612546862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5.539</v>
      </c>
      <c r="T183" s="114" t="n">
        <f aca="false">L183/$R$3</f>
        <v>0</v>
      </c>
      <c r="U183" s="114" t="n">
        <f aca="false">I183/$R$3</f>
        <v>173.33</v>
      </c>
      <c r="V183" s="114" t="n">
        <f aca="false">M183/$R$3</f>
        <v>181.165</v>
      </c>
      <c r="W183" s="114" t="n">
        <f aca="false">N183/$R$3</f>
        <v>181.165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Data'!$A$2:$B$8,MATCH(WEEKDAY('Rio Cuarto Power Trading'!A184,3),'Master Data'!$A$2:$A$8,0),2)</f>
        <v>Th</v>
      </c>
      <c r="D184" s="112" t="n">
        <v>1877748.75681339</v>
      </c>
      <c r="E184" s="112" t="n">
        <v>0</v>
      </c>
      <c r="F184" s="112" t="n">
        <v>0</v>
      </c>
      <c r="G184" s="112" t="n">
        <v>171359</v>
      </c>
      <c r="I184" s="112" t="n">
        <f aca="false">IF(MONTH($A184)=MONTH($A183),IF(G184=0,I183,G184),G184)</f>
        <v>171359</v>
      </c>
      <c r="J184" s="112" t="n">
        <f aca="false">IF(MONTH($A184)=MONTH($A183),SUM(I184-I183),I184)</f>
        <v>-1971</v>
      </c>
      <c r="K184" s="112" t="n">
        <f aca="false">IF(WEEKDAY(A184,3)&gt;4,0,(IF(A184&lt;K$2,0,IF(A184&lt;=K$3,1,0))))</f>
        <v>0</v>
      </c>
      <c r="L184" s="112" t="n">
        <f aca="false">J184*K184</f>
        <v>-0</v>
      </c>
      <c r="M184" s="112" t="n">
        <f aca="false">SUM(J$97:J184)</f>
        <v>179194</v>
      </c>
      <c r="N184" s="112" t="n">
        <f aca="false">SUM(J$6:J184)</f>
        <v>179194</v>
      </c>
      <c r="P184" s="112" t="n">
        <f aca="false">D184/P$3</f>
        <v>1.87774875681339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-1.971</v>
      </c>
      <c r="T184" s="114" t="n">
        <f aca="false">L184/$R$3</f>
        <v>-0</v>
      </c>
      <c r="U184" s="114" t="n">
        <f aca="false">I184/$R$3</f>
        <v>171.359</v>
      </c>
      <c r="V184" s="114" t="n">
        <f aca="false">M184/$R$3</f>
        <v>179.194</v>
      </c>
      <c r="W184" s="114" t="n">
        <f aca="false">N184/$R$3</f>
        <v>179.194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Data'!$A$2:$B$8,MATCH(WEEKDAY('Rio Cuarto Power Trading'!A185,3),'Master Data'!$A$2:$A$8,0),2)</f>
        <v>F</v>
      </c>
      <c r="D185" s="112" t="n">
        <v>1870889.68060695</v>
      </c>
      <c r="E185" s="112" t="n">
        <v>0</v>
      </c>
      <c r="F185" s="112" t="n">
        <v>0</v>
      </c>
      <c r="G185" s="112" t="n">
        <v>174792</v>
      </c>
      <c r="I185" s="112" t="n">
        <f aca="false">IF(MONTH($A185)=MONTH($A184),IF(G185=0,I184,G185),G185)</f>
        <v>174792</v>
      </c>
      <c r="J185" s="112" t="n">
        <f aca="false">IF(MONTH($A185)=MONTH($A184),SUM(I185-I184),I185)</f>
        <v>3433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182627</v>
      </c>
      <c r="N185" s="112" t="n">
        <f aca="false">SUM(J$6:J185)</f>
        <v>182627</v>
      </c>
      <c r="P185" s="112" t="n">
        <f aca="false">D185/P$3</f>
        <v>1.87088968060695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3.433</v>
      </c>
      <c r="T185" s="114" t="n">
        <f aca="false">L185/$R$3</f>
        <v>0</v>
      </c>
      <c r="U185" s="114" t="n">
        <f aca="false">I185/$R$3</f>
        <v>174.792</v>
      </c>
      <c r="V185" s="114" t="n">
        <f aca="false">M185/$R$3</f>
        <v>182.627</v>
      </c>
      <c r="W185" s="114" t="n">
        <f aca="false">N185/$R$3</f>
        <v>182.627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Data'!$A$2:$B$8,MATCH(WEEKDAY('Rio Cuarto Power Trading'!A186,3),'Master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174792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182627</v>
      </c>
      <c r="N186" s="112" t="n">
        <f aca="false">SUM(J$6:J186)</f>
        <v>182627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174.792</v>
      </c>
      <c r="V186" s="114" t="n">
        <f aca="false">M186/$R$3</f>
        <v>182.627</v>
      </c>
      <c r="W186" s="114" t="n">
        <f aca="false">N186/$R$3</f>
        <v>182.627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Data'!$A$2:$B$8,MATCH(WEEKDAY('Rio Cuarto Power Trading'!A187,3),'Master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182627</v>
      </c>
      <c r="N187" s="112" t="n">
        <f aca="false">SUM(J$6:J187)</f>
        <v>182627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182.627</v>
      </c>
      <c r="W187" s="114" t="n">
        <f aca="false">N187/$R$3</f>
        <v>182.627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Data'!$A$2:$B$8,MATCH(WEEKDAY('Rio Cuarto Power Trading'!A188,3),'Master Data'!$A$2:$A$8,0),2)</f>
        <v>M</v>
      </c>
      <c r="D188" s="112" t="n">
        <v>1869327.16730982</v>
      </c>
      <c r="E188" s="112" t="n">
        <v>0</v>
      </c>
      <c r="F188" s="112" t="n">
        <v>0</v>
      </c>
      <c r="G188" s="112" t="n">
        <v>143</v>
      </c>
      <c r="I188" s="112" t="n">
        <f aca="false">IF(MONTH($A188)=MONTH($A187),IF(G188=0,I187,G188),G188)</f>
        <v>143</v>
      </c>
      <c r="J188" s="112" t="n">
        <f aca="false">IF(MONTH($A188)=MONTH($A187),SUM(I188-I187),I188)</f>
        <v>143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143</v>
      </c>
      <c r="N188" s="112" t="n">
        <f aca="false">SUM(J$6:J188)</f>
        <v>182770</v>
      </c>
      <c r="P188" s="112" t="n">
        <f aca="false">D188/P$3</f>
        <v>1.86932716730982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0.143</v>
      </c>
      <c r="T188" s="114" t="n">
        <f aca="false">L188/$R$3</f>
        <v>0</v>
      </c>
      <c r="U188" s="114" t="n">
        <f aca="false">I188/$R$3</f>
        <v>0.143</v>
      </c>
      <c r="V188" s="114" t="n">
        <f aca="false">M188/$R$3</f>
        <v>0.143</v>
      </c>
      <c r="W188" s="114" t="n">
        <f aca="false">N188/$R$3</f>
        <v>182.77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Data'!$A$2:$B$8,MATCH(WEEKDAY('Rio Cuarto Power Trading'!A189,3),'Master Data'!$A$2:$A$8,0),2)</f>
        <v>T</v>
      </c>
      <c r="D189" s="112" t="n">
        <v>1871670.11347638</v>
      </c>
      <c r="E189" s="112" t="n">
        <v>0</v>
      </c>
      <c r="F189" s="112" t="n">
        <v>0</v>
      </c>
      <c r="G189" s="112" t="n">
        <v>22009</v>
      </c>
      <c r="I189" s="112" t="n">
        <f aca="false">IF(MONTH($A189)=MONTH($A188),IF(G189=0,I188,G189),G189)</f>
        <v>22009</v>
      </c>
      <c r="J189" s="112" t="n">
        <f aca="false">IF(MONTH($A189)=MONTH($A188),SUM(I189-I188),I189)</f>
        <v>21866</v>
      </c>
      <c r="K189" s="112" t="n">
        <f aca="false">IF(WEEKDAY(A189,3)&gt;4,0,(IF(A189&lt;K$2,0,IF(A189&lt;=K$3,1,0))))</f>
        <v>1</v>
      </c>
      <c r="L189" s="112" t="n">
        <f aca="false">J189*K189</f>
        <v>21866</v>
      </c>
      <c r="M189" s="112" t="n">
        <f aca="false">SUM(J$188:J189)</f>
        <v>22009</v>
      </c>
      <c r="N189" s="112" t="n">
        <f aca="false">SUM(J$6:J189)</f>
        <v>204636</v>
      </c>
      <c r="P189" s="112" t="n">
        <f aca="false">D189/P$3</f>
        <v>1.87167011347638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21.866</v>
      </c>
      <c r="T189" s="114" t="n">
        <f aca="false">L189/$R$3</f>
        <v>21.866</v>
      </c>
      <c r="U189" s="114" t="n">
        <f aca="false">I189/$R$3</f>
        <v>22.009</v>
      </c>
      <c r="V189" s="114" t="n">
        <f aca="false">M189/$R$3</f>
        <v>22.009</v>
      </c>
      <c r="W189" s="114" t="n">
        <f aca="false">N189/$R$3</f>
        <v>204.636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Data'!$A$2:$B$8,MATCH(WEEKDAY('Rio Cuarto Power Trading'!A190,3),'Master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22009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22009</v>
      </c>
      <c r="N190" s="112" t="n">
        <f aca="false">SUM(J$6:J190)</f>
        <v>204636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22.009</v>
      </c>
      <c r="V190" s="114" t="n">
        <f aca="false">M190/$R$3</f>
        <v>22.009</v>
      </c>
      <c r="W190" s="114" t="n">
        <f aca="false">N190/$R$3</f>
        <v>204.636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Data'!$A$2:$B$8,MATCH(WEEKDAY('Rio Cuarto Power Trading'!A191,3),'Master Data'!$A$2:$A$8,0),2)</f>
        <v>Th</v>
      </c>
      <c r="D191" s="112" t="n">
        <v>1870550.6931555</v>
      </c>
      <c r="E191" s="112" t="n">
        <v>0</v>
      </c>
      <c r="F191" s="112" t="n">
        <v>0</v>
      </c>
      <c r="G191" s="112" t="n">
        <v>46445</v>
      </c>
      <c r="I191" s="112" t="n">
        <f aca="false">IF(MONTH($A191)=MONTH($A190),IF(G191=0,I190,G191),G191)</f>
        <v>46445</v>
      </c>
      <c r="J191" s="112" t="n">
        <f aca="false">IF(MONTH($A191)=MONTH($A190),SUM(I191-I190),I191)</f>
        <v>24436</v>
      </c>
      <c r="K191" s="112" t="n">
        <f aca="false">IF(WEEKDAY(A191,3)&gt;4,0,(IF(A191&lt;K$2,0,IF(A191&lt;=K$3,1,0))))</f>
        <v>1</v>
      </c>
      <c r="L191" s="112" t="n">
        <f aca="false">J191*K191</f>
        <v>24436</v>
      </c>
      <c r="M191" s="112" t="n">
        <f aca="false">SUM(J$188:J191)</f>
        <v>46445</v>
      </c>
      <c r="N191" s="112" t="n">
        <f aca="false">SUM(J$6:J191)</f>
        <v>229072</v>
      </c>
      <c r="P191" s="112" t="n">
        <f aca="false">D191/P$3</f>
        <v>1.8705506931555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24.436</v>
      </c>
      <c r="T191" s="114" t="n">
        <f aca="false">L191/$R$3</f>
        <v>24.436</v>
      </c>
      <c r="U191" s="114" t="n">
        <f aca="false">I191/$R$3</f>
        <v>46.445</v>
      </c>
      <c r="V191" s="114" t="n">
        <f aca="false">M191/$R$3</f>
        <v>46.445</v>
      </c>
      <c r="W191" s="114" t="n">
        <f aca="false">N191/$R$3</f>
        <v>229.072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Data'!$A$2:$B$8,MATCH(WEEKDAY('Rio Cuarto Power Trading'!A192,3),'Master Data'!$A$2:$A$8,0),2)</f>
        <v>F</v>
      </c>
      <c r="D192" s="112" t="n">
        <v>-123806.581033774</v>
      </c>
      <c r="E192" s="112"/>
      <c r="F192" s="112" t="n">
        <v>0</v>
      </c>
      <c r="G192" s="112" t="n">
        <v>60107</v>
      </c>
      <c r="I192" s="112" t="n">
        <f aca="false">IF(MONTH($A192)=MONTH($A191),IF(G192=0,I191,G192),G192)</f>
        <v>60107</v>
      </c>
      <c r="J192" s="112" t="n">
        <f aca="false">IF(MONTH($A192)=MONTH($A191),SUM(I192-I191),I192)</f>
        <v>13662</v>
      </c>
      <c r="K192" s="112" t="n">
        <f aca="false">IF(WEEKDAY(A192,3)&gt;4,0,(IF(A192&lt;K$2,0,IF(A192&lt;=K$3,1,0))))</f>
        <v>1</v>
      </c>
      <c r="L192" s="112" t="n">
        <f aca="false">J192*K192</f>
        <v>13662</v>
      </c>
      <c r="M192" s="112" t="n">
        <f aca="false">SUM(J$188:J192)</f>
        <v>60107</v>
      </c>
      <c r="N192" s="112" t="n">
        <f aca="false">SUM(J$6:J192)</f>
        <v>242734</v>
      </c>
      <c r="P192" s="112" t="n">
        <f aca="false">D192/P$3</f>
        <v>-0.123806581033774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13.662</v>
      </c>
      <c r="T192" s="114" t="n">
        <f aca="false">L192/$R$3</f>
        <v>13.662</v>
      </c>
      <c r="U192" s="114" t="n">
        <f aca="false">I192/$R$3</f>
        <v>60.107</v>
      </c>
      <c r="V192" s="114" t="n">
        <f aca="false">M192/$R$3</f>
        <v>60.107</v>
      </c>
      <c r="W192" s="114" t="n">
        <f aca="false">N192/$R$3</f>
        <v>242.734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Data'!$A$2:$B$8,MATCH(WEEKDAY('Rio Cuarto Power Trading'!A193,3),'Master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60107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60107</v>
      </c>
      <c r="N193" s="112" t="n">
        <f aca="false">SUM(J$6:J193)</f>
        <v>242734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60.107</v>
      </c>
      <c r="V193" s="114" t="n">
        <f aca="false">M193/$R$3</f>
        <v>60.107</v>
      </c>
      <c r="W193" s="114" t="n">
        <f aca="false">N193/$R$3</f>
        <v>242.734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Data'!$A$2:$B$8,MATCH(WEEKDAY('Rio Cuarto Power Trading'!A194,3),'Master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60107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60107</v>
      </c>
      <c r="N194" s="112" t="n">
        <f aca="false">SUM(J$6:J194)</f>
        <v>242734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60.107</v>
      </c>
      <c r="V194" s="114" t="n">
        <f aca="false">M194/$R$3</f>
        <v>60.107</v>
      </c>
      <c r="W194" s="114" t="n">
        <f aca="false">N194/$R$3</f>
        <v>242.734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Data'!$A$2:$B$8,MATCH(WEEKDAY('Rio Cuarto Power Trading'!A195,3),'Master Data'!$A$2:$A$8,0),2)</f>
        <v>M</v>
      </c>
      <c r="D195" s="133" t="n">
        <v>-122060.499558255</v>
      </c>
      <c r="E195" s="112" t="n">
        <v>0</v>
      </c>
      <c r="F195" s="112" t="n">
        <v>0</v>
      </c>
      <c r="G195" s="112" t="n">
        <v>60691</v>
      </c>
      <c r="I195" s="112" t="n">
        <f aca="false">IF(MONTH($A195)=MONTH($A194),IF(G195=0,I194,G195),G195)</f>
        <v>60691</v>
      </c>
      <c r="J195" s="112" t="n">
        <f aca="false">IF(MONTH($A195)=MONTH($A194),SUM(I195-I194),I195)</f>
        <v>584</v>
      </c>
      <c r="K195" s="112" t="n">
        <f aca="false">IF(WEEKDAY(A195,3)&gt;4,0,(IF(A195&lt;K$2,0,IF(A195&lt;=K$3,1,0))))</f>
        <v>1</v>
      </c>
      <c r="L195" s="112" t="n">
        <f aca="false">J195*K195</f>
        <v>584</v>
      </c>
      <c r="M195" s="112" t="n">
        <f aca="false">SUM(J$188:J195)</f>
        <v>60691</v>
      </c>
      <c r="N195" s="112" t="n">
        <f aca="false">SUM(J$6:J195)</f>
        <v>243318</v>
      </c>
      <c r="P195" s="112" t="n">
        <f aca="false">D195/P$3</f>
        <v>-0.122060499558255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0.584</v>
      </c>
      <c r="T195" s="114" t="n">
        <f aca="false">L195/$R$3</f>
        <v>0.584</v>
      </c>
      <c r="U195" s="114" t="n">
        <f aca="false">I195/$R$3</f>
        <v>60.691</v>
      </c>
      <c r="V195" s="114" t="n">
        <f aca="false">M195/$R$3</f>
        <v>60.691</v>
      </c>
      <c r="W195" s="114" t="n">
        <f aca="false">N195/$R$3</f>
        <v>243.318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Data'!$A$2:$B$8,MATCH(WEEKDAY('Rio Cuarto Power Trading'!A196,3),'Master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60691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60691</v>
      </c>
      <c r="N196" s="112" t="n">
        <f aca="false">SUM(J$6:J196)</f>
        <v>243318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60.691</v>
      </c>
      <c r="V196" s="114" t="n">
        <f aca="false">M196/$R$3</f>
        <v>60.691</v>
      </c>
      <c r="W196" s="114" t="n">
        <f aca="false">N196/$R$3</f>
        <v>243.318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Data'!$A$2:$B$8,MATCH(WEEKDAY('Rio Cuarto Power Trading'!A197,3),'Master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60691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60691</v>
      </c>
      <c r="N197" s="112" t="n">
        <f aca="false">SUM(J$6:J197)</f>
        <v>243318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60.691</v>
      </c>
      <c r="V197" s="114" t="n">
        <f aca="false">M197/$R$3</f>
        <v>60.691</v>
      </c>
      <c r="W197" s="114" t="n">
        <f aca="false">N197/$R$3</f>
        <v>243.318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Data'!$A$2:$B$8,MATCH(WEEKDAY('Rio Cuarto Power Trading'!A198,3),'Master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60691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60691</v>
      </c>
      <c r="N198" s="112" t="n">
        <f aca="false">SUM(J$6:J198)</f>
        <v>243318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60.691</v>
      </c>
      <c r="V198" s="114" t="n">
        <f aca="false">M198/$R$3</f>
        <v>60.691</v>
      </c>
      <c r="W198" s="114" t="n">
        <f aca="false">N198/$R$3</f>
        <v>243.318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Data'!$A$2:$B$8,MATCH(WEEKDAY('Rio Cuarto Power Trading'!A199,3),'Master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60691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60691</v>
      </c>
      <c r="N199" s="112" t="n">
        <f aca="false">SUM(J$6:J199)</f>
        <v>243318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60.691</v>
      </c>
      <c r="V199" s="114" t="n">
        <f aca="false">M199/$R$3</f>
        <v>60.691</v>
      </c>
      <c r="W199" s="114" t="n">
        <f aca="false">N199/$R$3</f>
        <v>243.318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Data'!$A$2:$B$8,MATCH(WEEKDAY('Rio Cuarto Power Trading'!A200,3),'Master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60691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60691</v>
      </c>
      <c r="N200" s="112" t="n">
        <f aca="false">SUM(J$6:J200)</f>
        <v>243318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60.691</v>
      </c>
      <c r="V200" s="114" t="n">
        <f aca="false">M200/$R$3</f>
        <v>60.691</v>
      </c>
      <c r="W200" s="114" t="n">
        <f aca="false">N200/$R$3</f>
        <v>243.318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Data'!$A$2:$B$8,MATCH(WEEKDAY('Rio Cuarto Power Trading'!A201,3),'Master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60691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60691</v>
      </c>
      <c r="N201" s="112" t="n">
        <f aca="false">SUM(J$6:J201)</f>
        <v>243318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60.691</v>
      </c>
      <c r="V201" s="114" t="n">
        <f aca="false">M201/$R$3</f>
        <v>60.691</v>
      </c>
      <c r="W201" s="114" t="n">
        <f aca="false">N201/$R$3</f>
        <v>243.318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Data'!$A$2:$B$8,MATCH(WEEKDAY('Rio Cuarto Power Trading'!A202,3),'Master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60691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60691</v>
      </c>
      <c r="N202" s="112" t="n">
        <f aca="false">SUM(J$6:J202)</f>
        <v>243318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60.691</v>
      </c>
      <c r="V202" s="114" t="n">
        <f aca="false">M202/$R$3</f>
        <v>60.691</v>
      </c>
      <c r="W202" s="114" t="n">
        <f aca="false">N202/$R$3</f>
        <v>243.318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Data'!$A$2:$B$8,MATCH(WEEKDAY('Rio Cuarto Power Trading'!A203,3),'Master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60691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60691</v>
      </c>
      <c r="N203" s="112" t="n">
        <f aca="false">SUM(J$6:J203)</f>
        <v>243318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60.691</v>
      </c>
      <c r="V203" s="114" t="n">
        <f aca="false">M203/$R$3</f>
        <v>60.691</v>
      </c>
      <c r="W203" s="114" t="n">
        <f aca="false">N203/$R$3</f>
        <v>243.318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Data'!$A$2:$B$8,MATCH(WEEKDAY('Rio Cuarto Power Trading'!A204,3),'Master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60691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60691</v>
      </c>
      <c r="N204" s="112" t="n">
        <f aca="false">SUM(J$6:J204)</f>
        <v>243318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60.691</v>
      </c>
      <c r="V204" s="114" t="n">
        <f aca="false">M204/$R$3</f>
        <v>60.691</v>
      </c>
      <c r="W204" s="114" t="n">
        <f aca="false">N204/$R$3</f>
        <v>243.318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Data'!$A$2:$B$8,MATCH(WEEKDAY('Rio Cuarto Power Trading'!A205,3),'Master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60691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60691</v>
      </c>
      <c r="N205" s="112" t="n">
        <f aca="false">SUM(J$6:J205)</f>
        <v>243318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60.691</v>
      </c>
      <c r="V205" s="114" t="n">
        <f aca="false">M205/$R$3</f>
        <v>60.691</v>
      </c>
      <c r="W205" s="114" t="n">
        <f aca="false">N205/$R$3</f>
        <v>243.318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Data'!$A$2:$B$8,MATCH(WEEKDAY('Rio Cuarto Power Trading'!A206,3),'Master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60691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60691</v>
      </c>
      <c r="N206" s="112" t="n">
        <f aca="false">SUM(J$6:J206)</f>
        <v>243318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60.691</v>
      </c>
      <c r="V206" s="114" t="n">
        <f aca="false">M206/$R$3</f>
        <v>60.691</v>
      </c>
      <c r="W206" s="114" t="n">
        <f aca="false">N206/$R$3</f>
        <v>243.318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Data'!$A$2:$B$8,MATCH(WEEKDAY('Rio Cuarto Power Trading'!A207,3),'Master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60691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60691</v>
      </c>
      <c r="N207" s="112" t="n">
        <f aca="false">SUM(J$6:J207)</f>
        <v>243318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60.691</v>
      </c>
      <c r="V207" s="114" t="n">
        <f aca="false">M207/$R$3</f>
        <v>60.691</v>
      </c>
      <c r="W207" s="114" t="n">
        <f aca="false">N207/$R$3</f>
        <v>243.318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Data'!$A$2:$B$8,MATCH(WEEKDAY('Rio Cuarto Power Trading'!A208,3),'Master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60691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60691</v>
      </c>
      <c r="N208" s="112" t="n">
        <f aca="false">SUM(J$6:J208)</f>
        <v>243318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60.691</v>
      </c>
      <c r="V208" s="114" t="n">
        <f aca="false">M208/$R$3</f>
        <v>60.691</v>
      </c>
      <c r="W208" s="114" t="n">
        <f aca="false">N208/$R$3</f>
        <v>243.318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Data'!$A$2:$B$8,MATCH(WEEKDAY('Rio Cuarto Power Trading'!A209,3),'Master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60691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60691</v>
      </c>
      <c r="N209" s="112" t="n">
        <f aca="false">SUM(J$6:J209)</f>
        <v>243318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60.691</v>
      </c>
      <c r="V209" s="114" t="n">
        <f aca="false">M209/$R$3</f>
        <v>60.691</v>
      </c>
      <c r="W209" s="114" t="n">
        <f aca="false">N209/$R$3</f>
        <v>243.318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Data'!$A$2:$B$8,MATCH(WEEKDAY('Rio Cuarto Power Trading'!A210,3),'Master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60691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60691</v>
      </c>
      <c r="N210" s="112" t="n">
        <f aca="false">SUM(J$6:J210)</f>
        <v>243318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60.691</v>
      </c>
      <c r="V210" s="114" t="n">
        <f aca="false">M210/$R$3</f>
        <v>60.691</v>
      </c>
      <c r="W210" s="114" t="n">
        <f aca="false">N210/$R$3</f>
        <v>243.318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Data'!$A$2:$B$8,MATCH(WEEKDAY('Rio Cuarto Power Trading'!A211,3),'Master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60691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60691</v>
      </c>
      <c r="N211" s="112" t="n">
        <f aca="false">SUM(J$6:J211)</f>
        <v>243318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60.691</v>
      </c>
      <c r="V211" s="114" t="n">
        <f aca="false">M211/$R$3</f>
        <v>60.691</v>
      </c>
      <c r="W211" s="114" t="n">
        <f aca="false">N211/$R$3</f>
        <v>243.318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Data'!$A$2:$B$8,MATCH(WEEKDAY('Rio Cuarto Power Trading'!A212,3),'Master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60691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60691</v>
      </c>
      <c r="N212" s="112" t="n">
        <f aca="false">SUM(J$6:J212)</f>
        <v>243318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60.691</v>
      </c>
      <c r="V212" s="114" t="n">
        <f aca="false">M212/$R$3</f>
        <v>60.691</v>
      </c>
      <c r="W212" s="114" t="n">
        <f aca="false">N212/$R$3</f>
        <v>243.318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Data'!$A$2:$B$8,MATCH(WEEKDAY('Rio Cuarto Power Trading'!A213,3),'Master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60691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60691</v>
      </c>
      <c r="N213" s="112" t="n">
        <f aca="false">SUM(J$6:J213)</f>
        <v>243318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60.691</v>
      </c>
      <c r="V213" s="114" t="n">
        <f aca="false">M213/$R$3</f>
        <v>60.691</v>
      </c>
      <c r="W213" s="114" t="n">
        <f aca="false">N213/$R$3</f>
        <v>243.318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Data'!$A$2:$B$8,MATCH(WEEKDAY('Rio Cuarto Power Trading'!A214,3),'Master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60691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60691</v>
      </c>
      <c r="N214" s="112" t="n">
        <f aca="false">SUM(J$6:J214)</f>
        <v>243318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60.691</v>
      </c>
      <c r="V214" s="114" t="n">
        <f aca="false">M214/$R$3</f>
        <v>60.691</v>
      </c>
      <c r="W214" s="114" t="n">
        <f aca="false">N214/$R$3</f>
        <v>243.318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Data'!$A$2:$B$8,MATCH(WEEKDAY('Rio Cuarto Power Trading'!A215,3),'Master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60691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60691</v>
      </c>
      <c r="N215" s="112" t="n">
        <f aca="false">SUM(J$6:J215)</f>
        <v>243318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60.691</v>
      </c>
      <c r="V215" s="114" t="n">
        <f aca="false">M215/$R$3</f>
        <v>60.691</v>
      </c>
      <c r="W215" s="114" t="n">
        <f aca="false">N215/$R$3</f>
        <v>243.318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Data'!$A$2:$B$8,MATCH(WEEKDAY('Rio Cuarto Power Trading'!A216,3),'Master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60691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60691</v>
      </c>
      <c r="N216" s="112" t="n">
        <f aca="false">SUM(J$6:J216)</f>
        <v>243318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60.691</v>
      </c>
      <c r="V216" s="114" t="n">
        <f aca="false">M216/$R$3</f>
        <v>60.691</v>
      </c>
      <c r="W216" s="114" t="n">
        <f aca="false">N216/$R$3</f>
        <v>243.318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Data'!$A$2:$B$8,MATCH(WEEKDAY('Rio Cuarto Power Trading'!A217,3),'Master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60691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60691</v>
      </c>
      <c r="N217" s="112" t="n">
        <f aca="false">SUM(J$6:J217)</f>
        <v>243318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60.691</v>
      </c>
      <c r="V217" s="114" t="n">
        <f aca="false">M217/$R$3</f>
        <v>60.691</v>
      </c>
      <c r="W217" s="114" t="n">
        <f aca="false">N217/$R$3</f>
        <v>243.318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Data'!$A$2:$B$8,MATCH(WEEKDAY('Rio Cuarto Power Trading'!A218,3),'Master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60691</v>
      </c>
      <c r="N218" s="112" t="n">
        <f aca="false">SUM(J$6:J218)</f>
        <v>243318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60.691</v>
      </c>
      <c r="W218" s="114" t="n">
        <f aca="false">N218/$R$3</f>
        <v>243.318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Data'!$A$2:$B$8,MATCH(WEEKDAY('Rio Cuarto Power Trading'!A219,3),'Master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60691</v>
      </c>
      <c r="N219" s="112" t="n">
        <f aca="false">SUM(J$6:J219)</f>
        <v>243318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60.691</v>
      </c>
      <c r="W219" s="114" t="n">
        <f aca="false">N219/$R$3</f>
        <v>243.318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Data'!$A$2:$B$8,MATCH(WEEKDAY('Rio Cuarto Power Trading'!A220,3),'Master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60691</v>
      </c>
      <c r="N220" s="112" t="n">
        <f aca="false">SUM(J$6:J220)</f>
        <v>243318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60.691</v>
      </c>
      <c r="W220" s="114" t="n">
        <f aca="false">N220/$R$3</f>
        <v>243.318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Data'!$A$2:$B$8,MATCH(WEEKDAY('Rio Cuarto Power Trading'!A221,3),'Master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60691</v>
      </c>
      <c r="N221" s="112" t="n">
        <f aca="false">SUM(J$6:J221)</f>
        <v>243318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60.691</v>
      </c>
      <c r="W221" s="114" t="n">
        <f aca="false">N221/$R$3</f>
        <v>243.318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Data'!$A$2:$B$8,MATCH(WEEKDAY('Rio Cuarto Power Trading'!A222,3),'Master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60691</v>
      </c>
      <c r="N222" s="112" t="n">
        <f aca="false">SUM(J$6:J222)</f>
        <v>243318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60.691</v>
      </c>
      <c r="W222" s="114" t="n">
        <f aca="false">N222/$R$3</f>
        <v>243.318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Data'!$A$2:$B$8,MATCH(WEEKDAY('Rio Cuarto Power Trading'!A223,3),'Master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60691</v>
      </c>
      <c r="N223" s="112" t="n">
        <f aca="false">SUM(J$6:J223)</f>
        <v>243318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60.691</v>
      </c>
      <c r="W223" s="114" t="n">
        <f aca="false">N223/$R$3</f>
        <v>243.318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Data'!$A$2:$B$8,MATCH(WEEKDAY('Rio Cuarto Power Trading'!A224,3),'Master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60691</v>
      </c>
      <c r="N224" s="112" t="n">
        <f aca="false">SUM(J$6:J224)</f>
        <v>243318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60.691</v>
      </c>
      <c r="W224" s="114" t="n">
        <f aca="false">N224/$R$3</f>
        <v>243.318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Data'!$A$2:$B$8,MATCH(WEEKDAY('Rio Cuarto Power Trading'!A225,3),'Master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60691</v>
      </c>
      <c r="N225" s="112" t="n">
        <f aca="false">SUM(J$6:J225)</f>
        <v>243318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60.691</v>
      </c>
      <c r="W225" s="114" t="n">
        <f aca="false">N225/$R$3</f>
        <v>243.318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Data'!$A$2:$B$8,MATCH(WEEKDAY('Rio Cuarto Power Trading'!A226,3),'Master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60691</v>
      </c>
      <c r="N226" s="112" t="n">
        <f aca="false">SUM(J$6:J226)</f>
        <v>243318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60.691</v>
      </c>
      <c r="W226" s="114" t="n">
        <f aca="false">N226/$R$3</f>
        <v>243.318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Data'!$A$2:$B$8,MATCH(WEEKDAY('Rio Cuarto Power Trading'!A227,3),'Master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60691</v>
      </c>
      <c r="N227" s="112" t="n">
        <f aca="false">SUM(J$6:J227)</f>
        <v>243318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60.691</v>
      </c>
      <c r="W227" s="114" t="n">
        <f aca="false">N227/$R$3</f>
        <v>243.318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Data'!$A$2:$B$8,MATCH(WEEKDAY('Rio Cuarto Power Trading'!A228,3),'Master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60691</v>
      </c>
      <c r="N228" s="112" t="n">
        <f aca="false">SUM(J$6:J228)</f>
        <v>243318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60.691</v>
      </c>
      <c r="W228" s="114" t="n">
        <f aca="false">N228/$R$3</f>
        <v>243.318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Data'!$A$2:$B$8,MATCH(WEEKDAY('Rio Cuarto Power Trading'!A229,3),'Master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60691</v>
      </c>
      <c r="N229" s="112" t="n">
        <f aca="false">SUM(J$6:J229)</f>
        <v>243318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60.691</v>
      </c>
      <c r="W229" s="114" t="n">
        <f aca="false">N229/$R$3</f>
        <v>243.318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Data'!$A$2:$B$8,MATCH(WEEKDAY('Rio Cuarto Power Trading'!A230,3),'Master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60691</v>
      </c>
      <c r="N230" s="112" t="n">
        <f aca="false">SUM(J$6:J230)</f>
        <v>243318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60.691</v>
      </c>
      <c r="W230" s="114" t="n">
        <f aca="false">N230/$R$3</f>
        <v>243.318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Data'!$A$2:$B$8,MATCH(WEEKDAY('Rio Cuarto Power Trading'!A231,3),'Master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60691</v>
      </c>
      <c r="N231" s="112" t="n">
        <f aca="false">SUM(J$6:J231)</f>
        <v>243318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60.691</v>
      </c>
      <c r="W231" s="114" t="n">
        <f aca="false">N231/$R$3</f>
        <v>243.318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Data'!$A$2:$B$8,MATCH(WEEKDAY('Rio Cuarto Power Trading'!A232,3),'Master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60691</v>
      </c>
      <c r="N232" s="112" t="n">
        <f aca="false">SUM(J$6:J232)</f>
        <v>243318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60.691</v>
      </c>
      <c r="W232" s="114" t="n">
        <f aca="false">N232/$R$3</f>
        <v>243.318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Data'!$A$2:$B$8,MATCH(WEEKDAY('Rio Cuarto Power Trading'!A233,3),'Master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60691</v>
      </c>
      <c r="N233" s="112" t="n">
        <f aca="false">SUM(J$6:J233)</f>
        <v>243318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60.691</v>
      </c>
      <c r="W233" s="114" t="n">
        <f aca="false">N233/$R$3</f>
        <v>243.318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Data'!$A$2:$B$8,MATCH(WEEKDAY('Rio Cuarto Power Trading'!A234,3),'Master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60691</v>
      </c>
      <c r="N234" s="112" t="n">
        <f aca="false">SUM(J$6:J234)</f>
        <v>243318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60.691</v>
      </c>
      <c r="W234" s="114" t="n">
        <f aca="false">N234/$R$3</f>
        <v>243.318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Data'!$A$2:$B$8,MATCH(WEEKDAY('Rio Cuarto Power Trading'!A235,3),'Master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60691</v>
      </c>
      <c r="N235" s="112" t="n">
        <f aca="false">SUM(J$6:J235)</f>
        <v>243318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60.691</v>
      </c>
      <c r="W235" s="114" t="n">
        <f aca="false">N235/$R$3</f>
        <v>243.318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Data'!$A$2:$B$8,MATCH(WEEKDAY('Rio Cuarto Power Trading'!A236,3),'Master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60691</v>
      </c>
      <c r="N236" s="112" t="n">
        <f aca="false">SUM(J$6:J236)</f>
        <v>243318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60.691</v>
      </c>
      <c r="W236" s="114" t="n">
        <f aca="false">N236/$R$3</f>
        <v>243.318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Data'!$A$2:$B$8,MATCH(WEEKDAY('Rio Cuarto Power Trading'!A237,3),'Master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60691</v>
      </c>
      <c r="N237" s="112" t="n">
        <f aca="false">SUM(J$6:J237)</f>
        <v>243318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60.691</v>
      </c>
      <c r="W237" s="114" t="n">
        <f aca="false">N237/$R$3</f>
        <v>243.318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Data'!$A$2:$B$8,MATCH(WEEKDAY('Rio Cuarto Power Trading'!A238,3),'Master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60691</v>
      </c>
      <c r="N238" s="112" t="n">
        <f aca="false">SUM(J$6:J238)</f>
        <v>243318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60.691</v>
      </c>
      <c r="W238" s="114" t="n">
        <f aca="false">N238/$R$3</f>
        <v>243.318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Data'!$A$2:$B$8,MATCH(WEEKDAY('Rio Cuarto Power Trading'!A239,3),'Master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60691</v>
      </c>
      <c r="N239" s="112" t="n">
        <f aca="false">SUM(J$6:J239)</f>
        <v>243318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60.691</v>
      </c>
      <c r="W239" s="114" t="n">
        <f aca="false">N239/$R$3</f>
        <v>243.318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Data'!$A$2:$B$8,MATCH(WEEKDAY('Rio Cuarto Power Trading'!A240,3),'Master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60691</v>
      </c>
      <c r="N240" s="112" t="n">
        <f aca="false">SUM(J$6:J240)</f>
        <v>243318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60.691</v>
      </c>
      <c r="W240" s="114" t="n">
        <f aca="false">N240/$R$3</f>
        <v>243.318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Data'!$A$2:$B$8,MATCH(WEEKDAY('Rio Cuarto Power Trading'!A241,3),'Master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60691</v>
      </c>
      <c r="N241" s="112" t="n">
        <f aca="false">SUM(J$6:J241)</f>
        <v>243318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60.691</v>
      </c>
      <c r="W241" s="114" t="n">
        <f aca="false">N241/$R$3</f>
        <v>243.318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Data'!$A$2:$B$8,MATCH(WEEKDAY('Rio Cuarto Power Trading'!A242,3),'Master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60691</v>
      </c>
      <c r="N242" s="112" t="n">
        <f aca="false">SUM(J$6:J242)</f>
        <v>243318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60.691</v>
      </c>
      <c r="W242" s="114" t="n">
        <f aca="false">N242/$R$3</f>
        <v>243.318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Data'!$A$2:$B$8,MATCH(WEEKDAY('Rio Cuarto Power Trading'!A243,3),'Master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60691</v>
      </c>
      <c r="N243" s="112" t="n">
        <f aca="false">SUM(J$6:J243)</f>
        <v>243318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60.691</v>
      </c>
      <c r="W243" s="114" t="n">
        <f aca="false">N243/$R$3</f>
        <v>243.318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Data'!$A$2:$B$8,MATCH(WEEKDAY('Rio Cuarto Power Trading'!A244,3),'Master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60691</v>
      </c>
      <c r="N244" s="112" t="n">
        <f aca="false">SUM(J$6:J244)</f>
        <v>243318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60.691</v>
      </c>
      <c r="W244" s="114" t="n">
        <f aca="false">N244/$R$3</f>
        <v>243.318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Data'!$A$2:$B$8,MATCH(WEEKDAY('Rio Cuarto Power Trading'!A245,3),'Master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60691</v>
      </c>
      <c r="N245" s="112" t="n">
        <f aca="false">SUM(J$6:J245)</f>
        <v>243318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60.691</v>
      </c>
      <c r="W245" s="114" t="n">
        <f aca="false">N245/$R$3</f>
        <v>243.318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Data'!$A$2:$B$8,MATCH(WEEKDAY('Rio Cuarto Power Trading'!A246,3),'Master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60691</v>
      </c>
      <c r="N246" s="112" t="n">
        <f aca="false">SUM(J$6:J246)</f>
        <v>243318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60.691</v>
      </c>
      <c r="W246" s="114" t="n">
        <f aca="false">N246/$R$3</f>
        <v>243.318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Data'!$A$2:$B$8,MATCH(WEEKDAY('Rio Cuarto Power Trading'!A247,3),'Master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60691</v>
      </c>
      <c r="N247" s="112" t="n">
        <f aca="false">SUM(J$6:J247)</f>
        <v>243318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60.691</v>
      </c>
      <c r="W247" s="114" t="n">
        <f aca="false">N247/$R$3</f>
        <v>243.318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Data'!$A$2:$B$8,MATCH(WEEKDAY('Rio Cuarto Power Trading'!A248,3),'Master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60691</v>
      </c>
      <c r="N248" s="112" t="n">
        <f aca="false">SUM(J$6:J248)</f>
        <v>243318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60.691</v>
      </c>
      <c r="W248" s="114" t="n">
        <f aca="false">N248/$R$3</f>
        <v>243.318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Data'!$A$2:$B$8,MATCH(WEEKDAY('Rio Cuarto Power Trading'!A249,3),'Master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60691</v>
      </c>
      <c r="N249" s="112" t="n">
        <f aca="false">SUM(J$6:J249)</f>
        <v>243318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60.691</v>
      </c>
      <c r="W249" s="114" t="n">
        <f aca="false">N249/$R$3</f>
        <v>243.318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Data'!$A$2:$B$8,MATCH(WEEKDAY('Rio Cuarto Power Trading'!A250,3),'Master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60691</v>
      </c>
      <c r="N250" s="112" t="n">
        <f aca="false">SUM(J$6:J250)</f>
        <v>243318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60.691</v>
      </c>
      <c r="W250" s="114" t="n">
        <f aca="false">N250/$R$3</f>
        <v>243.318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Data'!$A$2:$B$8,MATCH(WEEKDAY('Rio Cuarto Power Trading'!A251,3),'Master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60691</v>
      </c>
      <c r="N251" s="112" t="n">
        <f aca="false">SUM(J$6:J251)</f>
        <v>243318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60.691</v>
      </c>
      <c r="W251" s="114" t="n">
        <f aca="false">N251/$R$3</f>
        <v>243.318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Data'!$A$2:$B$8,MATCH(WEEKDAY('Rio Cuarto Power Trading'!A252,3),'Master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60691</v>
      </c>
      <c r="N252" s="112" t="n">
        <f aca="false">SUM(J$6:J252)</f>
        <v>243318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60.691</v>
      </c>
      <c r="W252" s="114" t="n">
        <f aca="false">N252/$R$3</f>
        <v>243.318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Data'!$A$2:$B$8,MATCH(WEEKDAY('Rio Cuarto Power Trading'!A253,3),'Master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60691</v>
      </c>
      <c r="N253" s="112" t="n">
        <f aca="false">SUM(J$6:J253)</f>
        <v>243318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60.691</v>
      </c>
      <c r="W253" s="114" t="n">
        <f aca="false">N253/$R$3</f>
        <v>243.318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Data'!$A$2:$B$8,MATCH(WEEKDAY('Rio Cuarto Power Trading'!A254,3),'Master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60691</v>
      </c>
      <c r="N254" s="112" t="n">
        <f aca="false">SUM(J$6:J254)</f>
        <v>243318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60.691</v>
      </c>
      <c r="W254" s="114" t="n">
        <f aca="false">N254/$R$3</f>
        <v>243.318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Data'!$A$2:$B$8,MATCH(WEEKDAY('Rio Cuarto Power Trading'!A255,3),'Master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60691</v>
      </c>
      <c r="N255" s="112" t="n">
        <f aca="false">SUM(J$6:J255)</f>
        <v>243318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60.691</v>
      </c>
      <c r="W255" s="114" t="n">
        <f aca="false">N255/$R$3</f>
        <v>243.318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Data'!$A$2:$B$8,MATCH(WEEKDAY('Rio Cuarto Power Trading'!A256,3),'Master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60691</v>
      </c>
      <c r="N256" s="112" t="n">
        <f aca="false">SUM(J$6:J256)</f>
        <v>243318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60.691</v>
      </c>
      <c r="W256" s="114" t="n">
        <f aca="false">N256/$R$3</f>
        <v>243.318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Data'!$A$2:$B$8,MATCH(WEEKDAY('Rio Cuarto Power Trading'!A257,3),'Master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60691</v>
      </c>
      <c r="N257" s="112" t="n">
        <f aca="false">SUM(J$6:J257)</f>
        <v>243318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60.691</v>
      </c>
      <c r="W257" s="114" t="n">
        <f aca="false">N257/$R$3</f>
        <v>243.318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Data'!$A$2:$B$8,MATCH(WEEKDAY('Rio Cuarto Power Trading'!A258,3),'Master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60691</v>
      </c>
      <c r="N258" s="112" t="n">
        <f aca="false">SUM(J$6:J258)</f>
        <v>243318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60.691</v>
      </c>
      <c r="W258" s="114" t="n">
        <f aca="false">N258/$R$3</f>
        <v>243.318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Data'!$A$2:$B$8,MATCH(WEEKDAY('Rio Cuarto Power Trading'!A259,3),'Master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60691</v>
      </c>
      <c r="N259" s="112" t="n">
        <f aca="false">SUM(J$6:J259)</f>
        <v>243318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60.691</v>
      </c>
      <c r="W259" s="114" t="n">
        <f aca="false">N259/$R$3</f>
        <v>243.318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Data'!$A$2:$B$8,MATCH(WEEKDAY('Rio Cuarto Power Trading'!A260,3),'Master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60691</v>
      </c>
      <c r="N260" s="112" t="n">
        <f aca="false">SUM(J$6:J260)</f>
        <v>243318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60.691</v>
      </c>
      <c r="W260" s="114" t="n">
        <f aca="false">N260/$R$3</f>
        <v>243.318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Data'!$A$2:$B$8,MATCH(WEEKDAY('Rio Cuarto Power Trading'!A261,3),'Master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60691</v>
      </c>
      <c r="N261" s="112" t="n">
        <f aca="false">SUM(J$6:J261)</f>
        <v>243318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60.691</v>
      </c>
      <c r="W261" s="114" t="n">
        <f aca="false">N261/$R$3</f>
        <v>243.318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Data'!$A$2:$B$8,MATCH(WEEKDAY('Rio Cuarto Power Trading'!A262,3),'Master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60691</v>
      </c>
      <c r="N262" s="112" t="n">
        <f aca="false">SUM(J$6:J262)</f>
        <v>243318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60.691</v>
      </c>
      <c r="W262" s="114" t="n">
        <f aca="false">N262/$R$3</f>
        <v>243.318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Data'!$A$2:$B$8,MATCH(WEEKDAY('Rio Cuarto Power Trading'!A263,3),'Master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60691</v>
      </c>
      <c r="N263" s="112" t="n">
        <f aca="false">SUM(J$6:J263)</f>
        <v>243318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60.691</v>
      </c>
      <c r="W263" s="114" t="n">
        <f aca="false">N263/$R$3</f>
        <v>243.318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Data'!$A$2:$B$8,MATCH(WEEKDAY('Rio Cuarto Power Trading'!A264,3),'Master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60691</v>
      </c>
      <c r="N264" s="112" t="n">
        <f aca="false">SUM(J$6:J264)</f>
        <v>243318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60.691</v>
      </c>
      <c r="W264" s="114" t="n">
        <f aca="false">N264/$R$3</f>
        <v>243.318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Data'!$A$2:$B$8,MATCH(WEEKDAY('Rio Cuarto Power Trading'!A265,3),'Master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60691</v>
      </c>
      <c r="N265" s="112" t="n">
        <f aca="false">SUM(J$6:J265)</f>
        <v>243318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60.691</v>
      </c>
      <c r="W265" s="114" t="n">
        <f aca="false">N265/$R$3</f>
        <v>243.318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Data'!$A$2:$B$8,MATCH(WEEKDAY('Rio Cuarto Power Trading'!A266,3),'Master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60691</v>
      </c>
      <c r="N266" s="112" t="n">
        <f aca="false">SUM(J$6:J266)</f>
        <v>243318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60.691</v>
      </c>
      <c r="W266" s="114" t="n">
        <f aca="false">N266/$R$3</f>
        <v>243.318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Data'!$A$2:$B$8,MATCH(WEEKDAY('Rio Cuarto Power Trading'!A267,3),'Master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60691</v>
      </c>
      <c r="N267" s="112" t="n">
        <f aca="false">SUM(J$6:J267)</f>
        <v>243318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60.691</v>
      </c>
      <c r="W267" s="114" t="n">
        <f aca="false">N267/$R$3</f>
        <v>243.318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Data'!$A$2:$B$8,MATCH(WEEKDAY('Rio Cuarto Power Trading'!A268,3),'Master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60691</v>
      </c>
      <c r="N268" s="112" t="n">
        <f aca="false">SUM(J$6:J268)</f>
        <v>243318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60.691</v>
      </c>
      <c r="W268" s="114" t="n">
        <f aca="false">N268/$R$3</f>
        <v>243.318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Data'!$A$2:$B$8,MATCH(WEEKDAY('Rio Cuarto Power Trading'!A269,3),'Master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60691</v>
      </c>
      <c r="N269" s="112" t="n">
        <f aca="false">SUM(J$6:J269)</f>
        <v>243318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60.691</v>
      </c>
      <c r="W269" s="114" t="n">
        <f aca="false">N269/$R$3</f>
        <v>243.318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Data'!$A$2:$B$8,MATCH(WEEKDAY('Rio Cuarto Power Trading'!A270,3),'Master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60691</v>
      </c>
      <c r="N270" s="112" t="n">
        <f aca="false">SUM(J$6:J270)</f>
        <v>243318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60.691</v>
      </c>
      <c r="W270" s="114" t="n">
        <f aca="false">N270/$R$3</f>
        <v>243.318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Data'!$A$2:$B$8,MATCH(WEEKDAY('Rio Cuarto Power Trading'!A271,3),'Master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60691</v>
      </c>
      <c r="N271" s="112" t="n">
        <f aca="false">SUM(J$6:J271)</f>
        <v>243318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60.691</v>
      </c>
      <c r="W271" s="114" t="n">
        <f aca="false">N271/$R$3</f>
        <v>243.318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Data'!$A$2:$B$8,MATCH(WEEKDAY('Rio Cuarto Power Trading'!A272,3),'Master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60691</v>
      </c>
      <c r="N272" s="112" t="n">
        <f aca="false">SUM(J$6:J272)</f>
        <v>243318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60.691</v>
      </c>
      <c r="W272" s="114" t="n">
        <f aca="false">N272/$R$3</f>
        <v>243.318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Data'!$A$2:$B$8,MATCH(WEEKDAY('Rio Cuarto Power Trading'!A273,3),'Master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60691</v>
      </c>
      <c r="N273" s="112" t="n">
        <f aca="false">SUM(J$6:J273)</f>
        <v>243318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60.691</v>
      </c>
      <c r="W273" s="114" t="n">
        <f aca="false">N273/$R$3</f>
        <v>243.318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Data'!$A$2:$B$8,MATCH(WEEKDAY('Rio Cuarto Power Trading'!A274,3),'Master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60691</v>
      </c>
      <c r="N274" s="112" t="n">
        <f aca="false">SUM(J$6:J274)</f>
        <v>243318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60.691</v>
      </c>
      <c r="W274" s="114" t="n">
        <f aca="false">N274/$R$3</f>
        <v>243.318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Data'!$A$2:$B$8,MATCH(WEEKDAY('Rio Cuarto Power Trading'!A275,3),'Master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60691</v>
      </c>
      <c r="N275" s="112" t="n">
        <f aca="false">SUM(J$6:J275)</f>
        <v>243318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60.691</v>
      </c>
      <c r="W275" s="114" t="n">
        <f aca="false">N275/$R$3</f>
        <v>243.318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Data'!$A$2:$B$8,MATCH(WEEKDAY('Rio Cuarto Power Trading'!A276,3),'Master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60691</v>
      </c>
      <c r="N276" s="112" t="n">
        <f aca="false">SUM(J$6:J276)</f>
        <v>243318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60.691</v>
      </c>
      <c r="W276" s="114" t="n">
        <f aca="false">N276/$R$3</f>
        <v>243.318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Data'!$A$2:$B$8,MATCH(WEEKDAY('Rio Cuarto Power Trading'!A277,3),'Master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60691</v>
      </c>
      <c r="N277" s="112" t="n">
        <f aca="false">SUM(J$6:J277)</f>
        <v>243318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60.691</v>
      </c>
      <c r="W277" s="114" t="n">
        <f aca="false">N277/$R$3</f>
        <v>243.318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Data'!$A$2:$B$8,MATCH(WEEKDAY('Rio Cuarto Power Trading'!A278,3),'Master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60691</v>
      </c>
      <c r="N278" s="112" t="n">
        <f aca="false">SUM(J$6:J278)</f>
        <v>243318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60.691</v>
      </c>
      <c r="W278" s="114" t="n">
        <f aca="false">N278/$R$3</f>
        <v>243.318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Data'!$A$2:$B$8,MATCH(WEEKDAY('Rio Cuarto Power Trading'!A279,3),'Master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60691</v>
      </c>
      <c r="N279" s="112" t="n">
        <f aca="false">SUM(J$6:J279)</f>
        <v>243318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60.691</v>
      </c>
      <c r="W279" s="114" t="n">
        <f aca="false">N279/$R$3</f>
        <v>243.318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Data'!$A$2:$B$8,MATCH(WEEKDAY('Rio Cuarto Power Trading'!A280,3),'Master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243318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243.318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Data'!$A$2:$B$8,MATCH(WEEKDAY('Rio Cuarto Power Trading'!A281,3),'Master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243318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243.318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Data'!$A$2:$B$8,MATCH(WEEKDAY('Rio Cuarto Power Trading'!A282,3),'Master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243318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243.318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Data'!$A$2:$B$8,MATCH(WEEKDAY('Rio Cuarto Power Trading'!A283,3),'Master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243318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243.318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Data'!$A$2:$B$8,MATCH(WEEKDAY('Rio Cuarto Power Trading'!A284,3),'Master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243318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243.318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Data'!$A$2:$B$8,MATCH(WEEKDAY('Rio Cuarto Power Trading'!A285,3),'Master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243318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243.318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Data'!$A$2:$B$8,MATCH(WEEKDAY('Rio Cuarto Power Trading'!A286,3),'Master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243318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243.318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Data'!$A$2:$B$8,MATCH(WEEKDAY('Rio Cuarto Power Trading'!A287,3),'Master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243318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243.318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Data'!$A$2:$B$8,MATCH(WEEKDAY('Rio Cuarto Power Trading'!A288,3),'Master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243318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243.318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Data'!$A$2:$B$8,MATCH(WEEKDAY('Rio Cuarto Power Trading'!A289,3),'Master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243318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243.318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Data'!$A$2:$B$8,MATCH(WEEKDAY('Rio Cuarto Power Trading'!A290,3),'Master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243318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243.318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Data'!$A$2:$B$8,MATCH(WEEKDAY('Rio Cuarto Power Trading'!A291,3),'Master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243318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243.318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Data'!$A$2:$B$8,MATCH(WEEKDAY('Rio Cuarto Power Trading'!A292,3),'Master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243318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243.318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Data'!$A$2:$B$8,MATCH(WEEKDAY('Rio Cuarto Power Trading'!A293,3),'Master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243318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243.318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Data'!$A$2:$B$8,MATCH(WEEKDAY('Rio Cuarto Power Trading'!A294,3),'Master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243318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243.318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Data'!$A$2:$B$8,MATCH(WEEKDAY('Rio Cuarto Power Trading'!A295,3),'Master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243318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243.318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Data'!$A$2:$B$8,MATCH(WEEKDAY('Rio Cuarto Power Trading'!A296,3),'Master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243318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243.318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Data'!$A$2:$B$8,MATCH(WEEKDAY('Rio Cuarto Power Trading'!A297,3),'Master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243318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243.318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Data'!$A$2:$B$8,MATCH(WEEKDAY('Rio Cuarto Power Trading'!A298,3),'Master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243318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243.318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Data'!$A$2:$B$8,MATCH(WEEKDAY('Rio Cuarto Power Trading'!A299,3),'Master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243318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243.318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Data'!$A$2:$B$8,MATCH(WEEKDAY('Rio Cuarto Power Trading'!A300,3),'Master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243318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243.318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Data'!$A$2:$B$8,MATCH(WEEKDAY('Rio Cuarto Power Trading'!A301,3),'Master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243318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243.318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Data'!$A$2:$B$8,MATCH(WEEKDAY('Rio Cuarto Power Trading'!A302,3),'Master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243318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243.318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Data'!$A$2:$B$8,MATCH(WEEKDAY('Rio Cuarto Power Trading'!A303,3),'Master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243318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243.318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Data'!$A$2:$B$8,MATCH(WEEKDAY('Rio Cuarto Power Trading'!A304,3),'Master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243318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243.318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Data'!$A$2:$B$8,MATCH(WEEKDAY('Rio Cuarto Power Trading'!A305,3),'Master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243318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243.318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Data'!$A$2:$B$8,MATCH(WEEKDAY('Rio Cuarto Power Trading'!A306,3),'Master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243318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243.318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Data'!$A$2:$B$8,MATCH(WEEKDAY('Rio Cuarto Power Trading'!A307,3),'Master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243318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243.318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Data'!$A$2:$B$8,MATCH(WEEKDAY('Rio Cuarto Power Trading'!A308,3),'Master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243318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243.318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Data'!$A$2:$B$8,MATCH(WEEKDAY('Rio Cuarto Power Trading'!A309,3),'Master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243318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243.318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Data'!$A$2:$B$8,MATCH(WEEKDAY('Rio Cuarto Power Trading'!A310,3),'Master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243318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243.318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Data'!$A$2:$B$8,MATCH(WEEKDAY('Rio Cuarto Power Trading'!A311,3),'Master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243318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243.318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Data'!$A$2:$B$8,MATCH(WEEKDAY('Rio Cuarto Power Trading'!A312,3),'Master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243318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243.318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Data'!$A$2:$B$8,MATCH(WEEKDAY('Rio Cuarto Power Trading'!A313,3),'Master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243318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243.318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Data'!$A$2:$B$8,MATCH(WEEKDAY('Rio Cuarto Power Trading'!A314,3),'Master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243318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243.318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Data'!$A$2:$B$8,MATCH(WEEKDAY('Rio Cuarto Power Trading'!A315,3),'Master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243318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243.318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Data'!$A$2:$B$8,MATCH(WEEKDAY('Rio Cuarto Power Trading'!A316,3),'Master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243318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243.318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Data'!$A$2:$B$8,MATCH(WEEKDAY('Rio Cuarto Power Trading'!A317,3),'Master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243318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243.318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Data'!$A$2:$B$8,MATCH(WEEKDAY('Rio Cuarto Power Trading'!A318,3),'Master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243318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243.318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Data'!$A$2:$B$8,MATCH(WEEKDAY('Rio Cuarto Power Trading'!A319,3),'Master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243318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243.318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Data'!$A$2:$B$8,MATCH(WEEKDAY('Rio Cuarto Power Trading'!A320,3),'Master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243318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243.318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Data'!$A$2:$B$8,MATCH(WEEKDAY('Rio Cuarto Power Trading'!A321,3),'Master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243318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243.318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Data'!$A$2:$B$8,MATCH(WEEKDAY('Rio Cuarto Power Trading'!A322,3),'Master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243318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243.318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Data'!$A$2:$B$8,MATCH(WEEKDAY('Rio Cuarto Power Trading'!A323,3),'Master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243318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243.318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Data'!$A$2:$B$8,MATCH(WEEKDAY('Rio Cuarto Power Trading'!A324,3),'Master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243318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243.318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Data'!$A$2:$B$8,MATCH(WEEKDAY('Rio Cuarto Power Trading'!A325,3),'Master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243318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243.318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Data'!$A$2:$B$8,MATCH(WEEKDAY('Rio Cuarto Power Trading'!A326,3),'Master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243318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243.318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Data'!$A$2:$B$8,MATCH(WEEKDAY('Rio Cuarto Power Trading'!A327,3),'Master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243318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243.318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Data'!$A$2:$B$8,MATCH(WEEKDAY('Rio Cuarto Power Trading'!A328,3),'Master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243318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243.318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Data'!$A$2:$B$8,MATCH(WEEKDAY('Rio Cuarto Power Trading'!A329,3),'Master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243318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243.318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Data'!$A$2:$B$8,MATCH(WEEKDAY('Rio Cuarto Power Trading'!A330,3),'Master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243318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243.318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Data'!$A$2:$B$8,MATCH(WEEKDAY('Rio Cuarto Power Trading'!A331,3),'Master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243318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243.318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Data'!$A$2:$B$8,MATCH(WEEKDAY('Rio Cuarto Power Trading'!A332,3),'Master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243318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243.318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Data'!$A$2:$B$8,MATCH(WEEKDAY('Rio Cuarto Power Trading'!A333,3),'Master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243318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243.318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Data'!$A$2:$B$8,MATCH(WEEKDAY('Rio Cuarto Power Trading'!A334,3),'Master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243318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243.318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Data'!$A$2:$B$8,MATCH(WEEKDAY('Rio Cuarto Power Trading'!A335,3),'Master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243318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243.318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Data'!$A$2:$B$8,MATCH(WEEKDAY('Rio Cuarto Power Trading'!A336,3),'Master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243318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243.318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Data'!$A$2:$B$8,MATCH(WEEKDAY('Rio Cuarto Power Trading'!A337,3),'Master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243318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243.318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Data'!$A$2:$B$8,MATCH(WEEKDAY('Rio Cuarto Power Trading'!A338,3),'Master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243318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243.318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Data'!$A$2:$B$8,MATCH(WEEKDAY('Rio Cuarto Power Trading'!A339,3),'Master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243318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243.318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Data'!$A$2:$B$8,MATCH(WEEKDAY('Rio Cuarto Power Trading'!A340,3),'Master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243318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243.318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Data'!$A$2:$B$8,MATCH(WEEKDAY('Rio Cuarto Power Trading'!A341,3),'Master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243318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243.318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Data'!$A$2:$B$8,MATCH(WEEKDAY('Rio Cuarto Power Trading'!A342,3),'Master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243318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243.318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Data'!$A$2:$B$8,MATCH(WEEKDAY('Rio Cuarto Power Trading'!A343,3),'Master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243318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243.318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Data'!$A$2:$B$8,MATCH(WEEKDAY('Rio Cuarto Power Trading'!A344,3),'Master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243318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243.318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Data'!$A$2:$B$8,MATCH(WEEKDAY('Rio Cuarto Power Trading'!A345,3),'Master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243318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243.318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Data'!$A$2:$B$8,MATCH(WEEKDAY('Rio Cuarto Power Trading'!A346,3),'Master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243318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243.318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Data'!$A$2:$B$8,MATCH(WEEKDAY('Rio Cuarto Power Trading'!A347,3),'Master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243318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243.318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Data'!$A$2:$B$8,MATCH(WEEKDAY('Rio Cuarto Power Trading'!A348,3),'Master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243318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243.318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Data'!$A$2:$B$8,MATCH(WEEKDAY('Rio Cuarto Power Trading'!A349,3),'Master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243318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243.318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Data'!$A$2:$B$8,MATCH(WEEKDAY('Rio Cuarto Power Trading'!A350,3),'Master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243318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243.318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Data'!$A$2:$B$8,MATCH(WEEKDAY('Rio Cuarto Power Trading'!A351,3),'Master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243318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243.318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Data'!$A$2:$B$8,MATCH(WEEKDAY('Rio Cuarto Power Trading'!A352,3),'Master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243318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243.318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Data'!$A$2:$B$8,MATCH(WEEKDAY('Rio Cuarto Power Trading'!A353,3),'Master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243318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243.318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Data'!$A$2:$B$8,MATCH(WEEKDAY('Rio Cuarto Power Trading'!A354,3),'Master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243318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243.318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Data'!$A$2:$B$8,MATCH(WEEKDAY('Rio Cuarto Power Trading'!A355,3),'Master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243318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243.318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Data'!$A$2:$B$8,MATCH(WEEKDAY('Rio Cuarto Power Trading'!A356,3),'Master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243318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243.318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Data'!$A$2:$B$8,MATCH(WEEKDAY('Rio Cuarto Power Trading'!A357,3),'Master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243318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243.318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Data'!$A$2:$B$8,MATCH(WEEKDAY('Rio Cuarto Power Trading'!A358,3),'Master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243318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243.318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Data'!$A$2:$B$8,MATCH(WEEKDAY('Rio Cuarto Power Trading'!A359,3),'Master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243318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243.318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Data'!$A$2:$B$8,MATCH(WEEKDAY('Rio Cuarto Power Trading'!A360,3),'Master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243318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243.318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Data'!$A$2:$B$8,MATCH(WEEKDAY('Rio Cuarto Power Trading'!A361,3),'Master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243318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243.318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Data'!$A$2:$B$8,MATCH(WEEKDAY('Rio Cuarto Power Trading'!A362,3),'Master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243318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243.318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Data'!$A$2:$B$8,MATCH(WEEKDAY('Rio Cuarto Power Trading'!A363,3),'Master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243318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243.318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Data'!$A$2:$B$8,MATCH(WEEKDAY('Rio Cuarto Power Trading'!A364,3),'Master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243318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243.318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Data'!$A$2:$B$8,MATCH(WEEKDAY('Rio Cuarto Power Trading'!A365,3),'Master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243318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243.318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Data'!$A$2:$B$8,MATCH(WEEKDAY('Rio Cuarto Power Trading'!A366,3),'Master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243318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243.318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Data'!$A$2:$B$8,MATCH(WEEKDAY('Rio Cuarto Power Trading'!A367,3),'Master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243318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243.318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Data'!$A$2:$B$8,MATCH(WEEKDAY('Rio Cuarto Power Trading'!A368,3),'Master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243318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243.318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Data'!$A$2:$B$8,MATCH(WEEKDAY('Rio Cuarto Power Trading'!A369,3),'Master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243318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243.318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Data'!$A$2:$B$8,MATCH(WEEKDAY('Rio Cuarto Power Trading'!A370,3),'Master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243318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243.318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Data'!$A$2:$B$8,MATCH(WEEKDAY('Rio Cuarto Power Trading'!A371,3),'Master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243318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243.318</v>
      </c>
    </row>
    <row r="372" customFormat="false" ht="12.75" hidden="false" customHeight="false" outlineLevel="0" collapsed="false">
      <c r="D372" s="112"/>
      <c r="E372" s="112"/>
      <c r="F372" s="112"/>
      <c r="G372" s="112"/>
    </row>
    <row r="373" customFormat="false" ht="12.75" hidden="false" customHeight="false" outlineLevel="0" collapsed="false">
      <c r="D373" s="112"/>
      <c r="E373" s="112"/>
      <c r="F373" s="112"/>
      <c r="G373" s="112"/>
    </row>
    <row r="374" customFormat="false" ht="12.75" hidden="false" customHeight="false" outlineLevel="0" collapsed="false">
      <c r="D374" s="112"/>
      <c r="E374" s="112"/>
      <c r="F374" s="112"/>
      <c r="G374" s="112"/>
    </row>
    <row r="375" customFormat="false" ht="12.75" hidden="false" customHeight="false" outlineLevel="0" collapsed="false">
      <c r="D375" s="112"/>
      <c r="E375" s="112"/>
      <c r="F375" s="112"/>
      <c r="G375" s="112"/>
    </row>
    <row r="376" customFormat="false" ht="12.75" hidden="false" customHeight="false" outlineLevel="0" collapsed="false">
      <c r="D376" s="112"/>
      <c r="E376" s="112"/>
      <c r="F376" s="112"/>
      <c r="G376" s="112"/>
    </row>
    <row r="377" customFormat="false" ht="12.75" hidden="false" customHeight="false" outlineLevel="0" collapsed="false">
      <c r="D377" s="112"/>
      <c r="E377" s="112"/>
      <c r="F377" s="112"/>
      <c r="G377" s="112"/>
    </row>
    <row r="378" customFormat="false" ht="12.75" hidden="false" customHeight="false" outlineLevel="0" collapsed="false">
      <c r="D378" s="112"/>
      <c r="E378" s="112"/>
      <c r="F378" s="112"/>
      <c r="G378" s="112"/>
    </row>
    <row r="379" customFormat="false" ht="12.75" hidden="false" customHeight="false" outlineLevel="0" collapsed="false">
      <c r="D379" s="112"/>
      <c r="E379" s="112"/>
      <c r="F379" s="112"/>
      <c r="G379" s="112"/>
    </row>
    <row r="380" customFormat="false" ht="12.75" hidden="false" customHeight="false" outlineLevel="0" collapsed="false">
      <c r="D380" s="112"/>
      <c r="E380" s="112"/>
      <c r="F380" s="112"/>
      <c r="G380" s="112"/>
    </row>
    <row r="381" customFormat="false" ht="12.75" hidden="false" customHeight="false" outlineLevel="0" collapsed="false">
      <c r="D381" s="112"/>
      <c r="E381" s="112"/>
      <c r="F381" s="112"/>
      <c r="G381" s="112"/>
    </row>
    <row r="382" customFormat="false" ht="12.75" hidden="false" customHeight="false" outlineLevel="0" collapsed="false">
      <c r="D382" s="112"/>
      <c r="E382" s="112"/>
      <c r="F382" s="112"/>
      <c r="G382" s="112"/>
    </row>
    <row r="383" customFormat="false" ht="12.75" hidden="false" customHeight="false" outlineLevel="0" collapsed="false">
      <c r="D383" s="112"/>
      <c r="E383" s="112"/>
      <c r="F383" s="112"/>
      <c r="G383" s="112"/>
    </row>
    <row r="384" customFormat="false" ht="12.75" hidden="false" customHeight="false" outlineLevel="0" collapsed="false">
      <c r="D384" s="112"/>
      <c r="E384" s="112"/>
      <c r="F384" s="112"/>
      <c r="G384" s="112"/>
    </row>
    <row r="385" customFormat="false" ht="12.75" hidden="false" customHeight="false" outlineLevel="0" collapsed="false">
      <c r="D385" s="112"/>
      <c r="E385" s="112"/>
      <c r="F385" s="112"/>
      <c r="G385" s="112"/>
    </row>
    <row r="386" customFormat="false" ht="12.75" hidden="false" customHeight="false" outlineLevel="0" collapsed="false">
      <c r="D386" s="112"/>
      <c r="E386" s="112"/>
      <c r="F386" s="112"/>
      <c r="G386" s="112"/>
    </row>
    <row r="387" customFormat="false" ht="12.75" hidden="false" customHeight="false" outlineLevel="0" collapsed="false">
      <c r="D387" s="112"/>
      <c r="E387" s="112"/>
      <c r="F387" s="112"/>
      <c r="G387" s="112"/>
    </row>
    <row r="388" customFormat="false" ht="12.75" hidden="false" customHeight="false" outlineLevel="0" collapsed="false">
      <c r="D388" s="112"/>
      <c r="E388" s="112"/>
      <c r="F388" s="112"/>
      <c r="G388" s="112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86" colorId="64" zoomScale="100" zoomScaleNormal="100" zoomScalePageLayoutView="100" workbookViewId="0">
      <selection pane="topLeft" activeCell="D195" activeCellId="0" sqref="D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I3" s="134"/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Data'!$A$2:$B$8,MATCH(WEEKDAY('Modesto Maranzana Power'!A6,3),'Master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Data'!$A$2:$B$8,MATCH(WEEKDAY('Modesto Maranzana Power'!A7,3),'Master Data'!$A$2:$A$8,0),2)</f>
        <v>T</v>
      </c>
      <c r="D7" s="112" t="n">
        <v>0</v>
      </c>
      <c r="E7" s="112" t="n">
        <v>0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0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Data'!$A$2:$B$8,MATCH(WEEKDAY('Modesto Maranzana Power'!A8,3),'Master Data'!$A$2:$A$8,0),2)</f>
        <v>W</v>
      </c>
      <c r="D8" s="112" t="n">
        <v>0</v>
      </c>
      <c r="E8" s="112" t="n">
        <v>0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Data'!$A$2:$B$8,MATCH(WEEKDAY('Modesto Maranzana Power'!A9,3),'Master Data'!$A$2:$A$8,0),2)</f>
        <v>Th</v>
      </c>
      <c r="D9" s="112" t="n">
        <v>0</v>
      </c>
      <c r="E9" s="112" t="n">
        <v>0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0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Data'!$A$2:$B$8,MATCH(WEEKDAY('Modesto Maranzana Power'!A10,3),'Master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Data'!$A$2:$B$8,MATCH(WEEKDAY('Modesto Maranzana Power'!A11,3),'Master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Data'!$A$2:$B$8,MATCH(WEEKDAY('Modesto Maranzana Power'!A12,3),'Master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Data'!$A$2:$B$8,MATCH(WEEKDAY('Modesto Maranzana Power'!A13,3),'Master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Data'!$A$2:$B$8,MATCH(WEEKDAY('Modesto Maranzana Power'!A14,3),'Master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Data'!$A$2:$B$8,MATCH(WEEKDAY('Modesto Maranzana Power'!A15,3),'Master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Data'!$A$2:$B$8,MATCH(WEEKDAY('Modesto Maranzana Power'!A16,3),'Master Data'!$A$2:$A$8,0),2)</f>
        <v>Th</v>
      </c>
      <c r="D16" s="112" t="n">
        <v>0</v>
      </c>
      <c r="E16" s="112" t="n">
        <v>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Data'!$A$2:$B$8,MATCH(WEEKDAY('Modesto Maranzana Power'!A17,3),'Master Data'!$A$2:$A$8,0),2)</f>
        <v>F</v>
      </c>
      <c r="D17" s="112" t="n">
        <v>0</v>
      </c>
      <c r="E17" s="112" t="n">
        <v>0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Data'!$A$2:$B$8,MATCH(WEEKDAY('Modesto Maranzana Power'!A18,3),'Master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Data'!$A$2:$B$8,MATCH(WEEKDAY('Modesto Maranzana Power'!A19,3),'Master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Data'!$A$2:$B$8,MATCH(WEEKDAY('Modesto Maranzana Power'!A20,3),'Master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Data'!$A$2:$B$8,MATCH(WEEKDAY('Modesto Maranzana Power'!A21,3),'Master Data'!$A$2:$A$8,0),2)</f>
        <v>T</v>
      </c>
      <c r="D21" s="112" t="n">
        <v>0</v>
      </c>
      <c r="E21" s="112" t="n">
        <v>0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Data'!$A$2:$B$8,MATCH(WEEKDAY('Modesto Maranzana Power'!A22,3),'Master Data'!$A$2:$A$8,0),2)</f>
        <v>W</v>
      </c>
      <c r="D22" s="112" t="n">
        <v>0</v>
      </c>
      <c r="E22" s="112" t="n">
        <v>0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Data'!$A$2:$B$8,MATCH(WEEKDAY('Modesto Maranzana Power'!A23,3),'Master Data'!$A$2:$A$8,0),2)</f>
        <v>Th</v>
      </c>
      <c r="D23" s="112" t="n">
        <v>0</v>
      </c>
      <c r="E23" s="112" t="n">
        <v>0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Data'!$A$2:$B$8,MATCH(WEEKDAY('Modesto Maranzana Power'!A24,3),'Master Data'!$A$2:$A$8,0),2)</f>
        <v>F</v>
      </c>
      <c r="D24" s="112" t="n">
        <v>0</v>
      </c>
      <c r="E24" s="112" t="n">
        <v>0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Data'!$A$2:$B$8,MATCH(WEEKDAY('Modesto Maranzana Power'!A25,3),'Master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Data'!$A$2:$B$8,MATCH(WEEKDAY('Modesto Maranzana Power'!A26,3),'Master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Data'!$A$2:$B$8,MATCH(WEEKDAY('Modesto Maranzana Power'!A27,3),'Master Data'!$A$2:$A$8,0),2)</f>
        <v>M</v>
      </c>
      <c r="D27" s="112" t="n">
        <v>0</v>
      </c>
      <c r="E27" s="112" t="n">
        <v>0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Data'!$A$2:$B$8,MATCH(WEEKDAY('Modesto Maranzana Power'!A28,3),'Master Data'!$A$2:$A$8,0),2)</f>
        <v>T</v>
      </c>
      <c r="D28" s="112" t="n">
        <v>0</v>
      </c>
      <c r="E28" s="112" t="n">
        <v>0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Data'!$A$2:$B$8,MATCH(WEEKDAY('Modesto Maranzana Power'!A29,3),'Master Data'!$A$2:$A$8,0),2)</f>
        <v>W</v>
      </c>
      <c r="D29" s="112" t="n">
        <v>0</v>
      </c>
      <c r="E29" s="112" t="n">
        <v>0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Data'!$A$2:$B$8,MATCH(WEEKDAY('Modesto Maranzana Power'!A30,3),'Master Data'!$A$2:$A$8,0),2)</f>
        <v>Th</v>
      </c>
      <c r="D30" s="112" t="n">
        <v>0</v>
      </c>
      <c r="E30" s="112" t="n">
        <v>0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Data'!$A$2:$B$8,MATCH(WEEKDAY('Modesto Maranzana Power'!A31,3),'Master Data'!$A$2:$A$8,0),2)</f>
        <v>F</v>
      </c>
      <c r="D31" s="112" t="n">
        <v>0</v>
      </c>
      <c r="E31" s="112" t="n">
        <v>0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Data'!$A$2:$B$8,MATCH(WEEKDAY('Modesto Maranzana Power'!A32,3),'Master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Data'!$A$2:$B$8,MATCH(WEEKDAY('Modesto Maranzana Power'!A33,3),'Master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Data'!$A$2:$B$8,MATCH(WEEKDAY('Modesto Maranzana Power'!A34,3),'Master Data'!$A$2:$A$8,0),2)</f>
        <v>M</v>
      </c>
      <c r="D34" s="112" t="n">
        <v>0</v>
      </c>
      <c r="E34" s="112" t="n">
        <v>0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Data'!$A$2:$B$8,MATCH(WEEKDAY('Modesto Maranzana Power'!A35,3),'Master Data'!$A$2:$A$8,0),2)</f>
        <v>T</v>
      </c>
      <c r="D35" s="112" t="n">
        <v>0</v>
      </c>
      <c r="E35" s="112" t="n">
        <v>0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true" customHeight="false" outlineLevel="0" collapsed="false">
      <c r="A36" s="108" t="n">
        <f aca="false">A35+1</f>
        <v>36922</v>
      </c>
      <c r="B36" s="119" t="str">
        <f aca="false">INDEX('Master Data'!$A$2:$B$8,MATCH(WEEKDAY('Modesto Maranzana Power'!A36,3),'Master Data'!$A$2:$A$8,0),2)</f>
        <v>W</v>
      </c>
      <c r="D36" s="112" t="n">
        <v>0</v>
      </c>
      <c r="E36" s="112" t="n">
        <v>0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Data'!$A$2:$B$8,MATCH(WEEKDAY('Modesto Maranzana Power'!A37,3),'Master Data'!$A$2:$A$8,0),2)</f>
        <v>Th</v>
      </c>
      <c r="D37" s="112" t="n">
        <v>0</v>
      </c>
      <c r="E37" s="112" t="n">
        <v>0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Data'!$A$2:$B$8,MATCH(WEEKDAY('Modesto Maranzana Power'!A38,3),'Master Data'!$A$2:$A$8,0),2)</f>
        <v>F</v>
      </c>
      <c r="D38" s="112" t="n">
        <v>0</v>
      </c>
      <c r="E38" s="112" t="n">
        <v>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Data'!$A$2:$B$8,MATCH(WEEKDAY('Modesto Maranzana Power'!A39,3),'Master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Data'!$A$2:$B$8,MATCH(WEEKDAY('Modesto Maranzana Power'!A40,3),'Master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Data'!$A$2:$B$8,MATCH(WEEKDAY('Modesto Maranzana Power'!A41,3),'Master Data'!$A$2:$A$8,0),2)</f>
        <v>M</v>
      </c>
      <c r="D41" s="112" t="n">
        <v>0</v>
      </c>
      <c r="E41" s="112" t="n">
        <v>0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Data'!$A$2:$B$8,MATCH(WEEKDAY('Modesto Maranzana Power'!A42,3),'Master Data'!$A$2:$A$8,0),2)</f>
        <v>T</v>
      </c>
      <c r="D42" s="112" t="n">
        <v>0</v>
      </c>
      <c r="E42" s="112" t="n">
        <v>0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Data'!$A$2:$B$8,MATCH(WEEKDAY('Modesto Maranzana Power'!A43,3),'Master Data'!$A$2:$A$8,0),2)</f>
        <v>W</v>
      </c>
      <c r="D43" s="112" t="n">
        <v>0</v>
      </c>
      <c r="E43" s="112" t="n">
        <v>0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Data'!$A$2:$B$8,MATCH(WEEKDAY('Modesto Maranzana Power'!A44,3),'Master Data'!$A$2:$A$8,0),2)</f>
        <v>Th</v>
      </c>
      <c r="D44" s="112" t="n">
        <v>0</v>
      </c>
      <c r="E44" s="112" t="n">
        <v>0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Data'!$A$2:$B$8,MATCH(WEEKDAY('Modesto Maranzana Power'!A45,3),'Master Data'!$A$2:$A$8,0),2)</f>
        <v>F</v>
      </c>
      <c r="D45" s="112" t="n">
        <v>0</v>
      </c>
      <c r="E45" s="112" t="n">
        <v>0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Data'!$A$2:$B$8,MATCH(WEEKDAY('Modesto Maranzana Power'!A46,3),'Master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Data'!$A$2:$B$8,MATCH(WEEKDAY('Modesto Maranzana Power'!A47,3),'Master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Data'!$A$2:$B$8,MATCH(WEEKDAY('Modesto Maranzana Power'!A48,3),'Master Data'!$A$2:$A$8,0),2)</f>
        <v>M</v>
      </c>
      <c r="D48" s="112" t="n">
        <v>0</v>
      </c>
      <c r="E48" s="112" t="n">
        <v>0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Data'!$A$2:$B$8,MATCH(WEEKDAY('Modesto Maranzana Power'!A49,3),'Master Data'!$A$2:$A$8,0),2)</f>
        <v>T</v>
      </c>
      <c r="D49" s="112" t="n">
        <v>0</v>
      </c>
      <c r="E49" s="112" t="n">
        <v>0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Data'!$A$2:$B$8,MATCH(WEEKDAY('Modesto Maranzana Power'!A50,3),'Master Data'!$A$2:$A$8,0),2)</f>
        <v>W</v>
      </c>
      <c r="D50" s="112" t="n">
        <v>0</v>
      </c>
      <c r="E50" s="112" t="n">
        <v>0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Data'!$A$2:$B$8,MATCH(WEEKDAY('Modesto Maranzana Power'!A51,3),'Master Data'!$A$2:$A$8,0),2)</f>
        <v>Th</v>
      </c>
      <c r="D51" s="112" t="n">
        <v>0</v>
      </c>
      <c r="E51" s="112" t="n">
        <v>0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Data'!$A$2:$B$8,MATCH(WEEKDAY('Modesto Maranzana Power'!A52,3),'Master Data'!$A$2:$A$8,0),2)</f>
        <v>F</v>
      </c>
      <c r="D52" s="112" t="n">
        <v>0</v>
      </c>
      <c r="E52" s="112" t="n">
        <v>0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Data'!$A$2:$B$8,MATCH(WEEKDAY('Modesto Maranzana Power'!A53,3),'Master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Data'!$A$2:$B$8,MATCH(WEEKDAY('Modesto Maranzana Power'!A54,3),'Master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Data'!$A$2:$B$8,MATCH(WEEKDAY('Modesto Maranzana Power'!A55,3),'Master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Data'!$A$2:$B$8,MATCH(WEEKDAY('Modesto Maranzana Power'!A56,3),'Master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Data'!$A$2:$B$8,MATCH(WEEKDAY('Modesto Maranzana Power'!A57,3),'Master Data'!$A$2:$A$8,0),2)</f>
        <v>W</v>
      </c>
      <c r="D57" s="112" t="n">
        <v>0</v>
      </c>
      <c r="E57" s="112" t="n">
        <v>0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Data'!$A$2:$B$8,MATCH(WEEKDAY('Modesto Maranzana Power'!A58,3),'Master Data'!$A$2:$A$8,0),2)</f>
        <v>Th</v>
      </c>
      <c r="D58" s="112" t="n">
        <v>0</v>
      </c>
      <c r="E58" s="112" t="n">
        <v>0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Data'!$A$2:$B$8,MATCH(WEEKDAY('Modesto Maranzana Power'!A59,3),'Master Data'!$A$2:$A$8,0),2)</f>
        <v>F</v>
      </c>
      <c r="D59" s="112" t="n">
        <v>0</v>
      </c>
      <c r="E59" s="112" t="n">
        <v>0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Data'!$A$2:$B$8,MATCH(WEEKDAY('Modesto Maranzana Power'!A60,3),'Master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Data'!$A$2:$B$8,MATCH(WEEKDAY('Modesto Maranzana Power'!A61,3),'Master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Data'!$A$2:$B$8,MATCH(WEEKDAY('Modesto Maranzana Power'!A62,3),'Master Data'!$A$2:$A$8,0),2)</f>
        <v>M</v>
      </c>
      <c r="D62" s="112" t="n">
        <v>0</v>
      </c>
      <c r="E62" s="112" t="n">
        <v>0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Data'!$A$2:$B$8,MATCH(WEEKDAY('Modesto Maranzana Power'!A63,3),'Master Data'!$A$2:$A$8,0),2)</f>
        <v>T</v>
      </c>
      <c r="D63" s="112" t="n">
        <v>0</v>
      </c>
      <c r="E63" s="112" t="n">
        <v>0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true" customHeight="false" outlineLevel="0" collapsed="false">
      <c r="A64" s="108" t="n">
        <f aca="false">A63+1</f>
        <v>36950</v>
      </c>
      <c r="B64" s="119" t="str">
        <f aca="false">INDEX('Master Data'!$A$2:$B$8,MATCH(WEEKDAY('Modesto Maranzana Power'!A64,3),'Master Data'!$A$2:$A$8,0),2)</f>
        <v>W</v>
      </c>
      <c r="D64" s="112" t="n">
        <v>0</v>
      </c>
      <c r="E64" s="112" t="n">
        <v>0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Data'!$A$2:$B$8,MATCH(WEEKDAY('Modesto Maranzana Power'!A65,3),'Master Data'!$A$2:$A$8,0),2)</f>
        <v>Th</v>
      </c>
      <c r="D65" s="112" t="n">
        <v>0</v>
      </c>
      <c r="E65" s="112" t="n">
        <v>0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Data'!$A$2:$B$8,MATCH(WEEKDAY('Modesto Maranzana Power'!A66,3),'Master Data'!$A$2:$A$8,0),2)</f>
        <v>F</v>
      </c>
      <c r="D66" s="112" t="n">
        <v>0</v>
      </c>
      <c r="E66" s="112" t="n">
        <v>0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Data'!$A$2:$B$8,MATCH(WEEKDAY('Modesto Maranzana Power'!A67,3),'Master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Data'!$A$2:$B$8,MATCH(WEEKDAY('Modesto Maranzana Power'!A68,3),'Master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Data'!$A$2:$B$8,MATCH(WEEKDAY('Modesto Maranzana Power'!A69,3),'Master Data'!$A$2:$A$8,0),2)</f>
        <v>M</v>
      </c>
      <c r="D69" s="112" t="n">
        <v>0</v>
      </c>
      <c r="E69" s="112" t="n">
        <v>0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Data'!$A$2:$B$8,MATCH(WEEKDAY('Modesto Maranzana Power'!A70,3),'Master Data'!$A$2:$A$8,0),2)</f>
        <v>T</v>
      </c>
      <c r="D70" s="112" t="n">
        <v>0</v>
      </c>
      <c r="E70" s="112" t="n">
        <v>0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Data'!$A$2:$B$8,MATCH(WEEKDAY('Modesto Maranzana Power'!A71,3),'Master Data'!$A$2:$A$8,0),2)</f>
        <v>W</v>
      </c>
      <c r="D71" s="112" t="n">
        <v>0</v>
      </c>
      <c r="E71" s="112" t="n">
        <v>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Data'!$A$2:$B$8,MATCH(WEEKDAY('Modesto Maranzana Power'!A72,3),'Master Data'!$A$2:$A$8,0),2)</f>
        <v>Th</v>
      </c>
      <c r="D72" s="112" t="n">
        <v>0</v>
      </c>
      <c r="E72" s="112" t="n">
        <v>0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Data'!$A$2:$B$8,MATCH(WEEKDAY('Modesto Maranzana Power'!A73,3),'Master Data'!$A$2:$A$8,0),2)</f>
        <v>F</v>
      </c>
      <c r="D73" s="112" t="n">
        <v>0</v>
      </c>
      <c r="E73" s="112" t="n">
        <v>0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Data'!$A$2:$B$8,MATCH(WEEKDAY('Modesto Maranzana Power'!A74,3),'Master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Data'!$A$2:$B$8,MATCH(WEEKDAY('Modesto Maranzana Power'!A75,3),'Master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Data'!$A$2:$B$8,MATCH(WEEKDAY('Modesto Maranzana Power'!A76,3),'Master Data'!$A$2:$A$8,0),2)</f>
        <v>M</v>
      </c>
      <c r="D76" s="112" t="n">
        <v>0</v>
      </c>
      <c r="E76" s="112" t="n">
        <v>0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Data'!$A$2:$B$8,MATCH(WEEKDAY('Modesto Maranzana Power'!A77,3),'Master Data'!$A$2:$A$8,0),2)</f>
        <v>T</v>
      </c>
      <c r="D77" s="112" t="n">
        <v>0</v>
      </c>
      <c r="E77" s="112" t="n">
        <v>0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Data'!$A$2:$B$8,MATCH(WEEKDAY('Modesto Maranzana Power'!A78,3),'Master Data'!$A$2:$A$8,0),2)</f>
        <v>W</v>
      </c>
      <c r="D78" s="112" t="n">
        <v>0</v>
      </c>
      <c r="E78" s="112" t="n">
        <v>0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Data'!$A$2:$B$8,MATCH(WEEKDAY('Modesto Maranzana Power'!A79,3),'Master Data'!$A$2:$A$8,0),2)</f>
        <v>Th</v>
      </c>
      <c r="D79" s="112" t="n">
        <v>0</v>
      </c>
      <c r="E79" s="112" t="n">
        <v>0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Data'!$A$2:$B$8,MATCH(WEEKDAY('Modesto Maranzana Power'!A80,3),'Master Data'!$A$2:$A$8,0),2)</f>
        <v>F</v>
      </c>
      <c r="D80" s="112" t="n">
        <v>0</v>
      </c>
      <c r="E80" s="112" t="n">
        <v>0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Data'!$A$2:$B$8,MATCH(WEEKDAY('Modesto Maranzana Power'!A81,3),'Master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Data'!$A$2:$B$8,MATCH(WEEKDAY('Modesto Maranzana Power'!A82,3),'Master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Data'!$A$2:$B$8,MATCH(WEEKDAY('Modesto Maranzana Power'!A83,3),'Master Data'!$A$2:$A$8,0),2)</f>
        <v>M</v>
      </c>
      <c r="D83" s="112" t="n">
        <v>0</v>
      </c>
      <c r="E83" s="112" t="n">
        <v>0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Data'!$A$2:$B$8,MATCH(WEEKDAY('Modesto Maranzana Power'!A84,3),'Master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Data'!$A$2:$B$8,MATCH(WEEKDAY('Modesto Maranzana Power'!A85,3),'Master Data'!$A$2:$A$8,0),2)</f>
        <v>W</v>
      </c>
      <c r="D85" s="112" t="n">
        <v>0</v>
      </c>
      <c r="E85" s="112" t="n">
        <v>0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Data'!$A$2:$B$8,MATCH(WEEKDAY('Modesto Maranzana Power'!A86,3),'Master Data'!$A$2:$A$8,0),2)</f>
        <v>Th</v>
      </c>
      <c r="D86" s="112" t="n">
        <v>0</v>
      </c>
      <c r="E86" s="112" t="n">
        <v>0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Data'!$A$2:$B$8,MATCH(WEEKDAY('Modesto Maranzana Power'!A87,3),'Master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Data'!$A$2:$B$8,MATCH(WEEKDAY('Modesto Maranzana Power'!A88,3),'Master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Data'!$A$2:$B$8,MATCH(WEEKDAY('Modesto Maranzana Power'!A89,3),'Master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Data'!$A$2:$B$8,MATCH(WEEKDAY('Modesto Maranzana Power'!A90,3),'Master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Data'!$A$2:$B$8,MATCH(WEEKDAY('Modesto Maranzana Power'!A91,3),'Master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Data'!$A$2:$B$8,MATCH(WEEKDAY('Modesto Maranzana Power'!A92,3),'Master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Data'!$A$2:$B$8,MATCH(WEEKDAY('Modesto Maranzana Power'!A93,3),'Master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true" customHeight="false" outlineLevel="0" collapsed="false">
      <c r="A94" s="108" t="n">
        <f aca="false">A93+1</f>
        <v>36980</v>
      </c>
      <c r="B94" s="119" t="str">
        <f aca="false">INDEX('Master Data'!$A$2:$B$8,MATCH(WEEKDAY('Modesto Maranzana Power'!A94,3),'Master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Data'!$A$2:$B$8,MATCH(WEEKDAY('Modesto Maranzana Power'!A95,3),'Master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Data'!$A$2:$B$8,MATCH(WEEKDAY('Modesto Maranzana Power'!A96,3),'Master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Data'!$A$2:$B$8,MATCH(WEEKDAY('Modesto Maranzana Power'!A97,3),'Master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Data'!$A$2:$B$8,MATCH(WEEKDAY('Modesto Maranzana Power'!A98,3),'Master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Data'!$A$2:$B$8,MATCH(WEEKDAY('Modesto Maranzana Power'!A99,3),'Master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Data'!$A$2:$B$8,MATCH(WEEKDAY('Modesto Maranzana Power'!A100,3),'Master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Data'!$A$2:$B$8,MATCH(WEEKDAY('Modesto Maranzana Power'!A101,3),'Master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Data'!$A$2:$B$8,MATCH(WEEKDAY('Modesto Maranzana Power'!A102,3),'Master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Data'!$A$2:$B$8,MATCH(WEEKDAY('Modesto Maranzana Power'!A103,3),'Master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Data'!$A$2:$B$8,MATCH(WEEKDAY('Modesto Maranzana Power'!A104,3),'Master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Data'!$A$2:$B$8,MATCH(WEEKDAY('Modesto Maranzana Power'!A105,3),'Master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Data'!$A$2:$B$8,MATCH(WEEKDAY('Modesto Maranzana Power'!A106,3),'Master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Data'!$A$2:$B$8,MATCH(WEEKDAY('Modesto Maranzana Power'!A107,3),'Master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Data'!$A$2:$B$8,MATCH(WEEKDAY('Modesto Maranzana Power'!A108,3),'Master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Data'!$A$2:$B$8,MATCH(WEEKDAY('Modesto Maranzana Power'!A109,3),'Master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Data'!$A$2:$B$8,MATCH(WEEKDAY('Modesto Maranzana Power'!A110,3),'Master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Data'!$A$2:$B$8,MATCH(WEEKDAY('Modesto Maranzana Power'!A111,3),'Master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Data'!$A$2:$B$8,MATCH(WEEKDAY('Modesto Maranzana Power'!A112,3),'Master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Data'!$A$2:$B$8,MATCH(WEEKDAY('Modesto Maranzana Power'!A113,3),'Master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Data'!$A$2:$B$8,MATCH(WEEKDAY('Modesto Maranzana Power'!A114,3),'Master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Data'!$A$2:$B$8,MATCH(WEEKDAY('Modesto Maranzana Power'!A115,3),'Master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Data'!$A$2:$B$8,MATCH(WEEKDAY('Modesto Maranzana Power'!A116,3),'Master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Data'!$A$2:$B$8,MATCH(WEEKDAY('Modesto Maranzana Power'!A117,3),'Master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Data'!$A$2:$B$8,MATCH(WEEKDAY('Modesto Maranzana Power'!A118,3),'Master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Data'!$A$2:$B$8,MATCH(WEEKDAY('Modesto Maranzana Power'!A119,3),'Master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Data'!$A$2:$B$8,MATCH(WEEKDAY('Modesto Maranzana Power'!A120,3),'Master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Data'!$A$2:$B$8,MATCH(WEEKDAY('Modesto Maranzana Power'!A121,3),'Master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Data'!$A$2:$B$8,MATCH(WEEKDAY('Modesto Maranzana Power'!A122,3),'Master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Data'!$A$2:$B$8,MATCH(WEEKDAY('Modesto Maranzana Power'!A123,3),'Master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Data'!$A$2:$B$8,MATCH(WEEKDAY('Modesto Maranzana Power'!A124,3),'Master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true" customHeight="false" outlineLevel="0" collapsed="false">
      <c r="A125" s="108" t="n">
        <f aca="false">A124+1</f>
        <v>37011</v>
      </c>
      <c r="B125" s="119" t="str">
        <f aca="false">INDEX('Master Data'!$A$2:$B$8,MATCH(WEEKDAY('Modesto Maranzana Power'!A125,3),'Master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Data'!$A$2:$B$8,MATCH(WEEKDAY('Modesto Maranzana Power'!A126,3),'Master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Data'!$A$2:$B$8,MATCH(WEEKDAY('Modesto Maranzana Power'!A127,3),'Master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Data'!$A$2:$B$8,MATCH(WEEKDAY('Modesto Maranzana Power'!A128,3),'Master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Data'!$A$2:$B$8,MATCH(WEEKDAY('Modesto Maranzana Power'!A129,3),'Master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Data'!$A$2:$B$8,MATCH(WEEKDAY('Modesto Maranzana Power'!A130,3),'Master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Data'!$A$2:$B$8,MATCH(WEEKDAY('Modesto Maranzana Power'!A131,3),'Master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Data'!$A$2:$B$8,MATCH(WEEKDAY('Modesto Maranzana Power'!A132,3),'Master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Data'!$A$2:$B$8,MATCH(WEEKDAY('Modesto Maranzana Power'!A133,3),'Master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Data'!$A$2:$B$8,MATCH(WEEKDAY('Modesto Maranzana Power'!A134,3),'Master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Data'!$A$2:$B$8,MATCH(WEEKDAY('Modesto Maranzana Power'!A135,3),'Master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Data'!$A$2:$B$8,MATCH(WEEKDAY('Modesto Maranzana Power'!A136,3),'Master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Data'!$A$2:$B$8,MATCH(WEEKDAY('Modesto Maranzana Power'!A137,3),'Master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Data'!$A$2:$B$8,MATCH(WEEKDAY('Modesto Maranzana Power'!A138,3),'Master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Data'!$A$2:$B$8,MATCH(WEEKDAY('Modesto Maranzana Power'!A139,3),'Master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Data'!$A$2:$B$8,MATCH(WEEKDAY('Modesto Maranzana Power'!A140,3),'Master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Data'!$A$2:$B$8,MATCH(WEEKDAY('Modesto Maranzana Power'!A141,3),'Master Data'!$A$2:$A$8,0),2)</f>
        <v>W</v>
      </c>
      <c r="D141" s="112" t="n">
        <v>1804892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1.804892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Data'!$A$2:$B$8,MATCH(WEEKDAY('Modesto Maranzana Power'!A142,3),'Master Data'!$A$2:$A$8,0),2)</f>
        <v>Th</v>
      </c>
      <c r="D142" s="112" t="n">
        <v>1803673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1.803673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Data'!$A$2:$B$8,MATCH(WEEKDAY('Modesto Maranzana Power'!A143,3),'Master Data'!$A$2:$A$8,0),2)</f>
        <v>F</v>
      </c>
      <c r="D143" s="112" t="n">
        <v>1801197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1.801197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Data'!$A$2:$B$8,MATCH(WEEKDAY('Modesto Maranzana Power'!A144,3),'Master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Data'!$A$2:$B$8,MATCH(WEEKDAY('Modesto Maranzana Power'!A145,3),'Master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Data'!$A$2:$B$8,MATCH(WEEKDAY('Modesto Maranzana Power'!A146,3),'Master Data'!$A$2:$A$8,0),2)</f>
        <v>M</v>
      </c>
      <c r="D146" s="112" t="n">
        <v>1800657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D146/P$3</f>
        <v>1.800657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Data'!$A$2:$B$8,MATCH(WEEKDAY('Modesto Maranzana Power'!A147,3),'Master Data'!$A$2:$A$8,0),2)</f>
        <v>T</v>
      </c>
      <c r="D147" s="112" t="n">
        <v>1800432.8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1.8004328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Data'!$A$2:$B$8,MATCH(WEEKDAY('Modesto Maranzana Power'!A148,3),'Master Data'!$A$2:$A$8,0),2)</f>
        <v>W</v>
      </c>
      <c r="D148" s="112" t="n">
        <v>1650888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0</v>
      </c>
      <c r="P148" s="112" t="n">
        <f aca="false">D148/P$3</f>
        <v>1.650888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0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Data'!$A$2:$B$8,MATCH(WEEKDAY('Modesto Maranzana Power'!A149,3),'Master Data'!$A$2:$A$8,0),2)</f>
        <v>Th</v>
      </c>
      <c r="D149" s="112" t="n">
        <v>1651528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0</v>
      </c>
      <c r="P149" s="112" t="n">
        <f aca="false">D149/P$3</f>
        <v>1.651528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0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Data'!$A$2:$B$8,MATCH(WEEKDAY('Modesto Maranzana Power'!A150,3),'Master Data'!$A$2:$A$8,0),2)</f>
        <v>F</v>
      </c>
      <c r="D150" s="112" t="n">
        <v>1651528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0</v>
      </c>
      <c r="P150" s="112" t="n">
        <f aca="false">D150/P$3</f>
        <v>1.651528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0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Data'!$A$2:$B$8,MATCH(WEEKDAY('Modesto Maranzana Power'!A151,3),'Master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0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Data'!$A$2:$B$8,MATCH(WEEKDAY('Modesto Maranzana Power'!A152,3),'Master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0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Data'!$A$2:$B$8,MATCH(WEEKDAY('Modesto Maranzana Power'!A153,3),'Master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0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Data'!$A$2:$B$8,MATCH(WEEKDAY('Modesto Maranzana Power'!A154,3),'Master Data'!$A$2:$A$8,0),2)</f>
        <v>T</v>
      </c>
      <c r="D154" s="112" t="n">
        <v>1876711.32665312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0</v>
      </c>
      <c r="P154" s="112" t="n">
        <f aca="false">D154/P$3</f>
        <v>1.87671132665312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0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Data'!$A$2:$B$8,MATCH(WEEKDAY('Modesto Maranzana Power'!A155,3),'Master Data'!$A$2:$A$8,0),2)</f>
        <v>W</v>
      </c>
      <c r="D155" s="112" t="n">
        <v>1875367.94708649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0</v>
      </c>
      <c r="P155" s="112" t="n">
        <f aca="false">D155/P$3</f>
        <v>1.87536794708649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0</v>
      </c>
    </row>
    <row r="156" customFormat="false" ht="12.75" hidden="true" customHeight="false" outlineLevel="0" collapsed="false">
      <c r="A156" s="108" t="n">
        <f aca="false">A155+1</f>
        <v>37042</v>
      </c>
      <c r="B156" s="119" t="str">
        <f aca="false">INDEX('Master Data'!$A$2:$B$8,MATCH(WEEKDAY('Modesto Maranzana Power'!A156,3),'Master Data'!$A$2:$A$8,0),2)</f>
        <v>Th</v>
      </c>
      <c r="D156" s="112" t="n">
        <v>1875173.51302383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0</v>
      </c>
      <c r="P156" s="112" t="n">
        <f aca="false">D156/P$3</f>
        <v>1.87517351302383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0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INDEX('Master Data'!$A$2:$B$8,MATCH(WEEKDAY('Modesto Maranzana Power'!A157,3),'Master Data'!$A$2:$A$8,0),2)</f>
        <v>F</v>
      </c>
      <c r="D157" s="112" t="n">
        <v>1883363.30116451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0</v>
      </c>
      <c r="P157" s="112" t="n">
        <f aca="false">D157/P$3</f>
        <v>1.88336330116451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0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INDEX('Master Data'!$A$2:$B$8,MATCH(WEEKDAY('Modesto Maranzana Power'!A158,3),'Master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0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0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INDEX('Master Data'!$A$2:$B$8,MATCH(WEEKDAY('Modesto Maranzana Power'!A159,3),'Master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0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0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INDEX('Master Data'!$A$2:$B$8,MATCH(WEEKDAY('Modesto Maranzana Power'!A160,3),'Master Data'!$A$2:$A$8,0),2)</f>
        <v>M</v>
      </c>
      <c r="D160" s="112" t="n">
        <v>1879070.06239188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0</v>
      </c>
      <c r="P160" s="112" t="n">
        <f aca="false">D160/P$3</f>
        <v>1.87907006239188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0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INDEX('Master Data'!$A$2:$B$8,MATCH(WEEKDAY('Modesto Maranzana Power'!A161,3),'Master Data'!$A$2:$A$8,0),2)</f>
        <v>T</v>
      </c>
      <c r="D161" s="112" t="n">
        <v>1879111.68233176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0</v>
      </c>
      <c r="P161" s="112" t="n">
        <f aca="false">D161/P$3</f>
        <v>1.87911168233176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0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INDEX('Master Data'!$A$2:$B$8,MATCH(WEEKDAY('Modesto Maranzana Power'!A162,3),'Master Data'!$A$2:$A$8,0),2)</f>
        <v>W</v>
      </c>
      <c r="D162" s="112" t="n">
        <v>1881307.57678333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0</v>
      </c>
      <c r="P162" s="112" t="n">
        <f aca="false">D162/P$3</f>
        <v>1.88130757678333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0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INDEX('Master Data'!$A$2:$B$8,MATCH(WEEKDAY('Modesto Maranzana Power'!A163,3),'Master Data'!$A$2:$A$8,0),2)</f>
        <v>Th</v>
      </c>
      <c r="D163" s="112" t="n">
        <v>1881447.66821673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0</v>
      </c>
      <c r="P163" s="112" t="n">
        <f aca="false">D163/P$3</f>
        <v>1.88144766821673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0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INDEX('Master Data'!$A$2:$B$8,MATCH(WEEKDAY('Modesto Maranzana Power'!A164,3),'Master Data'!$A$2:$A$8,0),2)</f>
        <v>F</v>
      </c>
      <c r="D164" s="112" t="n">
        <v>1880848.49996287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0</v>
      </c>
      <c r="P164" s="112" t="n">
        <f aca="false">D164/P$3</f>
        <v>1.88084849996287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0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INDEX('Master Data'!$A$2:$B$8,MATCH(WEEKDAY('Modesto Maranzana Power'!A165,3),'Master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0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0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INDEX('Master Data'!$A$2:$B$8,MATCH(WEEKDAY('Modesto Maranzana Power'!A166,3),'Master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0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0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INDEX('Master Data'!$A$2:$B$8,MATCH(WEEKDAY('Modesto Maranzana Power'!A167,3),'Master Data'!$A$2:$A$8,0),2)</f>
        <v>M</v>
      </c>
      <c r="D167" s="112" t="n">
        <v>1876221.54248931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0</v>
      </c>
      <c r="P167" s="112" t="n">
        <f aca="false">D167/P$3</f>
        <v>1.87622154248931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0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INDEX('Master Data'!$A$2:$B$8,MATCH(WEEKDAY('Modesto Maranzana Power'!A168,3),'Master Data'!$A$2:$A$8,0),2)</f>
        <v>T</v>
      </c>
      <c r="D168" s="112" t="n">
        <v>1879607.31747572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0</v>
      </c>
      <c r="P168" s="112" t="n">
        <f aca="false">D168/P$3</f>
        <v>1.87960731747572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0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INDEX('Master Data'!$A$2:$B$8,MATCH(WEEKDAY('Modesto Maranzana Power'!A169,3),'Master Data'!$A$2:$A$8,0),2)</f>
        <v>W</v>
      </c>
      <c r="D169" s="112" t="n">
        <v>1881417.3378414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0</v>
      </c>
      <c r="P169" s="112" t="n">
        <f aca="false">D169/P$3</f>
        <v>1.8814173378414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0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INDEX('Master Data'!$A$2:$B$8,MATCH(WEEKDAY('Modesto Maranzana Power'!A170,3),'Master Data'!$A$2:$A$8,0),2)</f>
        <v>Th</v>
      </c>
      <c r="D170" s="112" t="n">
        <v>1881722.54099825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0</v>
      </c>
      <c r="P170" s="112" t="n">
        <f aca="false">D170/P$3</f>
        <v>1.88172254099825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0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INDEX('Master Data'!$A$2:$B$8,MATCH(WEEKDAY('Modesto Maranzana Power'!A171,3),'Master Data'!$A$2:$A$8,0),2)</f>
        <v>F</v>
      </c>
      <c r="D171" s="112" t="n">
        <v>1883146.79349963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0</v>
      </c>
      <c r="P171" s="112" t="n">
        <f aca="false">D171/P$3</f>
        <v>1.88314679349963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0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INDEX('Master Data'!$A$2:$B$8,MATCH(WEEKDAY('Modesto Maranzana Power'!A172,3),'Master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0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0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INDEX('Master Data'!$A$2:$B$8,MATCH(WEEKDAY('Modesto Maranzana Power'!A173,3),'Master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0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0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INDEX('Master Data'!$A$2:$B$8,MATCH(WEEKDAY('Modesto Maranzana Power'!A174,3),'Master Data'!$A$2:$A$8,0),2)</f>
        <v>M</v>
      </c>
      <c r="D174" s="112" t="n">
        <v>1882794.42253444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0</v>
      </c>
      <c r="P174" s="112" t="n">
        <f aca="false">D174/P$3</f>
        <v>1.88279442253444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0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INDEX('Master Data'!$A$2:$B$8,MATCH(WEEKDAY('Modesto Maranzana Power'!A175,3),'Master Data'!$A$2:$A$8,0),2)</f>
        <v>T</v>
      </c>
      <c r="D175" s="112" t="n">
        <v>1883954.56877536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0</v>
      </c>
      <c r="P175" s="112" t="n">
        <f aca="false">D175/P$3</f>
        <v>1.88395456877536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0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INDEX('Master Data'!$A$2:$B$8,MATCH(WEEKDAY('Modesto Maranzana Power'!A176,3),'Master Data'!$A$2:$A$8,0),2)</f>
        <v>W</v>
      </c>
      <c r="D176" s="112" t="n">
        <v>1892307.94853185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0</v>
      </c>
      <c r="P176" s="112" t="n">
        <f aca="false">D176/P$3</f>
        <v>1.89230794853185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0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INDEX('Master Data'!$A$2:$B$8,MATCH(WEEKDAY('Modesto Maranzana Power'!A177,3),'Master Data'!$A$2:$A$8,0),2)</f>
        <v>Th</v>
      </c>
      <c r="D177" s="112" t="n">
        <v>1885416.01642687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0</v>
      </c>
      <c r="P177" s="112" t="n">
        <f aca="false">D177/P$3</f>
        <v>1.88541601642687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0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INDEX('Master Data'!$A$2:$B$8,MATCH(WEEKDAY('Modesto Maranzana Power'!A178,3),'Master Data'!$A$2:$A$8,0),2)</f>
        <v>F</v>
      </c>
      <c r="D178" s="112" t="n">
        <v>1884186.92124649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0</v>
      </c>
      <c r="P178" s="112" t="n">
        <f aca="false">D178/P$3</f>
        <v>1.88418692124649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0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Data'!$A$2:$B$8,MATCH(WEEKDAY('Modesto Maranzana Power'!A179,3),'Master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0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0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Data'!$A$2:$B$8,MATCH(WEEKDAY('Modesto Maranzana Power'!A180,3),'Master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0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0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Data'!$A$2:$B$8,MATCH(WEEKDAY('Modesto Maranzana Power'!A181,3),'Master Data'!$A$2:$A$8,0),2)</f>
        <v>M</v>
      </c>
      <c r="D181" s="112" t="n">
        <v>1885797.32450614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0</v>
      </c>
      <c r="P181" s="112" t="n">
        <f aca="false">D181/P$3</f>
        <v>1.88579732450614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0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Data'!$A$2:$B$8,MATCH(WEEKDAY('Modesto Maranzana Power'!A182,3),'Master Data'!$A$2:$A$8,0),2)</f>
        <v>T</v>
      </c>
      <c r="D182" s="112" t="n">
        <v>1885160.17822509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0</v>
      </c>
      <c r="P182" s="112" t="n">
        <f aca="false">D182/P$3</f>
        <v>1.88516017822509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0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Data'!$A$2:$B$8,MATCH(WEEKDAY('Modesto Maranzana Power'!A183,3),'Master Data'!$A$2:$A$8,0),2)</f>
        <v>W</v>
      </c>
      <c r="D183" s="112" t="n">
        <v>1881216.12546862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0</v>
      </c>
      <c r="P183" s="112" t="n">
        <f aca="false">D183/P$3</f>
        <v>1.88121612546862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0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Data'!$A$2:$B$8,MATCH(WEEKDAY('Modesto Maranzana Power'!A184,3),'Master Data'!$A$2:$A$8,0),2)</f>
        <v>Th</v>
      </c>
      <c r="D184" s="112" t="n">
        <v>1877748.75681339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0</v>
      </c>
      <c r="P184" s="112" t="n">
        <f aca="false">D184/P$3</f>
        <v>1.87774875681339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0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Data'!$A$2:$B$8,MATCH(WEEKDAY('Modesto Maranzana Power'!A185,3),'Master Data'!$A$2:$A$8,0),2)</f>
        <v>F</v>
      </c>
      <c r="D185" s="112" t="n">
        <v>1870889.68060695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0</v>
      </c>
      <c r="P185" s="112" t="n">
        <f aca="false">D185/P$3</f>
        <v>1.87088968060695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0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Data'!$A$2:$B$8,MATCH(WEEKDAY('Modesto Maranzana Power'!A186,3),'Master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0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0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Data'!$A$2:$B$8,MATCH(WEEKDAY('Modesto Maranzana Power'!A187,3),'Master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0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0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Data'!$A$2:$B$8,MATCH(WEEKDAY('Modesto Maranzana Power'!A188,3),'Master Data'!$A$2:$A$8,0),2)</f>
        <v>M</v>
      </c>
      <c r="D188" s="112" t="n">
        <v>1869327.16730982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0</v>
      </c>
      <c r="P188" s="112" t="n">
        <f aca="false">D188/P$3</f>
        <v>1.86932716730982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0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Data'!$A$2:$B$8,MATCH(WEEKDAY('Modesto Maranzana Power'!A189,3),'Master Data'!$A$2:$A$8,0),2)</f>
        <v>T</v>
      </c>
      <c r="D189" s="112" t="n">
        <v>1871670.11347638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0</v>
      </c>
      <c r="P189" s="112" t="n">
        <f aca="false">D189/P$3</f>
        <v>1.87167011347638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0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Data'!$A$2:$B$8,MATCH(WEEKDAY('Modesto Maranzana Power'!A190,3),'Master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0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0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Data'!$A$2:$B$8,MATCH(WEEKDAY('Modesto Maranzana Power'!A191,3),'Master Data'!$A$2:$A$8,0),2)</f>
        <v>Th</v>
      </c>
      <c r="D191" s="112" t="n">
        <v>1870550.6931555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0</v>
      </c>
      <c r="P191" s="112" t="n">
        <f aca="false">D191/P$3</f>
        <v>1.8705506931555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0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Data'!$A$2:$B$8,MATCH(WEEKDAY('Modesto Maranzana Power'!A192,3),'Master Data'!$A$2:$A$8,0),2)</f>
        <v>F</v>
      </c>
      <c r="D192" s="112" t="n">
        <v>1993421.91991309</v>
      </c>
      <c r="E192" s="112"/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0</v>
      </c>
      <c r="P192" s="112" t="n">
        <f aca="false">D192/P$3</f>
        <v>1.99342191991309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0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Data'!$A$2:$B$8,MATCH(WEEKDAY('Modesto Maranzana Power'!A193,3),'Master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0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0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Data'!$A$2:$B$8,MATCH(WEEKDAY('Modesto Maranzana Power'!A194,3),'Master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0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0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Data'!$A$2:$B$8,MATCH(WEEKDAY('Modesto Maranzana Power'!A195,3),'Master Data'!$A$2:$A$8,0),2)</f>
        <v>M</v>
      </c>
      <c r="D195" s="112" t="n">
        <v>1995882.18954609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0</v>
      </c>
      <c r="P195" s="112" t="n">
        <f aca="false">D195/P$3</f>
        <v>1.99588218954609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0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Data'!$A$2:$B$8,MATCH(WEEKDAY('Modesto Maranzana Power'!A196,3),'Master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0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0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Data'!$A$2:$B$8,MATCH(WEEKDAY('Modesto Maranzana Power'!A197,3),'Master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0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0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Data'!$A$2:$B$8,MATCH(WEEKDAY('Modesto Maranzana Power'!A198,3),'Master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0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0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Data'!$A$2:$B$8,MATCH(WEEKDAY('Modesto Maranzana Power'!A199,3),'Master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0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0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Data'!$A$2:$B$8,MATCH(WEEKDAY('Modesto Maranzana Power'!A200,3),'Master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0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0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Data'!$A$2:$B$8,MATCH(WEEKDAY('Modesto Maranzana Power'!A201,3),'Master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0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0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Data'!$A$2:$B$8,MATCH(WEEKDAY('Modesto Maranzana Power'!A202,3),'Master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0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0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Data'!$A$2:$B$8,MATCH(WEEKDAY('Modesto Maranzana Power'!A203,3),'Master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0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0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Data'!$A$2:$B$8,MATCH(WEEKDAY('Modesto Maranzana Power'!A204,3),'Master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0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0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Data'!$A$2:$B$8,MATCH(WEEKDAY('Modesto Maranzana Power'!A205,3),'Master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0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0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Data'!$A$2:$B$8,MATCH(WEEKDAY('Modesto Maranzana Power'!A206,3),'Master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0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0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Data'!$A$2:$B$8,MATCH(WEEKDAY('Modesto Maranzana Power'!A207,3),'Master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0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0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Data'!$A$2:$B$8,MATCH(WEEKDAY('Modesto Maranzana Power'!A208,3),'Master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0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0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Data'!$A$2:$B$8,MATCH(WEEKDAY('Modesto Maranzana Power'!A209,3),'Master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0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0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Data'!$A$2:$B$8,MATCH(WEEKDAY('Modesto Maranzana Power'!A210,3),'Master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0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0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Data'!$A$2:$B$8,MATCH(WEEKDAY('Modesto Maranzana Power'!A211,3),'Master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0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0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Data'!$A$2:$B$8,MATCH(WEEKDAY('Modesto Maranzana Power'!A212,3),'Master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0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0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Data'!$A$2:$B$8,MATCH(WEEKDAY('Modesto Maranzana Power'!A213,3),'Master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0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0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Data'!$A$2:$B$8,MATCH(WEEKDAY('Modesto Maranzana Power'!A214,3),'Master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0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0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Data'!$A$2:$B$8,MATCH(WEEKDAY('Modesto Maranzana Power'!A215,3),'Master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0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0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Data'!$A$2:$B$8,MATCH(WEEKDAY('Modesto Maranzana Power'!A216,3),'Master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0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0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Data'!$A$2:$B$8,MATCH(WEEKDAY('Modesto Maranzana Power'!A217,3),'Master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0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0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Data'!$A$2:$B$8,MATCH(WEEKDAY('Modesto Maranzana Power'!A218,3),'Master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0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0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Data'!$A$2:$B$8,MATCH(WEEKDAY('Modesto Maranzana Power'!A219,3),'Master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0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0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Data'!$A$2:$B$8,MATCH(WEEKDAY('Modesto Maranzana Power'!A220,3),'Master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0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0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Data'!$A$2:$B$8,MATCH(WEEKDAY('Modesto Maranzana Power'!A221,3),'Master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0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0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Data'!$A$2:$B$8,MATCH(WEEKDAY('Modesto Maranzana Power'!A222,3),'Master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0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0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Data'!$A$2:$B$8,MATCH(WEEKDAY('Modesto Maranzana Power'!A223,3),'Master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0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0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Data'!$A$2:$B$8,MATCH(WEEKDAY('Modesto Maranzana Power'!A224,3),'Master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0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0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Data'!$A$2:$B$8,MATCH(WEEKDAY('Modesto Maranzana Power'!A225,3),'Master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0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0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Data'!$A$2:$B$8,MATCH(WEEKDAY('Modesto Maranzana Power'!A226,3),'Master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0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0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Data'!$A$2:$B$8,MATCH(WEEKDAY('Modesto Maranzana Power'!A227,3),'Master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0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0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Data'!$A$2:$B$8,MATCH(WEEKDAY('Modesto Maranzana Power'!A228,3),'Master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0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0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Data'!$A$2:$B$8,MATCH(WEEKDAY('Modesto Maranzana Power'!A229,3),'Master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0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0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Data'!$A$2:$B$8,MATCH(WEEKDAY('Modesto Maranzana Power'!A230,3),'Master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0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0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Data'!$A$2:$B$8,MATCH(WEEKDAY('Modesto Maranzana Power'!A231,3),'Master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0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0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Data'!$A$2:$B$8,MATCH(WEEKDAY('Modesto Maranzana Power'!A232,3),'Master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0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0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Data'!$A$2:$B$8,MATCH(WEEKDAY('Modesto Maranzana Power'!A233,3),'Master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0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0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Data'!$A$2:$B$8,MATCH(WEEKDAY('Modesto Maranzana Power'!A234,3),'Master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0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0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Data'!$A$2:$B$8,MATCH(WEEKDAY('Modesto Maranzana Power'!A235,3),'Master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0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0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Data'!$A$2:$B$8,MATCH(WEEKDAY('Modesto Maranzana Power'!A236,3),'Master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0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0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Data'!$A$2:$B$8,MATCH(WEEKDAY('Modesto Maranzana Power'!A237,3),'Master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0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0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Data'!$A$2:$B$8,MATCH(WEEKDAY('Modesto Maranzana Power'!A238,3),'Master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0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0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Data'!$A$2:$B$8,MATCH(WEEKDAY('Modesto Maranzana Power'!A239,3),'Master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0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0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Data'!$A$2:$B$8,MATCH(WEEKDAY('Modesto Maranzana Power'!A240,3),'Master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0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0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Data'!$A$2:$B$8,MATCH(WEEKDAY('Modesto Maranzana Power'!A241,3),'Master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0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0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Data'!$A$2:$B$8,MATCH(WEEKDAY('Modesto Maranzana Power'!A242,3),'Master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0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0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Data'!$A$2:$B$8,MATCH(WEEKDAY('Modesto Maranzana Power'!A243,3),'Master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0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0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Data'!$A$2:$B$8,MATCH(WEEKDAY('Modesto Maranzana Power'!A244,3),'Master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0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0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Data'!$A$2:$B$8,MATCH(WEEKDAY('Modesto Maranzana Power'!A245,3),'Master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0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0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Data'!$A$2:$B$8,MATCH(WEEKDAY('Modesto Maranzana Power'!A246,3),'Master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0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0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Data'!$A$2:$B$8,MATCH(WEEKDAY('Modesto Maranzana Power'!A247,3),'Master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0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0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Data'!$A$2:$B$8,MATCH(WEEKDAY('Modesto Maranzana Power'!A248,3),'Master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0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0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Data'!$A$2:$B$8,MATCH(WEEKDAY('Modesto Maranzana Power'!A249,3),'Master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0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0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Data'!$A$2:$B$8,MATCH(WEEKDAY('Modesto Maranzana Power'!A250,3),'Master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0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0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Data'!$A$2:$B$8,MATCH(WEEKDAY('Modesto Maranzana Power'!A251,3),'Master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0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0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Data'!$A$2:$B$8,MATCH(WEEKDAY('Modesto Maranzana Power'!A252,3),'Master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0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0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Data'!$A$2:$B$8,MATCH(WEEKDAY('Modesto Maranzana Power'!A253,3),'Master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0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0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Data'!$A$2:$B$8,MATCH(WEEKDAY('Modesto Maranzana Power'!A254,3),'Master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0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0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Data'!$A$2:$B$8,MATCH(WEEKDAY('Modesto Maranzana Power'!A255,3),'Master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0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0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Data'!$A$2:$B$8,MATCH(WEEKDAY('Modesto Maranzana Power'!A256,3),'Master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0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0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Data'!$A$2:$B$8,MATCH(WEEKDAY('Modesto Maranzana Power'!A257,3),'Master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0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0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Data'!$A$2:$B$8,MATCH(WEEKDAY('Modesto Maranzana Power'!A258,3),'Master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0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0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Data'!$A$2:$B$8,MATCH(WEEKDAY('Modesto Maranzana Power'!A259,3),'Master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0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0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Data'!$A$2:$B$8,MATCH(WEEKDAY('Modesto Maranzana Power'!A260,3),'Master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0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0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Data'!$A$2:$B$8,MATCH(WEEKDAY('Modesto Maranzana Power'!A261,3),'Master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0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0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Data'!$A$2:$B$8,MATCH(WEEKDAY('Modesto Maranzana Power'!A262,3),'Master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0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0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Data'!$A$2:$B$8,MATCH(WEEKDAY('Modesto Maranzana Power'!A263,3),'Master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0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0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Data'!$A$2:$B$8,MATCH(WEEKDAY('Modesto Maranzana Power'!A264,3),'Master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0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0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Data'!$A$2:$B$8,MATCH(WEEKDAY('Modesto Maranzana Power'!A265,3),'Master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0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0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Data'!$A$2:$B$8,MATCH(WEEKDAY('Modesto Maranzana Power'!A266,3),'Master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0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0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Data'!$A$2:$B$8,MATCH(WEEKDAY('Modesto Maranzana Power'!A267,3),'Master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0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0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Data'!$A$2:$B$8,MATCH(WEEKDAY('Modesto Maranzana Power'!A268,3),'Master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0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0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Data'!$A$2:$B$8,MATCH(WEEKDAY('Modesto Maranzana Power'!A269,3),'Master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0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0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Data'!$A$2:$B$8,MATCH(WEEKDAY('Modesto Maranzana Power'!A270,3),'Master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0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0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Data'!$A$2:$B$8,MATCH(WEEKDAY('Modesto Maranzana Power'!A271,3),'Master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0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0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Data'!$A$2:$B$8,MATCH(WEEKDAY('Modesto Maranzana Power'!A272,3),'Master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0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0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Data'!$A$2:$B$8,MATCH(WEEKDAY('Modesto Maranzana Power'!A273,3),'Master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0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0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Data'!$A$2:$B$8,MATCH(WEEKDAY('Modesto Maranzana Power'!A274,3),'Master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0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0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Data'!$A$2:$B$8,MATCH(WEEKDAY('Modesto Maranzana Power'!A275,3),'Master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0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0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Data'!$A$2:$B$8,MATCH(WEEKDAY('Modesto Maranzana Power'!A276,3),'Master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0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0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Data'!$A$2:$B$8,MATCH(WEEKDAY('Modesto Maranzana Power'!A277,3),'Master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0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0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Data'!$A$2:$B$8,MATCH(WEEKDAY('Modesto Maranzana Power'!A278,3),'Master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0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0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Data'!$A$2:$B$8,MATCH(WEEKDAY('Modesto Maranzana Power'!A279,3),'Master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0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0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Data'!$A$2:$B$8,MATCH(WEEKDAY('Modesto Maranzana Power'!A280,3),'Master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0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0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Data'!$A$2:$B$8,MATCH(WEEKDAY('Modesto Maranzana Power'!A281,3),'Master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0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0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Data'!$A$2:$B$8,MATCH(WEEKDAY('Modesto Maranzana Power'!A282,3),'Master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0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0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Data'!$A$2:$B$8,MATCH(WEEKDAY('Modesto Maranzana Power'!A283,3),'Master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0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0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Data'!$A$2:$B$8,MATCH(WEEKDAY('Modesto Maranzana Power'!A284,3),'Master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0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0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Data'!$A$2:$B$8,MATCH(WEEKDAY('Modesto Maranzana Power'!A285,3),'Master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0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0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Data'!$A$2:$B$8,MATCH(WEEKDAY('Modesto Maranzana Power'!A286,3),'Master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0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0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Data'!$A$2:$B$8,MATCH(WEEKDAY('Modesto Maranzana Power'!A287,3),'Master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0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0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Data'!$A$2:$B$8,MATCH(WEEKDAY('Modesto Maranzana Power'!A288,3),'Master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0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0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Data'!$A$2:$B$8,MATCH(WEEKDAY('Modesto Maranzana Power'!A289,3),'Master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0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0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Data'!$A$2:$B$8,MATCH(WEEKDAY('Modesto Maranzana Power'!A290,3),'Master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0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0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Data'!$A$2:$B$8,MATCH(WEEKDAY('Modesto Maranzana Power'!A291,3),'Master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0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0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Data'!$A$2:$B$8,MATCH(WEEKDAY('Modesto Maranzana Power'!A292,3),'Master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0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0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Data'!$A$2:$B$8,MATCH(WEEKDAY('Modesto Maranzana Power'!A293,3),'Master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0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0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Data'!$A$2:$B$8,MATCH(WEEKDAY('Modesto Maranzana Power'!A294,3),'Master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0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0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Data'!$A$2:$B$8,MATCH(WEEKDAY('Modesto Maranzana Power'!A295,3),'Master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0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0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Data'!$A$2:$B$8,MATCH(WEEKDAY('Modesto Maranzana Power'!A296,3),'Master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0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0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Data'!$A$2:$B$8,MATCH(WEEKDAY('Modesto Maranzana Power'!A297,3),'Master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0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0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Data'!$A$2:$B$8,MATCH(WEEKDAY('Modesto Maranzana Power'!A298,3),'Master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0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0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Data'!$A$2:$B$8,MATCH(WEEKDAY('Modesto Maranzana Power'!A299,3),'Master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0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0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Data'!$A$2:$B$8,MATCH(WEEKDAY('Modesto Maranzana Power'!A300,3),'Master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0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0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Data'!$A$2:$B$8,MATCH(WEEKDAY('Modesto Maranzana Power'!A301,3),'Master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0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0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Data'!$A$2:$B$8,MATCH(WEEKDAY('Modesto Maranzana Power'!A302,3),'Master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0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0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Data'!$A$2:$B$8,MATCH(WEEKDAY('Modesto Maranzana Power'!A303,3),'Master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0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0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Data'!$A$2:$B$8,MATCH(WEEKDAY('Modesto Maranzana Power'!A304,3),'Master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0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0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Data'!$A$2:$B$8,MATCH(WEEKDAY('Modesto Maranzana Power'!A305,3),'Master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0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0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Data'!$A$2:$B$8,MATCH(WEEKDAY('Modesto Maranzana Power'!A306,3),'Master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0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0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Data'!$A$2:$B$8,MATCH(WEEKDAY('Modesto Maranzana Power'!A307,3),'Master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0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0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Data'!$A$2:$B$8,MATCH(WEEKDAY('Modesto Maranzana Power'!A308,3),'Master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0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0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Data'!$A$2:$B$8,MATCH(WEEKDAY('Modesto Maranzana Power'!A309,3),'Master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0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0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Data'!$A$2:$B$8,MATCH(WEEKDAY('Modesto Maranzana Power'!A310,3),'Master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0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0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Data'!$A$2:$B$8,MATCH(WEEKDAY('Modesto Maranzana Power'!A311,3),'Master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0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0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Data'!$A$2:$B$8,MATCH(WEEKDAY('Modesto Maranzana Power'!A312,3),'Master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0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0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Data'!$A$2:$B$8,MATCH(WEEKDAY('Modesto Maranzana Power'!A313,3),'Master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0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0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Data'!$A$2:$B$8,MATCH(WEEKDAY('Modesto Maranzana Power'!A314,3),'Master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0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0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Data'!$A$2:$B$8,MATCH(WEEKDAY('Modesto Maranzana Power'!A315,3),'Master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0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0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Data'!$A$2:$B$8,MATCH(WEEKDAY('Modesto Maranzana Power'!A316,3),'Master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0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0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Data'!$A$2:$B$8,MATCH(WEEKDAY('Modesto Maranzana Power'!A317,3),'Master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0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0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Data'!$A$2:$B$8,MATCH(WEEKDAY('Modesto Maranzana Power'!A318,3),'Master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0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0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Data'!$A$2:$B$8,MATCH(WEEKDAY('Modesto Maranzana Power'!A319,3),'Master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0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0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Data'!$A$2:$B$8,MATCH(WEEKDAY('Modesto Maranzana Power'!A320,3),'Master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0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0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Data'!$A$2:$B$8,MATCH(WEEKDAY('Modesto Maranzana Power'!A321,3),'Master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0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0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Data'!$A$2:$B$8,MATCH(WEEKDAY('Modesto Maranzana Power'!A322,3),'Master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0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0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Data'!$A$2:$B$8,MATCH(WEEKDAY('Modesto Maranzana Power'!A323,3),'Master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0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0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Data'!$A$2:$B$8,MATCH(WEEKDAY('Modesto Maranzana Power'!A324,3),'Master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0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0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Data'!$A$2:$B$8,MATCH(WEEKDAY('Modesto Maranzana Power'!A325,3),'Master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0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0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Data'!$A$2:$B$8,MATCH(WEEKDAY('Modesto Maranzana Power'!A326,3),'Master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0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0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Data'!$A$2:$B$8,MATCH(WEEKDAY('Modesto Maranzana Power'!A327,3),'Master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0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0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Data'!$A$2:$B$8,MATCH(WEEKDAY('Modesto Maranzana Power'!A328,3),'Master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0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0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Data'!$A$2:$B$8,MATCH(WEEKDAY('Modesto Maranzana Power'!A329,3),'Master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0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0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Data'!$A$2:$B$8,MATCH(WEEKDAY('Modesto Maranzana Power'!A330,3),'Master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0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0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Data'!$A$2:$B$8,MATCH(WEEKDAY('Modesto Maranzana Power'!A331,3),'Master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0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0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Data'!$A$2:$B$8,MATCH(WEEKDAY('Modesto Maranzana Power'!A332,3),'Master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0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0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Data'!$A$2:$B$8,MATCH(WEEKDAY('Modesto Maranzana Power'!A333,3),'Master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0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0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Data'!$A$2:$B$8,MATCH(WEEKDAY('Modesto Maranzana Power'!A334,3),'Master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0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0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Data'!$A$2:$B$8,MATCH(WEEKDAY('Modesto Maranzana Power'!A335,3),'Master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0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0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Data'!$A$2:$B$8,MATCH(WEEKDAY('Modesto Maranzana Power'!A336,3),'Master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0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0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Data'!$A$2:$B$8,MATCH(WEEKDAY('Modesto Maranzana Power'!A337,3),'Master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0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0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Data'!$A$2:$B$8,MATCH(WEEKDAY('Modesto Maranzana Power'!A338,3),'Master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0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0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Data'!$A$2:$B$8,MATCH(WEEKDAY('Modesto Maranzana Power'!A339,3),'Master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0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0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Data'!$A$2:$B$8,MATCH(WEEKDAY('Modesto Maranzana Power'!A340,3),'Master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0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0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Data'!$A$2:$B$8,MATCH(WEEKDAY('Modesto Maranzana Power'!A341,3),'Master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0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0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Data'!$A$2:$B$8,MATCH(WEEKDAY('Modesto Maranzana Power'!A342,3),'Master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0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0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Data'!$A$2:$B$8,MATCH(WEEKDAY('Modesto Maranzana Power'!A343,3),'Master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0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0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Data'!$A$2:$B$8,MATCH(WEEKDAY('Modesto Maranzana Power'!A344,3),'Master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0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0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Data'!$A$2:$B$8,MATCH(WEEKDAY('Modesto Maranzana Power'!A345,3),'Master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0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0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Data'!$A$2:$B$8,MATCH(WEEKDAY('Modesto Maranzana Power'!A346,3),'Master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0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0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Data'!$A$2:$B$8,MATCH(WEEKDAY('Modesto Maranzana Power'!A347,3),'Master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0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0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Data'!$A$2:$B$8,MATCH(WEEKDAY('Modesto Maranzana Power'!A348,3),'Master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0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0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Data'!$A$2:$B$8,MATCH(WEEKDAY('Modesto Maranzana Power'!A349,3),'Master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0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0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Data'!$A$2:$B$8,MATCH(WEEKDAY('Modesto Maranzana Power'!A350,3),'Master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0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0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Data'!$A$2:$B$8,MATCH(WEEKDAY('Modesto Maranzana Power'!A351,3),'Master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0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0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Data'!$A$2:$B$8,MATCH(WEEKDAY('Modesto Maranzana Power'!A352,3),'Master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0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0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Data'!$A$2:$B$8,MATCH(WEEKDAY('Modesto Maranzana Power'!A353,3),'Master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0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0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Data'!$A$2:$B$8,MATCH(WEEKDAY('Modesto Maranzana Power'!A354,3),'Master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0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0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Data'!$A$2:$B$8,MATCH(WEEKDAY('Modesto Maranzana Power'!A355,3),'Master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0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0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Data'!$A$2:$B$8,MATCH(WEEKDAY('Modesto Maranzana Power'!A356,3),'Master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0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0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Data'!$A$2:$B$8,MATCH(WEEKDAY('Modesto Maranzana Power'!A357,3),'Master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0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0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Data'!$A$2:$B$8,MATCH(WEEKDAY('Modesto Maranzana Power'!A358,3),'Master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0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0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Data'!$A$2:$B$8,MATCH(WEEKDAY('Modesto Maranzana Power'!A359,3),'Master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0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0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Data'!$A$2:$B$8,MATCH(WEEKDAY('Modesto Maranzana Power'!A360,3),'Master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0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0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Data'!$A$2:$B$8,MATCH(WEEKDAY('Modesto Maranzana Power'!A361,3),'Master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0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0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Data'!$A$2:$B$8,MATCH(WEEKDAY('Modesto Maranzana Power'!A362,3),'Master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0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0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Data'!$A$2:$B$8,MATCH(WEEKDAY('Modesto Maranzana Power'!A363,3),'Master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0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0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Data'!$A$2:$B$8,MATCH(WEEKDAY('Modesto Maranzana Power'!A364,3),'Master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0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0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Data'!$A$2:$B$8,MATCH(WEEKDAY('Modesto Maranzana Power'!A365,3),'Master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0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0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Data'!$A$2:$B$8,MATCH(WEEKDAY('Modesto Maranzana Power'!A366,3),'Master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0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0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Data'!$A$2:$B$8,MATCH(WEEKDAY('Modesto Maranzana Power'!A367,3),'Master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0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0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Data'!$A$2:$B$8,MATCH(WEEKDAY('Modesto Maranzana Power'!A368,3),'Master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0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0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Data'!$A$2:$B$8,MATCH(WEEKDAY('Modesto Maranzana Power'!A369,3),'Master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0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0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Data'!$A$2:$B$8,MATCH(WEEKDAY('Modesto Maranzana Power'!A370,3),'Master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0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0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Data'!$A$2:$B$8,MATCH(WEEKDAY('Modesto Maranzana Power'!A371,3),'Master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0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0</v>
      </c>
    </row>
    <row r="372" customFormat="false" ht="12.75" hidden="false" customHeight="false" outlineLevel="0" collapsed="false">
      <c r="D372" s="112"/>
      <c r="E372" s="112"/>
      <c r="F372" s="112"/>
      <c r="G372" s="112"/>
    </row>
    <row r="373" customFormat="false" ht="12.75" hidden="false" customHeight="false" outlineLevel="0" collapsed="false">
      <c r="D373" s="112"/>
      <c r="E373" s="112"/>
      <c r="F373" s="112"/>
      <c r="G373" s="112"/>
    </row>
    <row r="374" customFormat="false" ht="12.75" hidden="false" customHeight="false" outlineLevel="0" collapsed="false">
      <c r="D374" s="112"/>
      <c r="E374" s="112"/>
      <c r="F374" s="112"/>
      <c r="G374" s="112"/>
    </row>
    <row r="375" customFormat="false" ht="12.75" hidden="false" customHeight="false" outlineLevel="0" collapsed="false">
      <c r="D375" s="112"/>
      <c r="E375" s="112"/>
      <c r="F375" s="112"/>
      <c r="G375" s="112"/>
    </row>
    <row r="376" customFormat="false" ht="12.75" hidden="false" customHeight="false" outlineLevel="0" collapsed="false">
      <c r="D376" s="112"/>
      <c r="E376" s="112"/>
      <c r="F376" s="112"/>
      <c r="G376" s="112"/>
    </row>
    <row r="377" customFormat="false" ht="12.75" hidden="false" customHeight="false" outlineLevel="0" collapsed="false">
      <c r="D377" s="112"/>
      <c r="E377" s="112"/>
      <c r="F377" s="112"/>
      <c r="G377" s="112"/>
    </row>
    <row r="378" customFormat="false" ht="12.75" hidden="false" customHeight="false" outlineLevel="0" collapsed="false">
      <c r="D378" s="112"/>
      <c r="E378" s="112"/>
      <c r="F378" s="112"/>
      <c r="G378" s="112"/>
    </row>
    <row r="379" customFormat="false" ht="12.75" hidden="false" customHeight="false" outlineLevel="0" collapsed="false">
      <c r="D379" s="112"/>
      <c r="E379" s="112"/>
      <c r="F379" s="112"/>
      <c r="G379" s="112"/>
    </row>
    <row r="380" customFormat="false" ht="12.75" hidden="false" customHeight="false" outlineLevel="0" collapsed="false">
      <c r="D380" s="112"/>
      <c r="E380" s="112"/>
      <c r="F380" s="112"/>
      <c r="G380" s="112"/>
    </row>
    <row r="381" customFormat="false" ht="12.75" hidden="false" customHeight="false" outlineLevel="0" collapsed="false">
      <c r="D381" s="112"/>
      <c r="E381" s="112"/>
      <c r="F381" s="112"/>
      <c r="G381" s="112"/>
    </row>
    <row r="382" customFormat="false" ht="12.75" hidden="false" customHeight="false" outlineLevel="0" collapsed="false">
      <c r="D382" s="112"/>
      <c r="E382" s="112"/>
      <c r="F382" s="112"/>
      <c r="G382" s="112"/>
    </row>
    <row r="383" customFormat="false" ht="12.75" hidden="false" customHeight="false" outlineLevel="0" collapsed="false">
      <c r="D383" s="112"/>
      <c r="E383" s="112"/>
      <c r="F383" s="112"/>
      <c r="G383" s="112"/>
    </row>
    <row r="384" customFormat="false" ht="12.75" hidden="false" customHeight="false" outlineLevel="0" collapsed="false">
      <c r="D384" s="112"/>
      <c r="E384" s="112"/>
      <c r="F384" s="112"/>
      <c r="G384" s="112"/>
    </row>
    <row r="385" customFormat="false" ht="12.75" hidden="false" customHeight="false" outlineLevel="0" collapsed="false">
      <c r="D385" s="112"/>
      <c r="E385" s="112"/>
      <c r="F385" s="112"/>
      <c r="G385" s="112"/>
    </row>
    <row r="386" customFormat="false" ht="12.75" hidden="false" customHeight="false" outlineLevel="0" collapsed="false">
      <c r="D386" s="112"/>
      <c r="E386" s="112"/>
      <c r="F386" s="112"/>
      <c r="G386" s="112"/>
    </row>
    <row r="387" customFormat="false" ht="12.75" hidden="false" customHeight="false" outlineLevel="0" collapsed="false">
      <c r="D387" s="112"/>
      <c r="E387" s="112"/>
      <c r="F387" s="112"/>
      <c r="G387" s="112"/>
    </row>
    <row r="388" customFormat="false" ht="12.75" hidden="false" customHeight="false" outlineLevel="0" collapsed="false">
      <c r="D388" s="112"/>
      <c r="E388" s="112"/>
      <c r="F388" s="112"/>
      <c r="G388" s="112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I3" s="134"/>
      <c r="K3" s="116" t="n">
        <f aca="false">Summary!B8</f>
        <v>37081</v>
      </c>
      <c r="L3" s="117" t="n">
        <f aca="false">SUM(L6:L371)</f>
        <v>49299.5161290323</v>
      </c>
      <c r="P3" s="112" t="n">
        <v>1000000</v>
      </c>
      <c r="Q3" s="112"/>
      <c r="R3" s="112" t="n">
        <v>1000</v>
      </c>
      <c r="S3" s="109"/>
      <c r="T3" s="118" t="n">
        <f aca="false">SUM(T6:T371)</f>
        <v>49.2995161290323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Data'!$A$2:$B$8,MATCH(WEEKDAY('MM PLANT'!A6,3),'Master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Data'!$A$2:$B$8,MATCH(WEEKDAY('MM PLANT'!A7,3),'Master Data'!$A$2:$A$8,0),2)</f>
        <v>T</v>
      </c>
      <c r="D7" s="112" t="n">
        <v>0</v>
      </c>
      <c r="E7" s="112" t="n">
        <v>0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0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Data'!$A$2:$B$8,MATCH(WEEKDAY('MM PLANT'!A8,3),'Master Data'!$A$2:$A$8,0),2)</f>
        <v>W</v>
      </c>
      <c r="D8" s="112" t="n">
        <v>0</v>
      </c>
      <c r="E8" s="112" t="n">
        <v>0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Data'!$A$2:$B$8,MATCH(WEEKDAY('MM PLANT'!A9,3),'Master Data'!$A$2:$A$8,0),2)</f>
        <v>Th</v>
      </c>
      <c r="D9" s="112" t="n">
        <v>0</v>
      </c>
      <c r="E9" s="112" t="n">
        <v>0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0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Data'!$A$2:$B$8,MATCH(WEEKDAY('MM PLANT'!A10,3),'Master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Data'!$A$2:$B$8,MATCH(WEEKDAY('MM PLANT'!A11,3),'Master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Data'!$A$2:$B$8,MATCH(WEEKDAY('MM PLANT'!A12,3),'Master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Data'!$A$2:$B$8,MATCH(WEEKDAY('MM PLANT'!A13,3),'Master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Data'!$A$2:$B$8,MATCH(WEEKDAY('MM PLANT'!A14,3),'Master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Data'!$A$2:$B$8,MATCH(WEEKDAY('MM PLANT'!A15,3),'Master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Data'!$A$2:$B$8,MATCH(WEEKDAY('MM PLANT'!A16,3),'Master Data'!$A$2:$A$8,0),2)</f>
        <v>Th</v>
      </c>
      <c r="D16" s="112" t="n">
        <v>0</v>
      </c>
      <c r="E16" s="112" t="n">
        <v>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Data'!$A$2:$B$8,MATCH(WEEKDAY('MM PLANT'!A17,3),'Master Data'!$A$2:$A$8,0),2)</f>
        <v>F</v>
      </c>
      <c r="D17" s="112" t="n">
        <v>0</v>
      </c>
      <c r="E17" s="112" t="n">
        <v>0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Data'!$A$2:$B$8,MATCH(WEEKDAY('MM PLANT'!A18,3),'Master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Data'!$A$2:$B$8,MATCH(WEEKDAY('MM PLANT'!A19,3),'Master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Data'!$A$2:$B$8,MATCH(WEEKDAY('MM PLANT'!A20,3),'Master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Data'!$A$2:$B$8,MATCH(WEEKDAY('MM PLANT'!A21,3),'Master Data'!$A$2:$A$8,0),2)</f>
        <v>T</v>
      </c>
      <c r="D21" s="112" t="n">
        <v>0</v>
      </c>
      <c r="E21" s="112" t="n">
        <v>0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Data'!$A$2:$B$8,MATCH(WEEKDAY('MM PLANT'!A22,3),'Master Data'!$A$2:$A$8,0),2)</f>
        <v>W</v>
      </c>
      <c r="D22" s="112" t="n">
        <v>0</v>
      </c>
      <c r="E22" s="112" t="n">
        <v>0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Data'!$A$2:$B$8,MATCH(WEEKDAY('MM PLANT'!A23,3),'Master Data'!$A$2:$A$8,0),2)</f>
        <v>Th</v>
      </c>
      <c r="D23" s="112" t="n">
        <v>0</v>
      </c>
      <c r="E23" s="112" t="n">
        <v>0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Data'!$A$2:$B$8,MATCH(WEEKDAY('MM PLANT'!A24,3),'Master Data'!$A$2:$A$8,0),2)</f>
        <v>F</v>
      </c>
      <c r="D24" s="112" t="n">
        <v>0</v>
      </c>
      <c r="E24" s="112" t="n">
        <v>0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Data'!$A$2:$B$8,MATCH(WEEKDAY('MM PLANT'!A25,3),'Master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Data'!$A$2:$B$8,MATCH(WEEKDAY('MM PLANT'!A26,3),'Master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Data'!$A$2:$B$8,MATCH(WEEKDAY('MM PLANT'!A27,3),'Master Data'!$A$2:$A$8,0),2)</f>
        <v>M</v>
      </c>
      <c r="D27" s="112" t="n">
        <v>0</v>
      </c>
      <c r="E27" s="112" t="n">
        <v>0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Data'!$A$2:$B$8,MATCH(WEEKDAY('MM PLANT'!A28,3),'Master Data'!$A$2:$A$8,0),2)</f>
        <v>T</v>
      </c>
      <c r="D28" s="112" t="n">
        <v>0</v>
      </c>
      <c r="E28" s="112" t="n">
        <v>0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Data'!$A$2:$B$8,MATCH(WEEKDAY('MM PLANT'!A29,3),'Master Data'!$A$2:$A$8,0),2)</f>
        <v>W</v>
      </c>
      <c r="D29" s="112" t="n">
        <v>0</v>
      </c>
      <c r="E29" s="112" t="n">
        <v>0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Data'!$A$2:$B$8,MATCH(WEEKDAY('MM PLANT'!A30,3),'Master Data'!$A$2:$A$8,0),2)</f>
        <v>Th</v>
      </c>
      <c r="D30" s="112" t="n">
        <v>0</v>
      </c>
      <c r="E30" s="112" t="n">
        <v>0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Data'!$A$2:$B$8,MATCH(WEEKDAY('MM PLANT'!A31,3),'Master Data'!$A$2:$A$8,0),2)</f>
        <v>F</v>
      </c>
      <c r="D31" s="112" t="n">
        <v>0</v>
      </c>
      <c r="E31" s="112" t="n">
        <v>0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Data'!$A$2:$B$8,MATCH(WEEKDAY('MM PLANT'!A32,3),'Master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Data'!$A$2:$B$8,MATCH(WEEKDAY('MM PLANT'!A33,3),'Master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Data'!$A$2:$B$8,MATCH(WEEKDAY('MM PLANT'!A34,3),'Master Data'!$A$2:$A$8,0),2)</f>
        <v>M</v>
      </c>
      <c r="D34" s="112" t="n">
        <v>0</v>
      </c>
      <c r="E34" s="112" t="n">
        <v>0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Data'!$A$2:$B$8,MATCH(WEEKDAY('MM PLANT'!A35,3),'Master Data'!$A$2:$A$8,0),2)</f>
        <v>T</v>
      </c>
      <c r="D35" s="112" t="n">
        <v>0</v>
      </c>
      <c r="E35" s="112" t="n">
        <v>0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true" customHeight="false" outlineLevel="0" collapsed="false">
      <c r="A36" s="108" t="n">
        <f aca="false">A35+1</f>
        <v>36922</v>
      </c>
      <c r="B36" s="119" t="str">
        <f aca="false">INDEX('Master Data'!$A$2:$B$8,MATCH(WEEKDAY('MM PLANT'!A36,3),'Master Data'!$A$2:$A$8,0),2)</f>
        <v>W</v>
      </c>
      <c r="D36" s="112" t="n">
        <v>0</v>
      </c>
      <c r="E36" s="112" t="n">
        <v>0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Data'!$A$2:$B$8,MATCH(WEEKDAY('MM PLANT'!A37,3),'Master Data'!$A$2:$A$8,0),2)</f>
        <v>Th</v>
      </c>
      <c r="D37" s="112" t="n">
        <v>0</v>
      </c>
      <c r="E37" s="112" t="n">
        <v>0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Data'!$A$2:$B$8,MATCH(WEEKDAY('MM PLANT'!A38,3),'Master Data'!$A$2:$A$8,0),2)</f>
        <v>F</v>
      </c>
      <c r="D38" s="112" t="n">
        <v>0</v>
      </c>
      <c r="E38" s="112" t="n">
        <v>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Data'!$A$2:$B$8,MATCH(WEEKDAY('MM PLANT'!A39,3),'Master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Data'!$A$2:$B$8,MATCH(WEEKDAY('MM PLANT'!A40,3),'Master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Data'!$A$2:$B$8,MATCH(WEEKDAY('MM PLANT'!A41,3),'Master Data'!$A$2:$A$8,0),2)</f>
        <v>M</v>
      </c>
      <c r="D41" s="112" t="n">
        <v>0</v>
      </c>
      <c r="E41" s="112" t="n">
        <v>0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Data'!$A$2:$B$8,MATCH(WEEKDAY('MM PLANT'!A42,3),'Master Data'!$A$2:$A$8,0),2)</f>
        <v>T</v>
      </c>
      <c r="D42" s="112" t="n">
        <v>0</v>
      </c>
      <c r="E42" s="112" t="n">
        <v>0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Data'!$A$2:$B$8,MATCH(WEEKDAY('MM PLANT'!A43,3),'Master Data'!$A$2:$A$8,0),2)</f>
        <v>W</v>
      </c>
      <c r="D43" s="112" t="n">
        <v>0</v>
      </c>
      <c r="E43" s="112" t="n">
        <v>0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Data'!$A$2:$B$8,MATCH(WEEKDAY('MM PLANT'!A44,3),'Master Data'!$A$2:$A$8,0),2)</f>
        <v>Th</v>
      </c>
      <c r="D44" s="112" t="n">
        <v>0</v>
      </c>
      <c r="E44" s="112" t="n">
        <v>0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Data'!$A$2:$B$8,MATCH(WEEKDAY('MM PLANT'!A45,3),'Master Data'!$A$2:$A$8,0),2)</f>
        <v>F</v>
      </c>
      <c r="D45" s="112" t="n">
        <v>0</v>
      </c>
      <c r="E45" s="112" t="n">
        <v>0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Data'!$A$2:$B$8,MATCH(WEEKDAY('MM PLANT'!A46,3),'Master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Data'!$A$2:$B$8,MATCH(WEEKDAY('MM PLANT'!A47,3),'Master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Data'!$A$2:$B$8,MATCH(WEEKDAY('MM PLANT'!A48,3),'Master Data'!$A$2:$A$8,0),2)</f>
        <v>M</v>
      </c>
      <c r="D48" s="112" t="n">
        <v>0</v>
      </c>
      <c r="E48" s="112" t="n">
        <v>0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Data'!$A$2:$B$8,MATCH(WEEKDAY('MM PLANT'!A49,3),'Master Data'!$A$2:$A$8,0),2)</f>
        <v>T</v>
      </c>
      <c r="D49" s="112" t="n">
        <v>0</v>
      </c>
      <c r="E49" s="112" t="n">
        <v>0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Data'!$A$2:$B$8,MATCH(WEEKDAY('MM PLANT'!A50,3),'Master Data'!$A$2:$A$8,0),2)</f>
        <v>W</v>
      </c>
      <c r="D50" s="112" t="n">
        <v>0</v>
      </c>
      <c r="E50" s="112" t="n">
        <v>0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Data'!$A$2:$B$8,MATCH(WEEKDAY('MM PLANT'!A51,3),'Master Data'!$A$2:$A$8,0),2)</f>
        <v>Th</v>
      </c>
      <c r="D51" s="112" t="n">
        <v>0</v>
      </c>
      <c r="E51" s="112" t="n">
        <v>0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Data'!$A$2:$B$8,MATCH(WEEKDAY('MM PLANT'!A52,3),'Master Data'!$A$2:$A$8,0),2)</f>
        <v>F</v>
      </c>
      <c r="D52" s="112" t="n">
        <v>0</v>
      </c>
      <c r="E52" s="112" t="n">
        <v>0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Data'!$A$2:$B$8,MATCH(WEEKDAY('MM PLANT'!A53,3),'Master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Data'!$A$2:$B$8,MATCH(WEEKDAY('MM PLANT'!A54,3),'Master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Data'!$A$2:$B$8,MATCH(WEEKDAY('MM PLANT'!A55,3),'Master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Data'!$A$2:$B$8,MATCH(WEEKDAY('MM PLANT'!A56,3),'Master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Data'!$A$2:$B$8,MATCH(WEEKDAY('MM PLANT'!A57,3),'Master Data'!$A$2:$A$8,0),2)</f>
        <v>W</v>
      </c>
      <c r="D57" s="112" t="n">
        <v>0</v>
      </c>
      <c r="E57" s="112" t="n">
        <v>0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Data'!$A$2:$B$8,MATCH(WEEKDAY('MM PLANT'!A58,3),'Master Data'!$A$2:$A$8,0),2)</f>
        <v>Th</v>
      </c>
      <c r="D58" s="112" t="n">
        <v>0</v>
      </c>
      <c r="E58" s="112" t="n">
        <v>0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Data'!$A$2:$B$8,MATCH(WEEKDAY('MM PLANT'!A59,3),'Master Data'!$A$2:$A$8,0),2)</f>
        <v>F</v>
      </c>
      <c r="D59" s="112" t="n">
        <v>0</v>
      </c>
      <c r="E59" s="112" t="n">
        <v>0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Data'!$A$2:$B$8,MATCH(WEEKDAY('MM PLANT'!A60,3),'Master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Data'!$A$2:$B$8,MATCH(WEEKDAY('MM PLANT'!A61,3),'Master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Data'!$A$2:$B$8,MATCH(WEEKDAY('MM PLANT'!A62,3),'Master Data'!$A$2:$A$8,0),2)</f>
        <v>M</v>
      </c>
      <c r="D62" s="112" t="n">
        <v>0</v>
      </c>
      <c r="E62" s="112" t="n">
        <v>0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Data'!$A$2:$B$8,MATCH(WEEKDAY('MM PLANT'!A63,3),'Master Data'!$A$2:$A$8,0),2)</f>
        <v>T</v>
      </c>
      <c r="D63" s="112" t="n">
        <v>0</v>
      </c>
      <c r="E63" s="112" t="n">
        <v>0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true" customHeight="false" outlineLevel="0" collapsed="false">
      <c r="A64" s="108" t="n">
        <f aca="false">A63+1</f>
        <v>36950</v>
      </c>
      <c r="B64" s="119" t="str">
        <f aca="false">INDEX('Master Data'!$A$2:$B$8,MATCH(WEEKDAY('MM PLANT'!A64,3),'Master Data'!$A$2:$A$8,0),2)</f>
        <v>W</v>
      </c>
      <c r="D64" s="112" t="n">
        <v>0</v>
      </c>
      <c r="E64" s="112" t="n">
        <v>0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Data'!$A$2:$B$8,MATCH(WEEKDAY('MM PLANT'!A65,3),'Master Data'!$A$2:$A$8,0),2)</f>
        <v>Th</v>
      </c>
      <c r="D65" s="112" t="n">
        <v>0</v>
      </c>
      <c r="E65" s="112" t="n">
        <v>0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Data'!$A$2:$B$8,MATCH(WEEKDAY('MM PLANT'!A66,3),'Master Data'!$A$2:$A$8,0),2)</f>
        <v>F</v>
      </c>
      <c r="D66" s="112" t="n">
        <v>0</v>
      </c>
      <c r="E66" s="112" t="n">
        <v>0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Data'!$A$2:$B$8,MATCH(WEEKDAY('MM PLANT'!A67,3),'Master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Data'!$A$2:$B$8,MATCH(WEEKDAY('MM PLANT'!A68,3),'Master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Data'!$A$2:$B$8,MATCH(WEEKDAY('MM PLANT'!A69,3),'Master Data'!$A$2:$A$8,0),2)</f>
        <v>M</v>
      </c>
      <c r="D69" s="112" t="n">
        <v>0</v>
      </c>
      <c r="E69" s="112" t="n">
        <v>0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Data'!$A$2:$B$8,MATCH(WEEKDAY('MM PLANT'!A70,3),'Master Data'!$A$2:$A$8,0),2)</f>
        <v>T</v>
      </c>
      <c r="D70" s="112" t="n">
        <v>0</v>
      </c>
      <c r="E70" s="112" t="n">
        <v>0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Data'!$A$2:$B$8,MATCH(WEEKDAY('MM PLANT'!A71,3),'Master Data'!$A$2:$A$8,0),2)</f>
        <v>W</v>
      </c>
      <c r="D71" s="112" t="n">
        <v>0</v>
      </c>
      <c r="E71" s="112" t="n">
        <v>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Data'!$A$2:$B$8,MATCH(WEEKDAY('MM PLANT'!A72,3),'Master Data'!$A$2:$A$8,0),2)</f>
        <v>Th</v>
      </c>
      <c r="D72" s="112" t="n">
        <v>0</v>
      </c>
      <c r="E72" s="112" t="n">
        <v>0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Data'!$A$2:$B$8,MATCH(WEEKDAY('MM PLANT'!A73,3),'Master Data'!$A$2:$A$8,0),2)</f>
        <v>F</v>
      </c>
      <c r="D73" s="112" t="n">
        <v>0</v>
      </c>
      <c r="E73" s="112" t="n">
        <v>0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Data'!$A$2:$B$8,MATCH(WEEKDAY('MM PLANT'!A74,3),'Master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Data'!$A$2:$B$8,MATCH(WEEKDAY('MM PLANT'!A75,3),'Master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Data'!$A$2:$B$8,MATCH(WEEKDAY('MM PLANT'!A76,3),'Master Data'!$A$2:$A$8,0),2)</f>
        <v>M</v>
      </c>
      <c r="D76" s="112" t="n">
        <v>0</v>
      </c>
      <c r="E76" s="112" t="n">
        <v>0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Data'!$A$2:$B$8,MATCH(WEEKDAY('MM PLANT'!A77,3),'Master Data'!$A$2:$A$8,0),2)</f>
        <v>T</v>
      </c>
      <c r="D77" s="112" t="n">
        <v>0</v>
      </c>
      <c r="E77" s="112" t="n">
        <v>0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Data'!$A$2:$B$8,MATCH(WEEKDAY('MM PLANT'!A78,3),'Master Data'!$A$2:$A$8,0),2)</f>
        <v>W</v>
      </c>
      <c r="D78" s="112" t="n">
        <v>0</v>
      </c>
      <c r="E78" s="112" t="n">
        <v>0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Data'!$A$2:$B$8,MATCH(WEEKDAY('MM PLANT'!A79,3),'Master Data'!$A$2:$A$8,0),2)</f>
        <v>Th</v>
      </c>
      <c r="D79" s="112" t="n">
        <v>0</v>
      </c>
      <c r="E79" s="112" t="n">
        <v>0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Data'!$A$2:$B$8,MATCH(WEEKDAY('MM PLANT'!A80,3),'Master Data'!$A$2:$A$8,0),2)</f>
        <v>F</v>
      </c>
      <c r="D80" s="112" t="n">
        <v>0</v>
      </c>
      <c r="E80" s="112" t="n">
        <v>0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Data'!$A$2:$B$8,MATCH(WEEKDAY('MM PLANT'!A81,3),'Master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Data'!$A$2:$B$8,MATCH(WEEKDAY('MM PLANT'!A82,3),'Master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Data'!$A$2:$B$8,MATCH(WEEKDAY('MM PLANT'!A83,3),'Master Data'!$A$2:$A$8,0),2)</f>
        <v>M</v>
      </c>
      <c r="D83" s="112" t="n">
        <v>0</v>
      </c>
      <c r="E83" s="112" t="n">
        <v>0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Data'!$A$2:$B$8,MATCH(WEEKDAY('MM PLANT'!A84,3),'Master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Data'!$A$2:$B$8,MATCH(WEEKDAY('MM PLANT'!A85,3),'Master Data'!$A$2:$A$8,0),2)</f>
        <v>W</v>
      </c>
      <c r="D85" s="112" t="n">
        <v>0</v>
      </c>
      <c r="E85" s="112" t="n">
        <v>0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Data'!$A$2:$B$8,MATCH(WEEKDAY('MM PLANT'!A86,3),'Master Data'!$A$2:$A$8,0),2)</f>
        <v>Th</v>
      </c>
      <c r="D86" s="112" t="n">
        <v>0</v>
      </c>
      <c r="E86" s="112" t="n">
        <v>0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Data'!$A$2:$B$8,MATCH(WEEKDAY('MM PLANT'!A87,3),'Master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Data'!$A$2:$B$8,MATCH(WEEKDAY('MM PLANT'!A88,3),'Master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Data'!$A$2:$B$8,MATCH(WEEKDAY('MM PLANT'!A89,3),'Master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Data'!$A$2:$B$8,MATCH(WEEKDAY('MM PLANT'!A90,3),'Master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Data'!$A$2:$B$8,MATCH(WEEKDAY('MM PLANT'!A91,3),'Master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Data'!$A$2:$B$8,MATCH(WEEKDAY('MM PLANT'!A92,3),'Master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Data'!$A$2:$B$8,MATCH(WEEKDAY('MM PLANT'!A93,3),'Master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true" customHeight="false" outlineLevel="0" collapsed="false">
      <c r="A94" s="108" t="n">
        <f aca="false">A93+1</f>
        <v>36980</v>
      </c>
      <c r="B94" s="119" t="str">
        <f aca="false">INDEX('Master Data'!$A$2:$B$8,MATCH(WEEKDAY('MM PLANT'!A94,3),'Master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Data'!$A$2:$B$8,MATCH(WEEKDAY('MM PLANT'!A95,3),'Master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Data'!$A$2:$B$8,MATCH(WEEKDAY('MM PLANT'!A96,3),'Master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Data'!$A$2:$B$8,MATCH(WEEKDAY('MM PLANT'!A97,3),'Master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Data'!$A$2:$B$8,MATCH(WEEKDAY('MM PLANT'!A98,3),'Master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Data'!$A$2:$B$8,MATCH(WEEKDAY('MM PLANT'!A99,3),'Master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Data'!$A$2:$B$8,MATCH(WEEKDAY('MM PLANT'!A100,3),'Master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Data'!$A$2:$B$8,MATCH(WEEKDAY('MM PLANT'!A101,3),'Master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Data'!$A$2:$B$8,MATCH(WEEKDAY('MM PLANT'!A102,3),'Master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Data'!$A$2:$B$8,MATCH(WEEKDAY('MM PLANT'!A103,3),'Master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Data'!$A$2:$B$8,MATCH(WEEKDAY('MM PLANT'!A104,3),'Master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Data'!$A$2:$B$8,MATCH(WEEKDAY('MM PLANT'!A105,3),'Master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Data'!$A$2:$B$8,MATCH(WEEKDAY('MM PLANT'!A106,3),'Master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Data'!$A$2:$B$8,MATCH(WEEKDAY('MM PLANT'!A107,3),'Master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Data'!$A$2:$B$8,MATCH(WEEKDAY('MM PLANT'!A108,3),'Master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Data'!$A$2:$B$8,MATCH(WEEKDAY('MM PLANT'!A109,3),'Master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Data'!$A$2:$B$8,MATCH(WEEKDAY('MM PLANT'!A110,3),'Master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Data'!$A$2:$B$8,MATCH(WEEKDAY('MM PLANT'!A111,3),'Master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Data'!$A$2:$B$8,MATCH(WEEKDAY('MM PLANT'!A112,3),'Master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Data'!$A$2:$B$8,MATCH(WEEKDAY('MM PLANT'!A113,3),'Master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Data'!$A$2:$B$8,MATCH(WEEKDAY('MM PLANT'!A114,3),'Master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Data'!$A$2:$B$8,MATCH(WEEKDAY('MM PLANT'!A115,3),'Master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Data'!$A$2:$B$8,MATCH(WEEKDAY('MM PLANT'!A116,3),'Master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Data'!$A$2:$B$8,MATCH(WEEKDAY('MM PLANT'!A117,3),'Master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Data'!$A$2:$B$8,MATCH(WEEKDAY('MM PLANT'!A118,3),'Master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Data'!$A$2:$B$8,MATCH(WEEKDAY('MM PLANT'!A119,3),'Master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Data'!$A$2:$B$8,MATCH(WEEKDAY('MM PLANT'!A120,3),'Master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Data'!$A$2:$B$8,MATCH(WEEKDAY('MM PLANT'!A121,3),'Master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Data'!$A$2:$B$8,MATCH(WEEKDAY('MM PLANT'!A122,3),'Master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Data'!$A$2:$B$8,MATCH(WEEKDAY('MM PLANT'!A123,3),'Master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Data'!$A$2:$B$8,MATCH(WEEKDAY('MM PLANT'!A124,3),'Master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true" customHeight="false" outlineLevel="0" collapsed="false">
      <c r="A125" s="108" t="n">
        <f aca="false">A124+1</f>
        <v>37011</v>
      </c>
      <c r="B125" s="119" t="str">
        <f aca="false">INDEX('Master Data'!$A$2:$B$8,MATCH(WEEKDAY('MM PLANT'!A125,3),'Master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Data'!$A$2:$B$8,MATCH(WEEKDAY('MM PLANT'!A126,3),'Master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Data'!$A$2:$B$8,MATCH(WEEKDAY('MM PLANT'!A127,3),'Master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Data'!$A$2:$B$8,MATCH(WEEKDAY('MM PLANT'!A128,3),'Master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Data'!$A$2:$B$8,MATCH(WEEKDAY('MM PLANT'!A129,3),'Master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Data'!$A$2:$B$8,MATCH(WEEKDAY('MM PLANT'!A130,3),'Master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Data'!$A$2:$B$8,MATCH(WEEKDAY('MM PLANT'!A131,3),'Master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Data'!$A$2:$B$8,MATCH(WEEKDAY('MM PLANT'!A132,3),'Master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Data'!$A$2:$B$8,MATCH(WEEKDAY('MM PLANT'!A133,3),'Master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Data'!$A$2:$B$8,MATCH(WEEKDAY('MM PLANT'!A134,3),'Master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Data'!$A$2:$B$8,MATCH(WEEKDAY('MM PLANT'!A135,3),'Master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Data'!$A$2:$B$8,MATCH(WEEKDAY('MM PLANT'!A136,3),'Master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Data'!$A$2:$B$8,MATCH(WEEKDAY('MM PLANT'!A137,3),'Master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Data'!$A$2:$B$8,MATCH(WEEKDAY('MM PLANT'!A138,3),'Master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Data'!$A$2:$B$8,MATCH(WEEKDAY('MM PLANT'!A139,3),'Master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Data'!$A$2:$B$8,MATCH(WEEKDAY('MM PLANT'!A140,3),'Master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Data'!$A$2:$B$8,MATCH(WEEKDAY('MM PLANT'!A141,3),'Master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Data'!$A$2:$B$8,MATCH(WEEKDAY('MM PLANT'!A142,3),'Master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Data'!$A$2:$B$8,MATCH(WEEKDAY('MM PLANT'!A143,3),'Master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Data'!$A$2:$B$8,MATCH(WEEKDAY('MM PLANT'!A144,3),'Master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Data'!$A$2:$B$8,MATCH(WEEKDAY('MM PLANT'!A145,3),'Master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Data'!$A$2:$B$8,MATCH(WEEKDAY('MM PLANT'!A146,3),'Master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Data'!$A$2:$B$8,MATCH(WEEKDAY('MM PLANT'!A147,3),'Master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Data'!$A$2:$B$8,MATCH(WEEKDAY('MM PLANT'!A148,3),'Master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0</v>
      </c>
      <c r="P148" s="112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0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Data'!$A$2:$B$8,MATCH(WEEKDAY('MM PLANT'!A149,3),'Master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0</v>
      </c>
      <c r="P149" s="112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0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Data'!$A$2:$B$8,MATCH(WEEKDAY('MM PLANT'!A150,3),'Master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0</v>
      </c>
      <c r="P150" s="112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0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Data'!$A$2:$B$8,MATCH(WEEKDAY('MM PLANT'!A151,3),'Master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0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Data'!$A$2:$B$8,MATCH(WEEKDAY('MM PLANT'!A152,3),'Master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0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Data'!$A$2:$B$8,MATCH(WEEKDAY('MM PLANT'!A153,3),'Master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0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Data'!$A$2:$B$8,MATCH(WEEKDAY('MM PLANT'!A154,3),'Master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0</v>
      </c>
      <c r="P154" s="112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0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Data'!$A$2:$B$8,MATCH(WEEKDAY('MM PLANT'!A155,3),'Master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0</v>
      </c>
      <c r="P155" s="112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0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Data'!$A$2:$B$8,MATCH(WEEKDAY('MM PLANT'!A156,3),'Master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-27366</v>
      </c>
      <c r="I156" s="112" t="n">
        <f aca="false">IF(MONTH($A156)=MONTH($A155),IF(G156=0,I155,G156),G156)</f>
        <v>-27366</v>
      </c>
      <c r="J156" s="112" t="n">
        <f aca="false">IF(MONTH($A156)=MONTH($A155),SUM(I156-I155),I156)</f>
        <v>-27366</v>
      </c>
      <c r="K156" s="112" t="n">
        <f aca="false">IF(WEEKDAY(A156,3)&gt;4,0,(IF(A156&lt;K$2,0,IF(A156&lt;=K$3,1,0))))</f>
        <v>0</v>
      </c>
      <c r="L156" s="112" t="n">
        <f aca="false">J156*K156</f>
        <v>-0</v>
      </c>
      <c r="M156" s="112" t="n">
        <f aca="false">SUM(J$97:J156)</f>
        <v>-27366</v>
      </c>
      <c r="N156" s="112" t="n">
        <f aca="false">SUM(J$6:J156)</f>
        <v>-27366</v>
      </c>
      <c r="P156" s="112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-27.366</v>
      </c>
      <c r="T156" s="114" t="n">
        <f aca="false">L156/$R$3</f>
        <v>-0</v>
      </c>
      <c r="U156" s="114" t="n">
        <f aca="false">I156/$R$3</f>
        <v>-27.366</v>
      </c>
      <c r="V156" s="114" t="n">
        <f aca="false">M156/$R$3</f>
        <v>-27.366</v>
      </c>
      <c r="W156" s="114" t="n">
        <f aca="false">N156/$R$3</f>
        <v>-27.366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Data'!$A$2:$B$8,MATCH(WEEKDAY('MM PLANT'!A157,3),'Master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f aca="false">-27366/30*1</f>
        <v>-912.2</v>
      </c>
      <c r="I157" s="112" t="n">
        <f aca="false">IF(MONTH($A157)=MONTH($A156),IF(G157=0,I156,G157),G157)</f>
        <v>-912.2</v>
      </c>
      <c r="J157" s="112" t="n">
        <f aca="false">IF(MONTH($A157)=MONTH($A156),SUM(I157-I156),I157)</f>
        <v>-912.2</v>
      </c>
      <c r="K157" s="112" t="n">
        <f aca="false">IF(WEEKDAY(A157,3)&gt;4,0,(IF(A157&lt;K$2,0,IF(A157&lt;=K$3,1,0))))</f>
        <v>0</v>
      </c>
      <c r="L157" s="112" t="n">
        <f aca="false">J157*K157</f>
        <v>-0</v>
      </c>
      <c r="M157" s="112" t="n">
        <f aca="false">SUM(J$97:J157)</f>
        <v>-28278.2</v>
      </c>
      <c r="N157" s="112" t="n">
        <f aca="false">SUM(J$6:J157)</f>
        <v>-28278.2</v>
      </c>
      <c r="P157" s="112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-0.9122</v>
      </c>
      <c r="T157" s="114" t="n">
        <f aca="false">L157/$R$3</f>
        <v>-0</v>
      </c>
      <c r="U157" s="114" t="n">
        <f aca="false">I157/$R$3</f>
        <v>-0.9122</v>
      </c>
      <c r="V157" s="114" t="n">
        <f aca="false">M157/$R$3</f>
        <v>-28.2782</v>
      </c>
      <c r="W157" s="114" t="n">
        <f aca="false">N157/$R$3</f>
        <v>-28.2782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Data'!$A$2:$B$8,MATCH(WEEKDAY('MM PLANT'!A158,3),'Master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-912.2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-28278.2</v>
      </c>
      <c r="N158" s="112" t="n">
        <f aca="false">SUM(J$6:J158)</f>
        <v>-28278.2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-0.9122</v>
      </c>
      <c r="V158" s="114" t="n">
        <f aca="false">M158/$R$3</f>
        <v>-28.2782</v>
      </c>
      <c r="W158" s="114" t="n">
        <f aca="false">N158/$R$3</f>
        <v>-28.2782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Data'!$A$2:$B$8,MATCH(WEEKDAY('MM PLANT'!A159,3),'Master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-912.2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-28278.2</v>
      </c>
      <c r="N159" s="112" t="n">
        <f aca="false">SUM(J$6:J159)</f>
        <v>-28278.2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-0.9122</v>
      </c>
      <c r="V159" s="114" t="n">
        <f aca="false">M159/$R$3</f>
        <v>-28.2782</v>
      </c>
      <c r="W159" s="114" t="n">
        <f aca="false">N159/$R$3</f>
        <v>-28.2782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Data'!$A$2:$B$8,MATCH(WEEKDAY('MM PLANT'!A160,3),'Master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f aca="false">-27366/30*4</f>
        <v>-3648.8</v>
      </c>
      <c r="I160" s="112" t="n">
        <f aca="false">IF(MONTH($A160)=MONTH($A159),IF(G160=0,I159,G160),G160)</f>
        <v>-3648.8</v>
      </c>
      <c r="J160" s="112" t="n">
        <f aca="false">IF(MONTH($A160)=MONTH($A159),SUM(I160-I159),I160)</f>
        <v>-2736.6</v>
      </c>
      <c r="K160" s="112" t="n">
        <f aca="false">IF(WEEKDAY(A160,3)&gt;4,0,(IF(A160&lt;K$2,0,IF(A160&lt;=K$3,1,0))))</f>
        <v>0</v>
      </c>
      <c r="L160" s="112" t="n">
        <f aca="false">J160*K160</f>
        <v>-0</v>
      </c>
      <c r="M160" s="112" t="n">
        <f aca="false">SUM(J$97:J160)</f>
        <v>-31014.8</v>
      </c>
      <c r="N160" s="112" t="n">
        <f aca="false">SUM(J$6:J160)</f>
        <v>-31014.8</v>
      </c>
      <c r="P160" s="112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-2.7366</v>
      </c>
      <c r="T160" s="114" t="n">
        <f aca="false">L160/$R$3</f>
        <v>-0</v>
      </c>
      <c r="U160" s="114" t="n">
        <f aca="false">I160/$R$3</f>
        <v>-3.6488</v>
      </c>
      <c r="V160" s="114" t="n">
        <f aca="false">M160/$R$3</f>
        <v>-31.0148</v>
      </c>
      <c r="W160" s="114" t="n">
        <f aca="false">N160/$R$3</f>
        <v>-31.0148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Data'!$A$2:$B$8,MATCH(WEEKDAY('MM PLANT'!A161,3),'Master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f aca="false">-27366/30*5</f>
        <v>-4561</v>
      </c>
      <c r="I161" s="112" t="n">
        <f aca="false">IF(MONTH($A161)=MONTH($A160),IF(G161=0,I160,G161),G161)</f>
        <v>-4561</v>
      </c>
      <c r="J161" s="112" t="n">
        <f aca="false">IF(MONTH($A161)=MONTH($A160),SUM(I161-I160),I161)</f>
        <v>-912.2</v>
      </c>
      <c r="K161" s="112" t="n">
        <f aca="false">IF(WEEKDAY(A161,3)&gt;4,0,(IF(A161&lt;K$2,0,IF(A161&lt;=K$3,1,0))))</f>
        <v>0</v>
      </c>
      <c r="L161" s="112" t="n">
        <f aca="false">J161*K161</f>
        <v>-0</v>
      </c>
      <c r="M161" s="112" t="n">
        <f aca="false">SUM(J$97:J161)</f>
        <v>-31927</v>
      </c>
      <c r="N161" s="112" t="n">
        <f aca="false">SUM(J$6:J161)</f>
        <v>-31927</v>
      </c>
      <c r="P161" s="112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-0.9122</v>
      </c>
      <c r="T161" s="114" t="n">
        <f aca="false">L161/$R$3</f>
        <v>-0</v>
      </c>
      <c r="U161" s="114" t="n">
        <f aca="false">I161/$R$3</f>
        <v>-4.561</v>
      </c>
      <c r="V161" s="114" t="n">
        <f aca="false">M161/$R$3</f>
        <v>-31.927</v>
      </c>
      <c r="W161" s="114" t="n">
        <f aca="false">N161/$R$3</f>
        <v>-31.927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Data'!$A$2:$B$8,MATCH(WEEKDAY('MM PLANT'!A162,3),'Master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f aca="false">-27366/30*6</f>
        <v>-5473.2</v>
      </c>
      <c r="I162" s="112" t="n">
        <f aca="false">IF(MONTH($A162)=MONTH($A161),IF(G162=0,I161,G162),G162)</f>
        <v>-5473.2</v>
      </c>
      <c r="J162" s="112" t="n">
        <f aca="false">IF(MONTH($A162)=MONTH($A161),SUM(I162-I161),I162)</f>
        <v>-912.200000000001</v>
      </c>
      <c r="K162" s="112" t="n">
        <f aca="false">IF(WEEKDAY(A162,3)&gt;4,0,(IF(A162&lt;K$2,0,IF(A162&lt;=K$3,1,0))))</f>
        <v>0</v>
      </c>
      <c r="L162" s="112" t="n">
        <f aca="false">J162*K162</f>
        <v>-0</v>
      </c>
      <c r="M162" s="112" t="n">
        <f aca="false">SUM(J$97:J162)</f>
        <v>-32839.2</v>
      </c>
      <c r="N162" s="112" t="n">
        <f aca="false">SUM(J$6:J162)</f>
        <v>-32839.2</v>
      </c>
      <c r="P162" s="112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-0.912200000000001</v>
      </c>
      <c r="T162" s="114" t="n">
        <f aca="false">L162/$R$3</f>
        <v>-0</v>
      </c>
      <c r="U162" s="114" t="n">
        <f aca="false">I162/$R$3</f>
        <v>-5.4732</v>
      </c>
      <c r="V162" s="114" t="n">
        <f aca="false">M162/$R$3</f>
        <v>-32.8392</v>
      </c>
      <c r="W162" s="114" t="n">
        <f aca="false">N162/$R$3</f>
        <v>-32.8392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Data'!$A$2:$B$8,MATCH(WEEKDAY('MM PLANT'!A163,3),'Master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f aca="false">-27366/30*7</f>
        <v>-6385.4</v>
      </c>
      <c r="I163" s="112" t="n">
        <f aca="false">IF(MONTH($A163)=MONTH($A162),IF(G163=0,I162,G163),G163)</f>
        <v>-6385.4</v>
      </c>
      <c r="J163" s="112" t="n">
        <f aca="false">IF(MONTH($A163)=MONTH($A162),SUM(I163-I162),I163)</f>
        <v>-912.2</v>
      </c>
      <c r="K163" s="112" t="n">
        <f aca="false">IF(WEEKDAY(A163,3)&gt;4,0,(IF(A163&lt;K$2,0,IF(A163&lt;=K$3,1,0))))</f>
        <v>0</v>
      </c>
      <c r="L163" s="112" t="n">
        <f aca="false">J163*K163</f>
        <v>-0</v>
      </c>
      <c r="M163" s="112" t="n">
        <f aca="false">SUM(J$97:J163)</f>
        <v>-33751.4</v>
      </c>
      <c r="N163" s="112" t="n">
        <f aca="false">SUM(J$6:J163)</f>
        <v>-33751.4</v>
      </c>
      <c r="P163" s="112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-0.9122</v>
      </c>
      <c r="T163" s="114" t="n">
        <f aca="false">L163/$R$3</f>
        <v>-0</v>
      </c>
      <c r="U163" s="114" t="n">
        <f aca="false">I163/$R$3</f>
        <v>-6.3854</v>
      </c>
      <c r="V163" s="114" t="n">
        <f aca="false">M163/$R$3</f>
        <v>-33.7514</v>
      </c>
      <c r="W163" s="114" t="n">
        <f aca="false">N163/$R$3</f>
        <v>-33.7514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Data'!$A$2:$B$8,MATCH(WEEKDAY('MM PLANT'!A164,3),'Master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f aca="false">-27366/30*8</f>
        <v>-7297.6</v>
      </c>
      <c r="I164" s="112" t="n">
        <f aca="false">IF(MONTH($A164)=MONTH($A163),IF(G164=0,I163,G164),G164)</f>
        <v>-7297.6</v>
      </c>
      <c r="J164" s="112" t="n">
        <f aca="false">IF(MONTH($A164)=MONTH($A163),SUM(I164-I163),I164)</f>
        <v>-912.2</v>
      </c>
      <c r="K164" s="112" t="n">
        <f aca="false">IF(WEEKDAY(A164,3)&gt;4,0,(IF(A164&lt;K$2,0,IF(A164&lt;=K$3,1,0))))</f>
        <v>0</v>
      </c>
      <c r="L164" s="112" t="n">
        <f aca="false">J164*K164</f>
        <v>-0</v>
      </c>
      <c r="M164" s="112" t="n">
        <f aca="false">SUM(J$97:J164)</f>
        <v>-34663.6</v>
      </c>
      <c r="N164" s="112" t="n">
        <f aca="false">SUM(J$6:J164)</f>
        <v>-34663.6</v>
      </c>
      <c r="P164" s="112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-0.9122</v>
      </c>
      <c r="T164" s="114" t="n">
        <f aca="false">L164/$R$3</f>
        <v>-0</v>
      </c>
      <c r="U164" s="114" t="n">
        <f aca="false">I164/$R$3</f>
        <v>-7.2976</v>
      </c>
      <c r="V164" s="114" t="n">
        <f aca="false">M164/$R$3</f>
        <v>-34.6636</v>
      </c>
      <c r="W164" s="114" t="n">
        <f aca="false">N164/$R$3</f>
        <v>-34.6636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Data'!$A$2:$B$8,MATCH(WEEKDAY('MM PLANT'!A165,3),'Master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-7297.6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-34663.6</v>
      </c>
      <c r="N165" s="112" t="n">
        <f aca="false">SUM(J$6:J165)</f>
        <v>-34663.6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-7.2976</v>
      </c>
      <c r="V165" s="114" t="n">
        <f aca="false">M165/$R$3</f>
        <v>-34.6636</v>
      </c>
      <c r="W165" s="114" t="n">
        <f aca="false">N165/$R$3</f>
        <v>-34.6636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Data'!$A$2:$B$8,MATCH(WEEKDAY('MM PLANT'!A166,3),'Master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-7297.6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-34663.6</v>
      </c>
      <c r="N166" s="112" t="n">
        <f aca="false">SUM(J$6:J166)</f>
        <v>-34663.6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-7.2976</v>
      </c>
      <c r="V166" s="114" t="n">
        <f aca="false">M166/$R$3</f>
        <v>-34.6636</v>
      </c>
      <c r="W166" s="114" t="n">
        <f aca="false">N166/$R$3</f>
        <v>-34.6636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Data'!$A$2:$B$8,MATCH(WEEKDAY('MM PLANT'!A167,3),'Master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f aca="false">-27366/30*11</f>
        <v>-10034.2</v>
      </c>
      <c r="I167" s="112" t="n">
        <f aca="false">IF(MONTH($A167)=MONTH($A166),IF(G167=0,I166,G167),G167)</f>
        <v>-10034.2</v>
      </c>
      <c r="J167" s="112" t="n">
        <f aca="false">IF(MONTH($A167)=MONTH($A166),SUM(I167-I166),I167)</f>
        <v>-2736.6</v>
      </c>
      <c r="K167" s="112" t="n">
        <f aca="false">IF(WEEKDAY(A167,3)&gt;4,0,(IF(A167&lt;K$2,0,IF(A167&lt;=K$3,1,0))))</f>
        <v>0</v>
      </c>
      <c r="L167" s="112" t="n">
        <f aca="false">J167*K167</f>
        <v>-0</v>
      </c>
      <c r="M167" s="112" t="n">
        <f aca="false">SUM(J$97:J167)</f>
        <v>-37400.2</v>
      </c>
      <c r="N167" s="112" t="n">
        <f aca="false">SUM(J$6:J167)</f>
        <v>-37400.2</v>
      </c>
      <c r="P167" s="112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-2.7366</v>
      </c>
      <c r="T167" s="114" t="n">
        <f aca="false">L167/$R$3</f>
        <v>-0</v>
      </c>
      <c r="U167" s="114" t="n">
        <f aca="false">I167/$R$3</f>
        <v>-10.0342</v>
      </c>
      <c r="V167" s="114" t="n">
        <f aca="false">M167/$R$3</f>
        <v>-37.4002</v>
      </c>
      <c r="W167" s="114" t="n">
        <f aca="false">N167/$R$3</f>
        <v>-37.4002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Data'!$A$2:$B$8,MATCH(WEEKDAY('MM PLANT'!A168,3),'Master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-10946</v>
      </c>
      <c r="I168" s="112" t="n">
        <f aca="false">IF(MONTH($A168)=MONTH($A167),IF(G168=0,I167,G168),G168)</f>
        <v>-10946</v>
      </c>
      <c r="J168" s="112" t="n">
        <f aca="false">IF(MONTH($A168)=MONTH($A167),SUM(I168-I167),I168)</f>
        <v>-911.799999999999</v>
      </c>
      <c r="K168" s="112" t="n">
        <f aca="false">IF(WEEKDAY(A168,3)&gt;4,0,(IF(A168&lt;K$2,0,IF(A168&lt;=K$3,1,0))))</f>
        <v>0</v>
      </c>
      <c r="L168" s="112" t="n">
        <f aca="false">J168*K168</f>
        <v>-0</v>
      </c>
      <c r="M168" s="112" t="n">
        <f aca="false">SUM(J$97:J168)</f>
        <v>-38312</v>
      </c>
      <c r="N168" s="112" t="n">
        <f aca="false">SUM(J$6:J168)</f>
        <v>-38312</v>
      </c>
      <c r="P168" s="112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-0.911799999999999</v>
      </c>
      <c r="T168" s="114" t="n">
        <f aca="false">L168/$R$3</f>
        <v>-0</v>
      </c>
      <c r="U168" s="114" t="n">
        <f aca="false">I168/$R$3</f>
        <v>-10.946</v>
      </c>
      <c r="V168" s="114" t="n">
        <f aca="false">M168/$R$3</f>
        <v>-38.312</v>
      </c>
      <c r="W168" s="114" t="n">
        <f aca="false">N168/$R$3</f>
        <v>-38.312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Data'!$A$2:$B$8,MATCH(WEEKDAY('MM PLANT'!A169,3),'Master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-11859</v>
      </c>
      <c r="I169" s="112" t="n">
        <f aca="false">IF(MONTH($A169)=MONTH($A168),IF(G169=0,I168,G169),G169)</f>
        <v>-11859</v>
      </c>
      <c r="J169" s="112" t="n">
        <f aca="false">IF(MONTH($A169)=MONTH($A168),SUM(I169-I168),I169)</f>
        <v>-913</v>
      </c>
      <c r="K169" s="112" t="n">
        <f aca="false">IF(WEEKDAY(A169,3)&gt;4,0,(IF(A169&lt;K$2,0,IF(A169&lt;=K$3,1,0))))</f>
        <v>0</v>
      </c>
      <c r="L169" s="112" t="n">
        <f aca="false">J169*K169</f>
        <v>-0</v>
      </c>
      <c r="M169" s="112" t="n">
        <f aca="false">SUM(J$97:J169)</f>
        <v>-39225</v>
      </c>
      <c r="N169" s="112" t="n">
        <f aca="false">SUM(J$6:J169)</f>
        <v>-39225</v>
      </c>
      <c r="P169" s="112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-0.913</v>
      </c>
      <c r="T169" s="114" t="n">
        <f aca="false">L169/$R$3</f>
        <v>-0</v>
      </c>
      <c r="U169" s="114" t="n">
        <f aca="false">I169/$R$3</f>
        <v>-11.859</v>
      </c>
      <c r="V169" s="114" t="n">
        <f aca="false">M169/$R$3</f>
        <v>-39.225</v>
      </c>
      <c r="W169" s="114" t="n">
        <f aca="false">N169/$R$3</f>
        <v>-39.225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Data'!$A$2:$B$8,MATCH(WEEKDAY('MM PLANT'!A170,3),'Master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-12771</v>
      </c>
      <c r="I170" s="112" t="n">
        <f aca="false">IF(MONTH($A170)=MONTH($A169),IF(G170=0,I169,G170),G170)</f>
        <v>-12771</v>
      </c>
      <c r="J170" s="112" t="n">
        <f aca="false">IF(MONTH($A170)=MONTH($A169),SUM(I170-I169),I170)</f>
        <v>-912</v>
      </c>
      <c r="K170" s="112" t="n">
        <f aca="false">IF(WEEKDAY(A170,3)&gt;4,0,(IF(A170&lt;K$2,0,IF(A170&lt;=K$3,1,0))))</f>
        <v>0</v>
      </c>
      <c r="L170" s="112" t="n">
        <f aca="false">J170*K170</f>
        <v>-0</v>
      </c>
      <c r="M170" s="112" t="n">
        <f aca="false">SUM(J$97:J170)</f>
        <v>-40137</v>
      </c>
      <c r="N170" s="112" t="n">
        <f aca="false">SUM(J$6:J170)</f>
        <v>-40137</v>
      </c>
      <c r="P170" s="112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-0.912</v>
      </c>
      <c r="T170" s="114" t="n">
        <f aca="false">L170/$R$3</f>
        <v>-0</v>
      </c>
      <c r="U170" s="114" t="n">
        <f aca="false">I170/$R$3</f>
        <v>-12.771</v>
      </c>
      <c r="V170" s="114" t="n">
        <f aca="false">M170/$R$3</f>
        <v>-40.137</v>
      </c>
      <c r="W170" s="114" t="n">
        <f aca="false">N170/$R$3</f>
        <v>-40.137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Data'!$A$2:$B$8,MATCH(WEEKDAY('MM PLANT'!A171,3),'Master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-13683</v>
      </c>
      <c r="I171" s="112" t="n">
        <f aca="false">IF(MONTH($A171)=MONTH($A170),IF(G171=0,I170,G171),G171)</f>
        <v>-13683</v>
      </c>
      <c r="J171" s="112" t="n">
        <f aca="false">IF(MONTH($A171)=MONTH($A170),SUM(I171-I170),I171)</f>
        <v>-912</v>
      </c>
      <c r="K171" s="112" t="n">
        <f aca="false">IF(WEEKDAY(A171,3)&gt;4,0,(IF(A171&lt;K$2,0,IF(A171&lt;=K$3,1,0))))</f>
        <v>0</v>
      </c>
      <c r="L171" s="112" t="n">
        <f aca="false">J171*K171</f>
        <v>-0</v>
      </c>
      <c r="M171" s="112" t="n">
        <f aca="false">SUM(J$97:J171)</f>
        <v>-41049</v>
      </c>
      <c r="N171" s="112" t="n">
        <f aca="false">SUM(J$6:J171)</f>
        <v>-41049</v>
      </c>
      <c r="P171" s="112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-0.912</v>
      </c>
      <c r="T171" s="114" t="n">
        <f aca="false">L171/$R$3</f>
        <v>-0</v>
      </c>
      <c r="U171" s="114" t="n">
        <f aca="false">I171/$R$3</f>
        <v>-13.683</v>
      </c>
      <c r="V171" s="114" t="n">
        <f aca="false">M171/$R$3</f>
        <v>-41.049</v>
      </c>
      <c r="W171" s="114" t="n">
        <f aca="false">N171/$R$3</f>
        <v>-41.049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Data'!$A$2:$B$8,MATCH(WEEKDAY('MM PLANT'!A172,3),'Master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-13683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-41049</v>
      </c>
      <c r="N172" s="112" t="n">
        <f aca="false">SUM(J$6:J172)</f>
        <v>-41049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-13.683</v>
      </c>
      <c r="V172" s="114" t="n">
        <f aca="false">M172/$R$3</f>
        <v>-41.049</v>
      </c>
      <c r="W172" s="114" t="n">
        <f aca="false">N172/$R$3</f>
        <v>-41.049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Data'!$A$2:$B$8,MATCH(WEEKDAY('MM PLANT'!A173,3),'Master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-13683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-41049</v>
      </c>
      <c r="N173" s="112" t="n">
        <f aca="false">SUM(J$6:J173)</f>
        <v>-41049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-13.683</v>
      </c>
      <c r="V173" s="114" t="n">
        <f aca="false">M173/$R$3</f>
        <v>-41.049</v>
      </c>
      <c r="W173" s="114" t="n">
        <f aca="false">N173/$R$3</f>
        <v>-41.049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Data'!$A$2:$B$8,MATCH(WEEKDAY('MM PLANT'!A174,3),'Master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-16420</v>
      </c>
      <c r="I174" s="112" t="n">
        <f aca="false">IF(MONTH($A174)=MONTH($A173),IF(G174=0,I173,G174),G174)</f>
        <v>-16420</v>
      </c>
      <c r="J174" s="112" t="n">
        <f aca="false">IF(MONTH($A174)=MONTH($A173),SUM(I174-I173),I174)</f>
        <v>-2737</v>
      </c>
      <c r="K174" s="112" t="n">
        <f aca="false">IF(WEEKDAY(A174,3)&gt;4,0,(IF(A174&lt;K$2,0,IF(A174&lt;=K$3,1,0))))</f>
        <v>0</v>
      </c>
      <c r="L174" s="112" t="n">
        <f aca="false">J174*K174</f>
        <v>-0</v>
      </c>
      <c r="M174" s="112" t="n">
        <f aca="false">SUM(J$97:J174)</f>
        <v>-43786</v>
      </c>
      <c r="N174" s="112" t="n">
        <f aca="false">SUM(J$6:J174)</f>
        <v>-43786</v>
      </c>
      <c r="P174" s="112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-2.737</v>
      </c>
      <c r="T174" s="114" t="n">
        <f aca="false">L174/$R$3</f>
        <v>-0</v>
      </c>
      <c r="U174" s="114" t="n">
        <f aca="false">I174/$R$3</f>
        <v>-16.42</v>
      </c>
      <c r="V174" s="114" t="n">
        <f aca="false">M174/$R$3</f>
        <v>-43.786</v>
      </c>
      <c r="W174" s="114" t="n">
        <f aca="false">N174/$R$3</f>
        <v>-43.786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Data'!$A$2:$B$8,MATCH(WEEKDAY('MM PLANT'!A175,3),'Master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-17332</v>
      </c>
      <c r="I175" s="112" t="n">
        <f aca="false">IF(MONTH($A175)=MONTH($A174),IF(G175=0,I174,G175),G175)</f>
        <v>-17332</v>
      </c>
      <c r="J175" s="112" t="n">
        <f aca="false">IF(MONTH($A175)=MONTH($A174),SUM(I175-I174),I175)</f>
        <v>-912</v>
      </c>
      <c r="K175" s="112" t="n">
        <f aca="false">IF(WEEKDAY(A175,3)&gt;4,0,(IF(A175&lt;K$2,0,IF(A175&lt;=K$3,1,0))))</f>
        <v>0</v>
      </c>
      <c r="L175" s="112" t="n">
        <f aca="false">J175*K175</f>
        <v>-0</v>
      </c>
      <c r="M175" s="112" t="n">
        <f aca="false">SUM(J$97:J175)</f>
        <v>-44698</v>
      </c>
      <c r="N175" s="112" t="n">
        <f aca="false">SUM(J$6:J175)</f>
        <v>-44698</v>
      </c>
      <c r="P175" s="112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-0.912</v>
      </c>
      <c r="T175" s="114" t="n">
        <f aca="false">L175/$R$3</f>
        <v>-0</v>
      </c>
      <c r="U175" s="114" t="n">
        <f aca="false">I175/$R$3</f>
        <v>-17.332</v>
      </c>
      <c r="V175" s="114" t="n">
        <f aca="false">M175/$R$3</f>
        <v>-44.698</v>
      </c>
      <c r="W175" s="114" t="n">
        <f aca="false">N175/$R$3</f>
        <v>-44.698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Data'!$A$2:$B$8,MATCH(WEEKDAY('MM PLANT'!A176,3),'Master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-18244</v>
      </c>
      <c r="I176" s="112" t="n">
        <f aca="false">IF(MONTH($A176)=MONTH($A175),IF(G176=0,I175,G176),G176)</f>
        <v>-18244</v>
      </c>
      <c r="J176" s="112" t="n">
        <f aca="false">IF(MONTH($A176)=MONTH($A175),SUM(I176-I175),I176)</f>
        <v>-912</v>
      </c>
      <c r="K176" s="112" t="n">
        <f aca="false">IF(WEEKDAY(A176,3)&gt;4,0,(IF(A176&lt;K$2,0,IF(A176&lt;=K$3,1,0))))</f>
        <v>0</v>
      </c>
      <c r="L176" s="112" t="n">
        <f aca="false">J176*K176</f>
        <v>-0</v>
      </c>
      <c r="M176" s="112" t="n">
        <f aca="false">SUM(J$97:J176)</f>
        <v>-45610</v>
      </c>
      <c r="N176" s="112" t="n">
        <f aca="false">SUM(J$6:J176)</f>
        <v>-45610</v>
      </c>
      <c r="P176" s="112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-0.912</v>
      </c>
      <c r="T176" s="114" t="n">
        <f aca="false">L176/$R$3</f>
        <v>-0</v>
      </c>
      <c r="U176" s="114" t="n">
        <f aca="false">I176/$R$3</f>
        <v>-18.244</v>
      </c>
      <c r="V176" s="114" t="n">
        <f aca="false">M176/$R$3</f>
        <v>-45.61</v>
      </c>
      <c r="W176" s="114" t="n">
        <f aca="false">N176/$R$3</f>
        <v>-45.61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Data'!$A$2:$B$8,MATCH(WEEKDAY('MM PLANT'!A177,3),'Master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-19156</v>
      </c>
      <c r="I177" s="112" t="n">
        <f aca="false">IF(MONTH($A177)=MONTH($A176),IF(G177=0,I176,G177),G177)</f>
        <v>-19156</v>
      </c>
      <c r="J177" s="112" t="n">
        <f aca="false">IF(MONTH($A177)=MONTH($A176),SUM(I177-I176),I177)</f>
        <v>-912</v>
      </c>
      <c r="K177" s="112" t="n">
        <f aca="false">IF(WEEKDAY(A177,3)&gt;4,0,(IF(A177&lt;K$2,0,IF(A177&lt;=K$3,1,0))))</f>
        <v>0</v>
      </c>
      <c r="L177" s="112" t="n">
        <f aca="false">J177*K177</f>
        <v>-0</v>
      </c>
      <c r="M177" s="112" t="n">
        <f aca="false">SUM(J$97:J177)</f>
        <v>-46522</v>
      </c>
      <c r="N177" s="112" t="n">
        <f aca="false">SUM(J$6:J177)</f>
        <v>-46522</v>
      </c>
      <c r="P177" s="112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-0.912</v>
      </c>
      <c r="T177" s="114" t="n">
        <f aca="false">L177/$R$3</f>
        <v>-0</v>
      </c>
      <c r="U177" s="114" t="n">
        <f aca="false">I177/$R$3</f>
        <v>-19.156</v>
      </c>
      <c r="V177" s="114" t="n">
        <f aca="false">M177/$R$3</f>
        <v>-46.522</v>
      </c>
      <c r="W177" s="114" t="n">
        <f aca="false">N177/$R$3</f>
        <v>-46.522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Data'!$A$2:$B$8,MATCH(WEEKDAY('MM PLANT'!A178,3),'Master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-20068</v>
      </c>
      <c r="I178" s="112" t="n">
        <f aca="false">IF(MONTH($A178)=MONTH($A177),IF(G178=0,I177,G178),G178)</f>
        <v>-20068</v>
      </c>
      <c r="J178" s="112" t="n">
        <f aca="false">IF(MONTH($A178)=MONTH($A177),SUM(I178-I177),I178)</f>
        <v>-912</v>
      </c>
      <c r="K178" s="112" t="n">
        <f aca="false">IF(WEEKDAY(A178,3)&gt;4,0,(IF(A178&lt;K$2,0,IF(A178&lt;=K$3,1,0))))</f>
        <v>0</v>
      </c>
      <c r="L178" s="112" t="n">
        <f aca="false">J178*K178</f>
        <v>-0</v>
      </c>
      <c r="M178" s="112" t="n">
        <f aca="false">SUM(J$97:J178)</f>
        <v>-47434</v>
      </c>
      <c r="N178" s="112" t="n">
        <f aca="false">SUM(J$6:J178)</f>
        <v>-47434</v>
      </c>
      <c r="P178" s="112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-0.912</v>
      </c>
      <c r="T178" s="114" t="n">
        <f aca="false">L178/$R$3</f>
        <v>-0</v>
      </c>
      <c r="U178" s="114" t="n">
        <f aca="false">I178/$R$3</f>
        <v>-20.068</v>
      </c>
      <c r="V178" s="114" t="n">
        <f aca="false">M178/$R$3</f>
        <v>-47.434</v>
      </c>
      <c r="W178" s="114" t="n">
        <f aca="false">N178/$R$3</f>
        <v>-47.434</v>
      </c>
    </row>
    <row r="179" customFormat="false" ht="12.75" hidden="true" customHeight="false" outlineLevel="0" collapsed="false">
      <c r="A179" s="108" t="n">
        <f aca="false">A178+1</f>
        <v>37065</v>
      </c>
      <c r="B179" s="119" t="str">
        <f aca="false">INDEX('Master Data'!$A$2:$B$8,MATCH(WEEKDAY('MM PLANT'!A179,3),'Master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-20068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-47434</v>
      </c>
      <c r="N179" s="112" t="n">
        <f aca="false">SUM(J$6:J179)</f>
        <v>-47434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-20.068</v>
      </c>
      <c r="V179" s="114" t="n">
        <f aca="false">M179/$R$3</f>
        <v>-47.434</v>
      </c>
      <c r="W179" s="114" t="n">
        <f aca="false">N179/$R$3</f>
        <v>-47.434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Data'!$A$2:$B$8,MATCH(WEEKDAY('MM PLANT'!A180,3),'Master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-20068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-47434</v>
      </c>
      <c r="N180" s="112" t="n">
        <f aca="false">SUM(J$6:J180)</f>
        <v>-47434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-20.068</v>
      </c>
      <c r="V180" s="114" t="n">
        <f aca="false">M180/$R$3</f>
        <v>-47.434</v>
      </c>
      <c r="W180" s="114" t="n">
        <f aca="false">N180/$R$3</f>
        <v>-47.434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Data'!$A$2:$B$8,MATCH(WEEKDAY('MM PLANT'!A181,3),'Master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-22805</v>
      </c>
      <c r="I181" s="112" t="n">
        <f aca="false">IF(MONTH($A181)=MONTH($A180),IF(G181=0,I180,G181),G181)</f>
        <v>-22805</v>
      </c>
      <c r="J181" s="112" t="n">
        <f aca="false">IF(MONTH($A181)=MONTH($A180),SUM(I181-I180),I181)</f>
        <v>-2737</v>
      </c>
      <c r="K181" s="112" t="n">
        <f aca="false">IF(WEEKDAY(A181,3)&gt;4,0,(IF(A181&lt;K$2,0,IF(A181&lt;=K$3,1,0))))</f>
        <v>0</v>
      </c>
      <c r="L181" s="112" t="n">
        <f aca="false">J181*K181</f>
        <v>-0</v>
      </c>
      <c r="M181" s="112" t="n">
        <f aca="false">SUM(J$97:J181)</f>
        <v>-50171</v>
      </c>
      <c r="N181" s="112" t="n">
        <f aca="false">SUM(J$6:J181)</f>
        <v>-50171</v>
      </c>
      <c r="P181" s="112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-2.737</v>
      </c>
      <c r="T181" s="114" t="n">
        <f aca="false">L181/$R$3</f>
        <v>-0</v>
      </c>
      <c r="U181" s="114" t="n">
        <f aca="false">I181/$R$3</f>
        <v>-22.805</v>
      </c>
      <c r="V181" s="114" t="n">
        <f aca="false">M181/$R$3</f>
        <v>-50.171</v>
      </c>
      <c r="W181" s="114" t="n">
        <f aca="false">N181/$R$3</f>
        <v>-50.171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Data'!$A$2:$B$8,MATCH(WEEKDAY('MM PLANT'!A182,3),'Master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-23717</v>
      </c>
      <c r="I182" s="112" t="n">
        <f aca="false">IF(MONTH($A182)=MONTH($A181),IF(G182=0,I181,G182),G182)</f>
        <v>-23717</v>
      </c>
      <c r="J182" s="112" t="n">
        <f aca="false">IF(MONTH($A182)=MONTH($A181),SUM(I182-I181),I182)</f>
        <v>-912</v>
      </c>
      <c r="K182" s="112" t="n">
        <f aca="false">IF(WEEKDAY(A182,3)&gt;4,0,(IF(A182&lt;K$2,0,IF(A182&lt;=K$3,1,0))))</f>
        <v>0</v>
      </c>
      <c r="L182" s="112" t="n">
        <f aca="false">J182*K182</f>
        <v>-0</v>
      </c>
      <c r="M182" s="112" t="n">
        <f aca="false">SUM(J$97:J182)</f>
        <v>-51083</v>
      </c>
      <c r="N182" s="112" t="n">
        <f aca="false">SUM(J$6:J182)</f>
        <v>-51083</v>
      </c>
      <c r="P182" s="112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-0.912</v>
      </c>
      <c r="T182" s="114" t="n">
        <f aca="false">L182/$R$3</f>
        <v>-0</v>
      </c>
      <c r="U182" s="114" t="n">
        <f aca="false">I182/$R$3</f>
        <v>-23.717</v>
      </c>
      <c r="V182" s="114" t="n">
        <f aca="false">M182/$R$3</f>
        <v>-51.083</v>
      </c>
      <c r="W182" s="114" t="n">
        <f aca="false">N182/$R$3</f>
        <v>-51.083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Data'!$A$2:$B$8,MATCH(WEEKDAY('MM PLANT'!A183,3),'Master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-24629</v>
      </c>
      <c r="I183" s="112" t="n">
        <f aca="false">IF(MONTH($A183)=MONTH($A182),IF(G183=0,I182,G183),G183)</f>
        <v>-24629</v>
      </c>
      <c r="J183" s="112" t="n">
        <f aca="false">IF(MONTH($A183)=MONTH($A182),SUM(I183-I182),I183)</f>
        <v>-912</v>
      </c>
      <c r="K183" s="112" t="n">
        <f aca="false">IF(WEEKDAY(A183,3)&gt;4,0,(IF(A183&lt;K$2,0,IF(A183&lt;=K$3,1,0))))</f>
        <v>0</v>
      </c>
      <c r="L183" s="112" t="n">
        <f aca="false">J183*K183</f>
        <v>-0</v>
      </c>
      <c r="M183" s="112" t="n">
        <f aca="false">SUM(J$97:J183)</f>
        <v>-51995</v>
      </c>
      <c r="N183" s="112" t="n">
        <f aca="false">SUM(J$6:J183)</f>
        <v>-51995</v>
      </c>
      <c r="P183" s="112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-0.912</v>
      </c>
      <c r="T183" s="114" t="n">
        <f aca="false">L183/$R$3</f>
        <v>-0</v>
      </c>
      <c r="U183" s="114" t="n">
        <f aca="false">I183/$R$3</f>
        <v>-24.629</v>
      </c>
      <c r="V183" s="114" t="n">
        <f aca="false">M183/$R$3</f>
        <v>-51.995</v>
      </c>
      <c r="W183" s="114" t="n">
        <f aca="false">N183/$R$3</f>
        <v>-51.995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Data'!$A$2:$B$8,MATCH(WEEKDAY('MM PLANT'!A184,3),'Master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-25542</v>
      </c>
      <c r="I184" s="112" t="n">
        <f aca="false">IF(MONTH($A184)=MONTH($A183),IF(G184=0,I183,G184),G184)</f>
        <v>-25542</v>
      </c>
      <c r="J184" s="112" t="n">
        <f aca="false">IF(MONTH($A184)=MONTH($A183),SUM(I184-I183),I184)</f>
        <v>-913</v>
      </c>
      <c r="K184" s="112" t="n">
        <f aca="false">IF(WEEKDAY(A184,3)&gt;4,0,(IF(A184&lt;K$2,0,IF(A184&lt;=K$3,1,0))))</f>
        <v>0</v>
      </c>
      <c r="L184" s="112" t="n">
        <f aca="false">J184*K184</f>
        <v>-0</v>
      </c>
      <c r="M184" s="112" t="n">
        <f aca="false">SUM(J$97:J184)</f>
        <v>-52908</v>
      </c>
      <c r="N184" s="112" t="n">
        <f aca="false">SUM(J$6:J184)</f>
        <v>-52908</v>
      </c>
      <c r="P184" s="112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-0.913</v>
      </c>
      <c r="T184" s="114" t="n">
        <f aca="false">L184/$R$3</f>
        <v>-0</v>
      </c>
      <c r="U184" s="114" t="n">
        <f aca="false">I184/$R$3</f>
        <v>-25.542</v>
      </c>
      <c r="V184" s="114" t="n">
        <f aca="false">M184/$R$3</f>
        <v>-52.908</v>
      </c>
      <c r="W184" s="114" t="n">
        <f aca="false">N184/$R$3</f>
        <v>-52.908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Data'!$A$2:$B$8,MATCH(WEEKDAY('MM PLANT'!A185,3),'Master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f aca="false">84808+27366</f>
        <v>112174</v>
      </c>
      <c r="I185" s="112" t="n">
        <f aca="false">IF(MONTH($A185)=MONTH($A184),IF(G185=0,I184,G185),G185)</f>
        <v>112174</v>
      </c>
      <c r="J185" s="112" t="n">
        <f aca="false">IF(MONTH($A185)=MONTH($A184),SUM(I185-I184),I185)</f>
        <v>137716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84808</v>
      </c>
      <c r="N185" s="112" t="n">
        <f aca="false">SUM(J$6:J185)</f>
        <v>84808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137.716</v>
      </c>
      <c r="T185" s="114" t="n">
        <f aca="false">L185/$R$3</f>
        <v>0</v>
      </c>
      <c r="U185" s="114" t="n">
        <f aca="false">I185/$R$3</f>
        <v>112.174</v>
      </c>
      <c r="V185" s="114" t="n">
        <f aca="false">M185/$R$3</f>
        <v>84.808</v>
      </c>
      <c r="W185" s="114" t="n">
        <f aca="false">N185/$R$3</f>
        <v>84.808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Data'!$A$2:$B$8,MATCH(WEEKDAY('MM PLANT'!A186,3),'Master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112174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84808</v>
      </c>
      <c r="N186" s="112" t="n">
        <f aca="false">SUM(J$6:J186)</f>
        <v>84808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112.174</v>
      </c>
      <c r="V186" s="114" t="n">
        <f aca="false">M186/$R$3</f>
        <v>84.808</v>
      </c>
      <c r="W186" s="114" t="n">
        <f aca="false">N186/$R$3</f>
        <v>84.808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Data'!$A$2:$B$8,MATCH(WEEKDAY('MM PLANT'!A187,3),'Master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84808</v>
      </c>
      <c r="N187" s="112" t="n">
        <f aca="false">SUM(J$6:J187)</f>
        <v>84808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84.808</v>
      </c>
      <c r="W187" s="114" t="n">
        <f aca="false">N187/$R$3</f>
        <v>84.808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Data'!$A$2:$B$8,MATCH(WEEKDAY('MM PLANT'!A188,3),'Master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f aca="false">218325/31*2</f>
        <v>14085.4838709677</v>
      </c>
      <c r="I188" s="112" t="n">
        <f aca="false">IF(MONTH($A188)=MONTH($A187),IF(G188=0,I187,G188),G188)</f>
        <v>14085.4838709677</v>
      </c>
      <c r="J188" s="112" t="n">
        <f aca="false">IF(MONTH($A188)=MONTH($A187),SUM(I188-I187),I188)</f>
        <v>14085.4838709677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14085.4838709677</v>
      </c>
      <c r="N188" s="112" t="n">
        <f aca="false">SUM(J$6:J188)</f>
        <v>98893.4838709677</v>
      </c>
      <c r="P188" s="112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14.0854838709677</v>
      </c>
      <c r="T188" s="114" t="n">
        <f aca="false">L188/$R$3</f>
        <v>0</v>
      </c>
      <c r="U188" s="114" t="n">
        <f aca="false">I188/$R$3</f>
        <v>14.0854838709677</v>
      </c>
      <c r="V188" s="114" t="n">
        <f aca="false">M188/$R$3</f>
        <v>14.0854838709677</v>
      </c>
      <c r="W188" s="114" t="n">
        <f aca="false">N188/$R$3</f>
        <v>98.8934838709677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Data'!$A$2:$B$8,MATCH(WEEKDAY('MM PLANT'!A189,3),'Master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f aca="false">218325/31*3</f>
        <v>21128.2258064516</v>
      </c>
      <c r="I189" s="112" t="n">
        <f aca="false">IF(MONTH($A189)=MONTH($A188),IF(G189=0,I188,G189),G189)</f>
        <v>21128.2258064516</v>
      </c>
      <c r="J189" s="112" t="n">
        <f aca="false">IF(MONTH($A189)=MONTH($A188),SUM(I189-I188),I189)</f>
        <v>7042.74193548387</v>
      </c>
      <c r="K189" s="112" t="n">
        <f aca="false">IF(WEEKDAY(A189,3)&gt;4,0,(IF(A189&lt;K$2,0,IF(A189&lt;=K$3,1,0))))</f>
        <v>1</v>
      </c>
      <c r="L189" s="112" t="n">
        <f aca="false">J189*K189</f>
        <v>7042.74193548387</v>
      </c>
      <c r="M189" s="112" t="n">
        <f aca="false">SUM(J$188:J189)</f>
        <v>21128.2258064516</v>
      </c>
      <c r="N189" s="112" t="n">
        <f aca="false">SUM(J$6:J189)</f>
        <v>105936.225806452</v>
      </c>
      <c r="P189" s="112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7.04274193548387</v>
      </c>
      <c r="T189" s="114" t="n">
        <f aca="false">L189/$R$3</f>
        <v>7.04274193548387</v>
      </c>
      <c r="U189" s="114" t="n">
        <f aca="false">I189/$R$3</f>
        <v>21.1282258064516</v>
      </c>
      <c r="V189" s="114" t="n">
        <f aca="false">M189/$R$3</f>
        <v>21.1282258064516</v>
      </c>
      <c r="W189" s="114" t="n">
        <f aca="false">N189/$R$3</f>
        <v>105.936225806452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Data'!$A$2:$B$8,MATCH(WEEKDAY('MM PLANT'!A190,3),'Master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21128.2258064516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21128.2258064516</v>
      </c>
      <c r="N190" s="112" t="n">
        <f aca="false">SUM(J$6:J190)</f>
        <v>105936.225806452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21.1282258064516</v>
      </c>
      <c r="V190" s="114" t="n">
        <f aca="false">M190/$R$3</f>
        <v>21.1282258064516</v>
      </c>
      <c r="W190" s="114" t="n">
        <f aca="false">N190/$R$3</f>
        <v>105.936225806452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Data'!$A$2:$B$8,MATCH(WEEKDAY('MM PLANT'!A191,3),'Master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35214</v>
      </c>
      <c r="I191" s="112" t="n">
        <f aca="false">IF(MONTH($A191)=MONTH($A190),IF(G191=0,I190,G191),G191)</f>
        <v>35214</v>
      </c>
      <c r="J191" s="112" t="n">
        <f aca="false">IF(MONTH($A191)=MONTH($A190),SUM(I191-I190),I191)</f>
        <v>14085.7741935484</v>
      </c>
      <c r="K191" s="112" t="n">
        <f aca="false">IF(WEEKDAY(A191,3)&gt;4,0,(IF(A191&lt;K$2,0,IF(A191&lt;=K$3,1,0))))</f>
        <v>1</v>
      </c>
      <c r="L191" s="112" t="n">
        <f aca="false">J191*K191</f>
        <v>14085.7741935484</v>
      </c>
      <c r="M191" s="112" t="n">
        <f aca="false">SUM(J$188:J191)</f>
        <v>35214</v>
      </c>
      <c r="N191" s="112" t="n">
        <f aca="false">SUM(J$6:J191)</f>
        <v>120022</v>
      </c>
      <c r="P191" s="112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14.0857741935484</v>
      </c>
      <c r="T191" s="114" t="n">
        <f aca="false">L191/$R$3</f>
        <v>14.0857741935484</v>
      </c>
      <c r="U191" s="114" t="n">
        <f aca="false">I191/$R$3</f>
        <v>35.214</v>
      </c>
      <c r="V191" s="114" t="n">
        <f aca="false">M191/$R$3</f>
        <v>35.214</v>
      </c>
      <c r="W191" s="114" t="n">
        <f aca="false">N191/$R$3</f>
        <v>120.022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Data'!$A$2:$B$8,MATCH(WEEKDAY('MM PLANT'!A192,3),'Master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42256</v>
      </c>
      <c r="I192" s="112" t="n">
        <f aca="false">IF(MONTH($A192)=MONTH($A191),IF(G192=0,I191,G192),G192)</f>
        <v>42256</v>
      </c>
      <c r="J192" s="112" t="n">
        <f aca="false">IF(MONTH($A192)=MONTH($A191),SUM(I192-I191),I192)</f>
        <v>7042</v>
      </c>
      <c r="K192" s="112" t="n">
        <f aca="false">IF(WEEKDAY(A192,3)&gt;4,0,(IF(A192&lt;K$2,0,IF(A192&lt;=K$3,1,0))))</f>
        <v>1</v>
      </c>
      <c r="L192" s="112" t="n">
        <f aca="false">J192*K192</f>
        <v>7042</v>
      </c>
      <c r="M192" s="112" t="n">
        <f aca="false">SUM(J$188:J192)</f>
        <v>42256</v>
      </c>
      <c r="N192" s="112" t="n">
        <f aca="false">SUM(J$6:J192)</f>
        <v>127064</v>
      </c>
      <c r="P192" s="112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7.042</v>
      </c>
      <c r="T192" s="114" t="n">
        <f aca="false">L192/$R$3</f>
        <v>7.042</v>
      </c>
      <c r="U192" s="114" t="n">
        <f aca="false">I192/$R$3</f>
        <v>42.256</v>
      </c>
      <c r="V192" s="114" t="n">
        <f aca="false">M192/$R$3</f>
        <v>42.256</v>
      </c>
      <c r="W192" s="114" t="n">
        <f aca="false">N192/$R$3</f>
        <v>127.064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Data'!$A$2:$B$8,MATCH(WEEKDAY('MM PLANT'!A193,3),'Master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42256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42256</v>
      </c>
      <c r="N193" s="112" t="n">
        <f aca="false">SUM(J$6:J193)</f>
        <v>127064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42.256</v>
      </c>
      <c r="V193" s="114" t="n">
        <f aca="false">M193/$R$3</f>
        <v>42.256</v>
      </c>
      <c r="W193" s="114" t="n">
        <f aca="false">N193/$R$3</f>
        <v>127.064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Data'!$A$2:$B$8,MATCH(WEEKDAY('MM PLANT'!A194,3),'Master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42256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42256</v>
      </c>
      <c r="N194" s="112" t="n">
        <f aca="false">SUM(J$6:J194)</f>
        <v>127064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42.256</v>
      </c>
      <c r="V194" s="114" t="n">
        <f aca="false">M194/$R$3</f>
        <v>42.256</v>
      </c>
      <c r="W194" s="114" t="n">
        <f aca="false">N194/$R$3</f>
        <v>127.064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Data'!$A$2:$B$8,MATCH(WEEKDAY('MM PLANT'!A195,3),'Master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63385</v>
      </c>
      <c r="I195" s="112" t="n">
        <f aca="false">IF(MONTH($A195)=MONTH($A194),IF(G195=0,I194,G195),G195)</f>
        <v>63385</v>
      </c>
      <c r="J195" s="112" t="n">
        <f aca="false">IF(MONTH($A195)=MONTH($A194),SUM(I195-I194),I195)</f>
        <v>21129</v>
      </c>
      <c r="K195" s="112" t="n">
        <f aca="false">IF(WEEKDAY(A195,3)&gt;4,0,(IF(A195&lt;K$2,0,IF(A195&lt;=K$3,1,0))))</f>
        <v>1</v>
      </c>
      <c r="L195" s="112" t="n">
        <f aca="false">J195*K195</f>
        <v>21129</v>
      </c>
      <c r="M195" s="112" t="n">
        <f aca="false">SUM(J$188:J195)</f>
        <v>63385</v>
      </c>
      <c r="N195" s="112" t="n">
        <f aca="false">SUM(J$6:J195)</f>
        <v>148193</v>
      </c>
      <c r="P195" s="112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21.129</v>
      </c>
      <c r="T195" s="114" t="n">
        <f aca="false">L195/$R$3</f>
        <v>21.129</v>
      </c>
      <c r="U195" s="114" t="n">
        <f aca="false">I195/$R$3</f>
        <v>63.385</v>
      </c>
      <c r="V195" s="114" t="n">
        <f aca="false">M195/$R$3</f>
        <v>63.385</v>
      </c>
      <c r="W195" s="114" t="n">
        <f aca="false">N195/$R$3</f>
        <v>148.193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Data'!$A$2:$B$8,MATCH(WEEKDAY('MM PLANT'!A196,3),'Master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63385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63385</v>
      </c>
      <c r="N196" s="112" t="n">
        <f aca="false">SUM(J$6:J196)</f>
        <v>148193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63.385</v>
      </c>
      <c r="V196" s="114" t="n">
        <f aca="false">M196/$R$3</f>
        <v>63.385</v>
      </c>
      <c r="W196" s="114" t="n">
        <f aca="false">N196/$R$3</f>
        <v>148.193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Data'!$A$2:$B$8,MATCH(WEEKDAY('MM PLANT'!A197,3),'Master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63385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63385</v>
      </c>
      <c r="N197" s="112" t="n">
        <f aca="false">SUM(J$6:J197)</f>
        <v>148193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63.385</v>
      </c>
      <c r="V197" s="114" t="n">
        <f aca="false">M197/$R$3</f>
        <v>63.385</v>
      </c>
      <c r="W197" s="114" t="n">
        <f aca="false">N197/$R$3</f>
        <v>148.193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Data'!$A$2:$B$8,MATCH(WEEKDAY('MM PLANT'!A198,3),'Master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63385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63385</v>
      </c>
      <c r="N198" s="112" t="n">
        <f aca="false">SUM(J$6:J198)</f>
        <v>148193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63.385</v>
      </c>
      <c r="V198" s="114" t="n">
        <f aca="false">M198/$R$3</f>
        <v>63.385</v>
      </c>
      <c r="W198" s="114" t="n">
        <f aca="false">N198/$R$3</f>
        <v>148.193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Data'!$A$2:$B$8,MATCH(WEEKDAY('MM PLANT'!A199,3),'Master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63385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63385</v>
      </c>
      <c r="N199" s="112" t="n">
        <f aca="false">SUM(J$6:J199)</f>
        <v>148193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63.385</v>
      </c>
      <c r="V199" s="114" t="n">
        <f aca="false">M199/$R$3</f>
        <v>63.385</v>
      </c>
      <c r="W199" s="114" t="n">
        <f aca="false">N199/$R$3</f>
        <v>148.193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Data'!$A$2:$B$8,MATCH(WEEKDAY('MM PLANT'!A200,3),'Master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63385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63385</v>
      </c>
      <c r="N200" s="112" t="n">
        <f aca="false">SUM(J$6:J200)</f>
        <v>148193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63.385</v>
      </c>
      <c r="V200" s="114" t="n">
        <f aca="false">M200/$R$3</f>
        <v>63.385</v>
      </c>
      <c r="W200" s="114" t="n">
        <f aca="false">N200/$R$3</f>
        <v>148.193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Data'!$A$2:$B$8,MATCH(WEEKDAY('MM PLANT'!A201,3),'Master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63385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63385</v>
      </c>
      <c r="N201" s="112" t="n">
        <f aca="false">SUM(J$6:J201)</f>
        <v>148193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63.385</v>
      </c>
      <c r="V201" s="114" t="n">
        <f aca="false">M201/$R$3</f>
        <v>63.385</v>
      </c>
      <c r="W201" s="114" t="n">
        <f aca="false">N201/$R$3</f>
        <v>148.193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Data'!$A$2:$B$8,MATCH(WEEKDAY('MM PLANT'!A202,3),'Master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63385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63385</v>
      </c>
      <c r="N202" s="112" t="n">
        <f aca="false">SUM(J$6:J202)</f>
        <v>148193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63.385</v>
      </c>
      <c r="V202" s="114" t="n">
        <f aca="false">M202/$R$3</f>
        <v>63.385</v>
      </c>
      <c r="W202" s="114" t="n">
        <f aca="false">N202/$R$3</f>
        <v>148.193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Data'!$A$2:$B$8,MATCH(WEEKDAY('MM PLANT'!A203,3),'Master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63385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63385</v>
      </c>
      <c r="N203" s="112" t="n">
        <f aca="false">SUM(J$6:J203)</f>
        <v>148193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63.385</v>
      </c>
      <c r="V203" s="114" t="n">
        <f aca="false">M203/$R$3</f>
        <v>63.385</v>
      </c>
      <c r="W203" s="114" t="n">
        <f aca="false">N203/$R$3</f>
        <v>148.193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Data'!$A$2:$B$8,MATCH(WEEKDAY('MM PLANT'!A204,3),'Master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63385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63385</v>
      </c>
      <c r="N204" s="112" t="n">
        <f aca="false">SUM(J$6:J204)</f>
        <v>148193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63.385</v>
      </c>
      <c r="V204" s="114" t="n">
        <f aca="false">M204/$R$3</f>
        <v>63.385</v>
      </c>
      <c r="W204" s="114" t="n">
        <f aca="false">N204/$R$3</f>
        <v>148.193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Data'!$A$2:$B$8,MATCH(WEEKDAY('MM PLANT'!A205,3),'Master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63385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63385</v>
      </c>
      <c r="N205" s="112" t="n">
        <f aca="false">SUM(J$6:J205)</f>
        <v>148193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63.385</v>
      </c>
      <c r="V205" s="114" t="n">
        <f aca="false">M205/$R$3</f>
        <v>63.385</v>
      </c>
      <c r="W205" s="114" t="n">
        <f aca="false">N205/$R$3</f>
        <v>148.193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Data'!$A$2:$B$8,MATCH(WEEKDAY('MM PLANT'!A206,3),'Master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63385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63385</v>
      </c>
      <c r="N206" s="112" t="n">
        <f aca="false">SUM(J$6:J206)</f>
        <v>148193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63.385</v>
      </c>
      <c r="V206" s="114" t="n">
        <f aca="false">M206/$R$3</f>
        <v>63.385</v>
      </c>
      <c r="W206" s="114" t="n">
        <f aca="false">N206/$R$3</f>
        <v>148.193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Data'!$A$2:$B$8,MATCH(WEEKDAY('MM PLANT'!A207,3),'Master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63385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63385</v>
      </c>
      <c r="N207" s="112" t="n">
        <f aca="false">SUM(J$6:J207)</f>
        <v>148193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63.385</v>
      </c>
      <c r="V207" s="114" t="n">
        <f aca="false">M207/$R$3</f>
        <v>63.385</v>
      </c>
      <c r="W207" s="114" t="n">
        <f aca="false">N207/$R$3</f>
        <v>148.193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Data'!$A$2:$B$8,MATCH(WEEKDAY('MM PLANT'!A208,3),'Master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63385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63385</v>
      </c>
      <c r="N208" s="112" t="n">
        <f aca="false">SUM(J$6:J208)</f>
        <v>148193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63.385</v>
      </c>
      <c r="V208" s="114" t="n">
        <f aca="false">M208/$R$3</f>
        <v>63.385</v>
      </c>
      <c r="W208" s="114" t="n">
        <f aca="false">N208/$R$3</f>
        <v>148.193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Data'!$A$2:$B$8,MATCH(WEEKDAY('MM PLANT'!A209,3),'Master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63385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63385</v>
      </c>
      <c r="N209" s="112" t="n">
        <f aca="false">SUM(J$6:J209)</f>
        <v>148193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63.385</v>
      </c>
      <c r="V209" s="114" t="n">
        <f aca="false">M209/$R$3</f>
        <v>63.385</v>
      </c>
      <c r="W209" s="114" t="n">
        <f aca="false">N209/$R$3</f>
        <v>148.193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Data'!$A$2:$B$8,MATCH(WEEKDAY('MM PLANT'!A210,3),'Master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63385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63385</v>
      </c>
      <c r="N210" s="112" t="n">
        <f aca="false">SUM(J$6:J210)</f>
        <v>148193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63.385</v>
      </c>
      <c r="V210" s="114" t="n">
        <f aca="false">M210/$R$3</f>
        <v>63.385</v>
      </c>
      <c r="W210" s="114" t="n">
        <f aca="false">N210/$R$3</f>
        <v>148.193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Data'!$A$2:$B$8,MATCH(WEEKDAY('MM PLANT'!A211,3),'Master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63385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63385</v>
      </c>
      <c r="N211" s="112" t="n">
        <f aca="false">SUM(J$6:J211)</f>
        <v>148193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63.385</v>
      </c>
      <c r="V211" s="114" t="n">
        <f aca="false">M211/$R$3</f>
        <v>63.385</v>
      </c>
      <c r="W211" s="114" t="n">
        <f aca="false">N211/$R$3</f>
        <v>148.193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Data'!$A$2:$B$8,MATCH(WEEKDAY('MM PLANT'!A212,3),'Master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63385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63385</v>
      </c>
      <c r="N212" s="112" t="n">
        <f aca="false">SUM(J$6:J212)</f>
        <v>148193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63.385</v>
      </c>
      <c r="V212" s="114" t="n">
        <f aca="false">M212/$R$3</f>
        <v>63.385</v>
      </c>
      <c r="W212" s="114" t="n">
        <f aca="false">N212/$R$3</f>
        <v>148.193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Data'!$A$2:$B$8,MATCH(WEEKDAY('MM PLANT'!A213,3),'Master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63385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63385</v>
      </c>
      <c r="N213" s="112" t="n">
        <f aca="false">SUM(J$6:J213)</f>
        <v>148193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63.385</v>
      </c>
      <c r="V213" s="114" t="n">
        <f aca="false">M213/$R$3</f>
        <v>63.385</v>
      </c>
      <c r="W213" s="114" t="n">
        <f aca="false">N213/$R$3</f>
        <v>148.193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Data'!$A$2:$B$8,MATCH(WEEKDAY('MM PLANT'!A214,3),'Master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63385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63385</v>
      </c>
      <c r="N214" s="112" t="n">
        <f aca="false">SUM(J$6:J214)</f>
        <v>148193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63.385</v>
      </c>
      <c r="V214" s="114" t="n">
        <f aca="false">M214/$R$3</f>
        <v>63.385</v>
      </c>
      <c r="W214" s="114" t="n">
        <f aca="false">N214/$R$3</f>
        <v>148.193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Data'!$A$2:$B$8,MATCH(WEEKDAY('MM PLANT'!A215,3),'Master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63385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63385</v>
      </c>
      <c r="N215" s="112" t="n">
        <f aca="false">SUM(J$6:J215)</f>
        <v>148193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63.385</v>
      </c>
      <c r="V215" s="114" t="n">
        <f aca="false">M215/$R$3</f>
        <v>63.385</v>
      </c>
      <c r="W215" s="114" t="n">
        <f aca="false">N215/$R$3</f>
        <v>148.193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Data'!$A$2:$B$8,MATCH(WEEKDAY('MM PLANT'!A216,3),'Master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63385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63385</v>
      </c>
      <c r="N216" s="112" t="n">
        <f aca="false">SUM(J$6:J216)</f>
        <v>148193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63.385</v>
      </c>
      <c r="V216" s="114" t="n">
        <f aca="false">M216/$R$3</f>
        <v>63.385</v>
      </c>
      <c r="W216" s="114" t="n">
        <f aca="false">N216/$R$3</f>
        <v>148.193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Data'!$A$2:$B$8,MATCH(WEEKDAY('MM PLANT'!A217,3),'Master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63385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63385</v>
      </c>
      <c r="N217" s="112" t="n">
        <f aca="false">SUM(J$6:J217)</f>
        <v>148193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63.385</v>
      </c>
      <c r="V217" s="114" t="n">
        <f aca="false">M217/$R$3</f>
        <v>63.385</v>
      </c>
      <c r="W217" s="114" t="n">
        <f aca="false">N217/$R$3</f>
        <v>148.193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Data'!$A$2:$B$8,MATCH(WEEKDAY('MM PLANT'!A218,3),'Master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63385</v>
      </c>
      <c r="N218" s="112" t="n">
        <f aca="false">SUM(J$6:J218)</f>
        <v>148193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63.385</v>
      </c>
      <c r="W218" s="114" t="n">
        <f aca="false">N218/$R$3</f>
        <v>148.193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Data'!$A$2:$B$8,MATCH(WEEKDAY('MM PLANT'!A219,3),'Master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63385</v>
      </c>
      <c r="N219" s="112" t="n">
        <f aca="false">SUM(J$6:J219)</f>
        <v>148193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63.385</v>
      </c>
      <c r="W219" s="114" t="n">
        <f aca="false">N219/$R$3</f>
        <v>148.193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Data'!$A$2:$B$8,MATCH(WEEKDAY('MM PLANT'!A220,3),'Master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63385</v>
      </c>
      <c r="N220" s="112" t="n">
        <f aca="false">SUM(J$6:J220)</f>
        <v>148193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63.385</v>
      </c>
      <c r="W220" s="114" t="n">
        <f aca="false">N220/$R$3</f>
        <v>148.193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Data'!$A$2:$B$8,MATCH(WEEKDAY('MM PLANT'!A221,3),'Master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63385</v>
      </c>
      <c r="N221" s="112" t="n">
        <f aca="false">SUM(J$6:J221)</f>
        <v>148193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63.385</v>
      </c>
      <c r="W221" s="114" t="n">
        <f aca="false">N221/$R$3</f>
        <v>148.193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Data'!$A$2:$B$8,MATCH(WEEKDAY('MM PLANT'!A222,3),'Master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63385</v>
      </c>
      <c r="N222" s="112" t="n">
        <f aca="false">SUM(J$6:J222)</f>
        <v>148193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63.385</v>
      </c>
      <c r="W222" s="114" t="n">
        <f aca="false">N222/$R$3</f>
        <v>148.193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Data'!$A$2:$B$8,MATCH(WEEKDAY('MM PLANT'!A223,3),'Master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63385</v>
      </c>
      <c r="N223" s="112" t="n">
        <f aca="false">SUM(J$6:J223)</f>
        <v>148193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63.385</v>
      </c>
      <c r="W223" s="114" t="n">
        <f aca="false">N223/$R$3</f>
        <v>148.193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Data'!$A$2:$B$8,MATCH(WEEKDAY('MM PLANT'!A224,3),'Master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63385</v>
      </c>
      <c r="N224" s="112" t="n">
        <f aca="false">SUM(J$6:J224)</f>
        <v>148193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63.385</v>
      </c>
      <c r="W224" s="114" t="n">
        <f aca="false">N224/$R$3</f>
        <v>148.193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Data'!$A$2:$B$8,MATCH(WEEKDAY('MM PLANT'!A225,3),'Master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63385</v>
      </c>
      <c r="N225" s="112" t="n">
        <f aca="false">SUM(J$6:J225)</f>
        <v>148193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63.385</v>
      </c>
      <c r="W225" s="114" t="n">
        <f aca="false">N225/$R$3</f>
        <v>148.193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Data'!$A$2:$B$8,MATCH(WEEKDAY('MM PLANT'!A226,3),'Master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63385</v>
      </c>
      <c r="N226" s="112" t="n">
        <f aca="false">SUM(J$6:J226)</f>
        <v>148193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63.385</v>
      </c>
      <c r="W226" s="114" t="n">
        <f aca="false">N226/$R$3</f>
        <v>148.193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Data'!$A$2:$B$8,MATCH(WEEKDAY('MM PLANT'!A227,3),'Master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63385</v>
      </c>
      <c r="N227" s="112" t="n">
        <f aca="false">SUM(J$6:J227)</f>
        <v>148193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63.385</v>
      </c>
      <c r="W227" s="114" t="n">
        <f aca="false">N227/$R$3</f>
        <v>148.193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Data'!$A$2:$B$8,MATCH(WEEKDAY('MM PLANT'!A228,3),'Master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63385</v>
      </c>
      <c r="N228" s="112" t="n">
        <f aca="false">SUM(J$6:J228)</f>
        <v>148193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63.385</v>
      </c>
      <c r="W228" s="114" t="n">
        <f aca="false">N228/$R$3</f>
        <v>148.193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Data'!$A$2:$B$8,MATCH(WEEKDAY('MM PLANT'!A229,3),'Master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63385</v>
      </c>
      <c r="N229" s="112" t="n">
        <f aca="false">SUM(J$6:J229)</f>
        <v>148193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63.385</v>
      </c>
      <c r="W229" s="114" t="n">
        <f aca="false">N229/$R$3</f>
        <v>148.193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Data'!$A$2:$B$8,MATCH(WEEKDAY('MM PLANT'!A230,3),'Master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63385</v>
      </c>
      <c r="N230" s="112" t="n">
        <f aca="false">SUM(J$6:J230)</f>
        <v>148193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63.385</v>
      </c>
      <c r="W230" s="114" t="n">
        <f aca="false">N230/$R$3</f>
        <v>148.193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Data'!$A$2:$B$8,MATCH(WEEKDAY('MM PLANT'!A231,3),'Master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63385</v>
      </c>
      <c r="N231" s="112" t="n">
        <f aca="false">SUM(J$6:J231)</f>
        <v>148193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63.385</v>
      </c>
      <c r="W231" s="114" t="n">
        <f aca="false">N231/$R$3</f>
        <v>148.193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Data'!$A$2:$B$8,MATCH(WEEKDAY('MM PLANT'!A232,3),'Master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63385</v>
      </c>
      <c r="N232" s="112" t="n">
        <f aca="false">SUM(J$6:J232)</f>
        <v>148193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63.385</v>
      </c>
      <c r="W232" s="114" t="n">
        <f aca="false">N232/$R$3</f>
        <v>148.193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Data'!$A$2:$B$8,MATCH(WEEKDAY('MM PLANT'!A233,3),'Master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63385</v>
      </c>
      <c r="N233" s="112" t="n">
        <f aca="false">SUM(J$6:J233)</f>
        <v>148193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63.385</v>
      </c>
      <c r="W233" s="114" t="n">
        <f aca="false">N233/$R$3</f>
        <v>148.193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Data'!$A$2:$B$8,MATCH(WEEKDAY('MM PLANT'!A234,3),'Master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63385</v>
      </c>
      <c r="N234" s="112" t="n">
        <f aca="false">SUM(J$6:J234)</f>
        <v>148193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63.385</v>
      </c>
      <c r="W234" s="114" t="n">
        <f aca="false">N234/$R$3</f>
        <v>148.193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Data'!$A$2:$B$8,MATCH(WEEKDAY('MM PLANT'!A235,3),'Master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63385</v>
      </c>
      <c r="N235" s="112" t="n">
        <f aca="false">SUM(J$6:J235)</f>
        <v>148193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63.385</v>
      </c>
      <c r="W235" s="114" t="n">
        <f aca="false">N235/$R$3</f>
        <v>148.193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Data'!$A$2:$B$8,MATCH(WEEKDAY('MM PLANT'!A236,3),'Master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63385</v>
      </c>
      <c r="N236" s="112" t="n">
        <f aca="false">SUM(J$6:J236)</f>
        <v>148193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63.385</v>
      </c>
      <c r="W236" s="114" t="n">
        <f aca="false">N236/$R$3</f>
        <v>148.193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Data'!$A$2:$B$8,MATCH(WEEKDAY('MM PLANT'!A237,3),'Master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63385</v>
      </c>
      <c r="N237" s="112" t="n">
        <f aca="false">SUM(J$6:J237)</f>
        <v>148193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63.385</v>
      </c>
      <c r="W237" s="114" t="n">
        <f aca="false">N237/$R$3</f>
        <v>148.193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Data'!$A$2:$B$8,MATCH(WEEKDAY('MM PLANT'!A238,3),'Master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63385</v>
      </c>
      <c r="N238" s="112" t="n">
        <f aca="false">SUM(J$6:J238)</f>
        <v>148193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63.385</v>
      </c>
      <c r="W238" s="114" t="n">
        <f aca="false">N238/$R$3</f>
        <v>148.193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Data'!$A$2:$B$8,MATCH(WEEKDAY('MM PLANT'!A239,3),'Master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63385</v>
      </c>
      <c r="N239" s="112" t="n">
        <f aca="false">SUM(J$6:J239)</f>
        <v>148193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63.385</v>
      </c>
      <c r="W239" s="114" t="n">
        <f aca="false">N239/$R$3</f>
        <v>148.193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Data'!$A$2:$B$8,MATCH(WEEKDAY('MM PLANT'!A240,3),'Master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63385</v>
      </c>
      <c r="N240" s="112" t="n">
        <f aca="false">SUM(J$6:J240)</f>
        <v>148193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63.385</v>
      </c>
      <c r="W240" s="114" t="n">
        <f aca="false">N240/$R$3</f>
        <v>148.193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Data'!$A$2:$B$8,MATCH(WEEKDAY('MM PLANT'!A241,3),'Master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63385</v>
      </c>
      <c r="N241" s="112" t="n">
        <f aca="false">SUM(J$6:J241)</f>
        <v>148193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63.385</v>
      </c>
      <c r="W241" s="114" t="n">
        <f aca="false">N241/$R$3</f>
        <v>148.193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Data'!$A$2:$B$8,MATCH(WEEKDAY('MM PLANT'!A242,3),'Master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63385</v>
      </c>
      <c r="N242" s="112" t="n">
        <f aca="false">SUM(J$6:J242)</f>
        <v>148193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63.385</v>
      </c>
      <c r="W242" s="114" t="n">
        <f aca="false">N242/$R$3</f>
        <v>148.193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Data'!$A$2:$B$8,MATCH(WEEKDAY('MM PLANT'!A243,3),'Master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63385</v>
      </c>
      <c r="N243" s="112" t="n">
        <f aca="false">SUM(J$6:J243)</f>
        <v>148193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63.385</v>
      </c>
      <c r="W243" s="114" t="n">
        <f aca="false">N243/$R$3</f>
        <v>148.193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Data'!$A$2:$B$8,MATCH(WEEKDAY('MM PLANT'!A244,3),'Master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63385</v>
      </c>
      <c r="N244" s="112" t="n">
        <f aca="false">SUM(J$6:J244)</f>
        <v>148193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63.385</v>
      </c>
      <c r="W244" s="114" t="n">
        <f aca="false">N244/$R$3</f>
        <v>148.193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Data'!$A$2:$B$8,MATCH(WEEKDAY('MM PLANT'!A245,3),'Master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63385</v>
      </c>
      <c r="N245" s="112" t="n">
        <f aca="false">SUM(J$6:J245)</f>
        <v>148193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63.385</v>
      </c>
      <c r="W245" s="114" t="n">
        <f aca="false">N245/$R$3</f>
        <v>148.193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Data'!$A$2:$B$8,MATCH(WEEKDAY('MM PLANT'!A246,3),'Master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63385</v>
      </c>
      <c r="N246" s="112" t="n">
        <f aca="false">SUM(J$6:J246)</f>
        <v>148193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63.385</v>
      </c>
      <c r="W246" s="114" t="n">
        <f aca="false">N246/$R$3</f>
        <v>148.193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Data'!$A$2:$B$8,MATCH(WEEKDAY('MM PLANT'!A247,3),'Master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63385</v>
      </c>
      <c r="N247" s="112" t="n">
        <f aca="false">SUM(J$6:J247)</f>
        <v>148193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63.385</v>
      </c>
      <c r="W247" s="114" t="n">
        <f aca="false">N247/$R$3</f>
        <v>148.193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Data'!$A$2:$B$8,MATCH(WEEKDAY('MM PLANT'!A248,3),'Master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63385</v>
      </c>
      <c r="N248" s="112" t="n">
        <f aca="false">SUM(J$6:J248)</f>
        <v>148193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63.385</v>
      </c>
      <c r="W248" s="114" t="n">
        <f aca="false">N248/$R$3</f>
        <v>148.193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Data'!$A$2:$B$8,MATCH(WEEKDAY('MM PLANT'!A249,3),'Master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63385</v>
      </c>
      <c r="N249" s="112" t="n">
        <f aca="false">SUM(J$6:J249)</f>
        <v>148193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63.385</v>
      </c>
      <c r="W249" s="114" t="n">
        <f aca="false">N249/$R$3</f>
        <v>148.193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Data'!$A$2:$B$8,MATCH(WEEKDAY('MM PLANT'!A250,3),'Master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63385</v>
      </c>
      <c r="N250" s="112" t="n">
        <f aca="false">SUM(J$6:J250)</f>
        <v>148193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63.385</v>
      </c>
      <c r="W250" s="114" t="n">
        <f aca="false">N250/$R$3</f>
        <v>148.193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Data'!$A$2:$B$8,MATCH(WEEKDAY('MM PLANT'!A251,3),'Master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63385</v>
      </c>
      <c r="N251" s="112" t="n">
        <f aca="false">SUM(J$6:J251)</f>
        <v>148193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63.385</v>
      </c>
      <c r="W251" s="114" t="n">
        <f aca="false">N251/$R$3</f>
        <v>148.193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Data'!$A$2:$B$8,MATCH(WEEKDAY('MM PLANT'!A252,3),'Master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63385</v>
      </c>
      <c r="N252" s="112" t="n">
        <f aca="false">SUM(J$6:J252)</f>
        <v>148193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63.385</v>
      </c>
      <c r="W252" s="114" t="n">
        <f aca="false">N252/$R$3</f>
        <v>148.193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Data'!$A$2:$B$8,MATCH(WEEKDAY('MM PLANT'!A253,3),'Master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63385</v>
      </c>
      <c r="N253" s="112" t="n">
        <f aca="false">SUM(J$6:J253)</f>
        <v>148193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63.385</v>
      </c>
      <c r="W253" s="114" t="n">
        <f aca="false">N253/$R$3</f>
        <v>148.193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Data'!$A$2:$B$8,MATCH(WEEKDAY('MM PLANT'!A254,3),'Master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63385</v>
      </c>
      <c r="N254" s="112" t="n">
        <f aca="false">SUM(J$6:J254)</f>
        <v>148193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63.385</v>
      </c>
      <c r="W254" s="114" t="n">
        <f aca="false">N254/$R$3</f>
        <v>148.193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Data'!$A$2:$B$8,MATCH(WEEKDAY('MM PLANT'!A255,3),'Master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63385</v>
      </c>
      <c r="N255" s="112" t="n">
        <f aca="false">SUM(J$6:J255)</f>
        <v>148193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63.385</v>
      </c>
      <c r="W255" s="114" t="n">
        <f aca="false">N255/$R$3</f>
        <v>148.193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Data'!$A$2:$B$8,MATCH(WEEKDAY('MM PLANT'!A256,3),'Master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63385</v>
      </c>
      <c r="N256" s="112" t="n">
        <f aca="false">SUM(J$6:J256)</f>
        <v>148193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63.385</v>
      </c>
      <c r="W256" s="114" t="n">
        <f aca="false">N256/$R$3</f>
        <v>148.193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Data'!$A$2:$B$8,MATCH(WEEKDAY('MM PLANT'!A257,3),'Master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63385</v>
      </c>
      <c r="N257" s="112" t="n">
        <f aca="false">SUM(J$6:J257)</f>
        <v>148193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63.385</v>
      </c>
      <c r="W257" s="114" t="n">
        <f aca="false">N257/$R$3</f>
        <v>148.193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Data'!$A$2:$B$8,MATCH(WEEKDAY('MM PLANT'!A258,3),'Master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63385</v>
      </c>
      <c r="N258" s="112" t="n">
        <f aca="false">SUM(J$6:J258)</f>
        <v>148193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63.385</v>
      </c>
      <c r="W258" s="114" t="n">
        <f aca="false">N258/$R$3</f>
        <v>148.193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Data'!$A$2:$B$8,MATCH(WEEKDAY('MM PLANT'!A259,3),'Master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63385</v>
      </c>
      <c r="N259" s="112" t="n">
        <f aca="false">SUM(J$6:J259)</f>
        <v>148193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63.385</v>
      </c>
      <c r="W259" s="114" t="n">
        <f aca="false">N259/$R$3</f>
        <v>148.193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Data'!$A$2:$B$8,MATCH(WEEKDAY('MM PLANT'!A260,3),'Master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63385</v>
      </c>
      <c r="N260" s="112" t="n">
        <f aca="false">SUM(J$6:J260)</f>
        <v>148193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63.385</v>
      </c>
      <c r="W260" s="114" t="n">
        <f aca="false">N260/$R$3</f>
        <v>148.193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Data'!$A$2:$B$8,MATCH(WEEKDAY('MM PLANT'!A261,3),'Master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63385</v>
      </c>
      <c r="N261" s="112" t="n">
        <f aca="false">SUM(J$6:J261)</f>
        <v>148193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63.385</v>
      </c>
      <c r="W261" s="114" t="n">
        <f aca="false">N261/$R$3</f>
        <v>148.193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Data'!$A$2:$B$8,MATCH(WEEKDAY('MM PLANT'!A262,3),'Master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63385</v>
      </c>
      <c r="N262" s="112" t="n">
        <f aca="false">SUM(J$6:J262)</f>
        <v>148193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63.385</v>
      </c>
      <c r="W262" s="114" t="n">
        <f aca="false">N262/$R$3</f>
        <v>148.193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Data'!$A$2:$B$8,MATCH(WEEKDAY('MM PLANT'!A263,3),'Master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63385</v>
      </c>
      <c r="N263" s="112" t="n">
        <f aca="false">SUM(J$6:J263)</f>
        <v>148193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63.385</v>
      </c>
      <c r="W263" s="114" t="n">
        <f aca="false">N263/$R$3</f>
        <v>148.193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Data'!$A$2:$B$8,MATCH(WEEKDAY('MM PLANT'!A264,3),'Master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63385</v>
      </c>
      <c r="N264" s="112" t="n">
        <f aca="false">SUM(J$6:J264)</f>
        <v>148193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63.385</v>
      </c>
      <c r="W264" s="114" t="n">
        <f aca="false">N264/$R$3</f>
        <v>148.193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Data'!$A$2:$B$8,MATCH(WEEKDAY('MM PLANT'!A265,3),'Master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63385</v>
      </c>
      <c r="N265" s="112" t="n">
        <f aca="false">SUM(J$6:J265)</f>
        <v>148193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63.385</v>
      </c>
      <c r="W265" s="114" t="n">
        <f aca="false">N265/$R$3</f>
        <v>148.193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Data'!$A$2:$B$8,MATCH(WEEKDAY('MM PLANT'!A266,3),'Master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63385</v>
      </c>
      <c r="N266" s="112" t="n">
        <f aca="false">SUM(J$6:J266)</f>
        <v>148193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63.385</v>
      </c>
      <c r="W266" s="114" t="n">
        <f aca="false">N266/$R$3</f>
        <v>148.193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Data'!$A$2:$B$8,MATCH(WEEKDAY('MM PLANT'!A267,3),'Master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63385</v>
      </c>
      <c r="N267" s="112" t="n">
        <f aca="false">SUM(J$6:J267)</f>
        <v>148193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63.385</v>
      </c>
      <c r="W267" s="114" t="n">
        <f aca="false">N267/$R$3</f>
        <v>148.193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Data'!$A$2:$B$8,MATCH(WEEKDAY('MM PLANT'!A268,3),'Master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63385</v>
      </c>
      <c r="N268" s="112" t="n">
        <f aca="false">SUM(J$6:J268)</f>
        <v>148193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63.385</v>
      </c>
      <c r="W268" s="114" t="n">
        <f aca="false">N268/$R$3</f>
        <v>148.193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Data'!$A$2:$B$8,MATCH(WEEKDAY('MM PLANT'!A269,3),'Master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63385</v>
      </c>
      <c r="N269" s="112" t="n">
        <f aca="false">SUM(J$6:J269)</f>
        <v>148193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63.385</v>
      </c>
      <c r="W269" s="114" t="n">
        <f aca="false">N269/$R$3</f>
        <v>148.193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Data'!$A$2:$B$8,MATCH(WEEKDAY('MM PLANT'!A270,3),'Master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63385</v>
      </c>
      <c r="N270" s="112" t="n">
        <f aca="false">SUM(J$6:J270)</f>
        <v>148193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63.385</v>
      </c>
      <c r="W270" s="114" t="n">
        <f aca="false">N270/$R$3</f>
        <v>148.193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Data'!$A$2:$B$8,MATCH(WEEKDAY('MM PLANT'!A271,3),'Master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63385</v>
      </c>
      <c r="N271" s="112" t="n">
        <f aca="false">SUM(J$6:J271)</f>
        <v>148193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63.385</v>
      </c>
      <c r="W271" s="114" t="n">
        <f aca="false">N271/$R$3</f>
        <v>148.193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Data'!$A$2:$B$8,MATCH(WEEKDAY('MM PLANT'!A272,3),'Master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63385</v>
      </c>
      <c r="N272" s="112" t="n">
        <f aca="false">SUM(J$6:J272)</f>
        <v>148193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63.385</v>
      </c>
      <c r="W272" s="114" t="n">
        <f aca="false">N272/$R$3</f>
        <v>148.193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Data'!$A$2:$B$8,MATCH(WEEKDAY('MM PLANT'!A273,3),'Master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63385</v>
      </c>
      <c r="N273" s="112" t="n">
        <f aca="false">SUM(J$6:J273)</f>
        <v>148193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63.385</v>
      </c>
      <c r="W273" s="114" t="n">
        <f aca="false">N273/$R$3</f>
        <v>148.193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Data'!$A$2:$B$8,MATCH(WEEKDAY('MM PLANT'!A274,3),'Master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63385</v>
      </c>
      <c r="N274" s="112" t="n">
        <f aca="false">SUM(J$6:J274)</f>
        <v>148193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63.385</v>
      </c>
      <c r="W274" s="114" t="n">
        <f aca="false">N274/$R$3</f>
        <v>148.193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Data'!$A$2:$B$8,MATCH(WEEKDAY('MM PLANT'!A275,3),'Master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63385</v>
      </c>
      <c r="N275" s="112" t="n">
        <f aca="false">SUM(J$6:J275)</f>
        <v>148193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63.385</v>
      </c>
      <c r="W275" s="114" t="n">
        <f aca="false">N275/$R$3</f>
        <v>148.193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Data'!$A$2:$B$8,MATCH(WEEKDAY('MM PLANT'!A276,3),'Master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63385</v>
      </c>
      <c r="N276" s="112" t="n">
        <f aca="false">SUM(J$6:J276)</f>
        <v>148193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63.385</v>
      </c>
      <c r="W276" s="114" t="n">
        <f aca="false">N276/$R$3</f>
        <v>148.193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Data'!$A$2:$B$8,MATCH(WEEKDAY('MM PLANT'!A277,3),'Master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63385</v>
      </c>
      <c r="N277" s="112" t="n">
        <f aca="false">SUM(J$6:J277)</f>
        <v>148193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63.385</v>
      </c>
      <c r="W277" s="114" t="n">
        <f aca="false">N277/$R$3</f>
        <v>148.193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Data'!$A$2:$B$8,MATCH(WEEKDAY('MM PLANT'!A278,3),'Master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63385</v>
      </c>
      <c r="N278" s="112" t="n">
        <f aca="false">SUM(J$6:J278)</f>
        <v>148193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63.385</v>
      </c>
      <c r="W278" s="114" t="n">
        <f aca="false">N278/$R$3</f>
        <v>148.193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Data'!$A$2:$B$8,MATCH(WEEKDAY('MM PLANT'!A279,3),'Master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63385</v>
      </c>
      <c r="N279" s="112" t="n">
        <f aca="false">SUM(J$6:J279)</f>
        <v>148193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63.385</v>
      </c>
      <c r="W279" s="114" t="n">
        <f aca="false">N279/$R$3</f>
        <v>148.193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Data'!$A$2:$B$8,MATCH(WEEKDAY('MM PLANT'!A280,3),'Master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148193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148.193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Data'!$A$2:$B$8,MATCH(WEEKDAY('MM PLANT'!A281,3),'Master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148193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148.193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Data'!$A$2:$B$8,MATCH(WEEKDAY('MM PLANT'!A282,3),'Master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148193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148.193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Data'!$A$2:$B$8,MATCH(WEEKDAY('MM PLANT'!A283,3),'Master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148193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148.193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Data'!$A$2:$B$8,MATCH(WEEKDAY('MM PLANT'!A284,3),'Master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148193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148.193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Data'!$A$2:$B$8,MATCH(WEEKDAY('MM PLANT'!A285,3),'Master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148193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148.193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Data'!$A$2:$B$8,MATCH(WEEKDAY('MM PLANT'!A286,3),'Master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148193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148.193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Data'!$A$2:$B$8,MATCH(WEEKDAY('MM PLANT'!A287,3),'Master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148193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148.193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Data'!$A$2:$B$8,MATCH(WEEKDAY('MM PLANT'!A288,3),'Master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148193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148.193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Data'!$A$2:$B$8,MATCH(WEEKDAY('MM PLANT'!A289,3),'Master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148193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148.193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Data'!$A$2:$B$8,MATCH(WEEKDAY('MM PLANT'!A290,3),'Master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148193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148.193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Data'!$A$2:$B$8,MATCH(WEEKDAY('MM PLANT'!A291,3),'Master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148193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148.193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Data'!$A$2:$B$8,MATCH(WEEKDAY('MM PLANT'!A292,3),'Master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148193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148.193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Data'!$A$2:$B$8,MATCH(WEEKDAY('MM PLANT'!A293,3),'Master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148193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148.193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Data'!$A$2:$B$8,MATCH(WEEKDAY('MM PLANT'!A294,3),'Master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148193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148.193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Data'!$A$2:$B$8,MATCH(WEEKDAY('MM PLANT'!A295,3),'Master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148193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148.193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Data'!$A$2:$B$8,MATCH(WEEKDAY('MM PLANT'!A296,3),'Master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148193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148.193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Data'!$A$2:$B$8,MATCH(WEEKDAY('MM PLANT'!A297,3),'Master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148193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148.193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Data'!$A$2:$B$8,MATCH(WEEKDAY('MM PLANT'!A298,3),'Master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148193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148.193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Data'!$A$2:$B$8,MATCH(WEEKDAY('MM PLANT'!A299,3),'Master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148193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148.193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Data'!$A$2:$B$8,MATCH(WEEKDAY('MM PLANT'!A300,3),'Master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148193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148.193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Data'!$A$2:$B$8,MATCH(WEEKDAY('MM PLANT'!A301,3),'Master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148193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148.193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Data'!$A$2:$B$8,MATCH(WEEKDAY('MM PLANT'!A302,3),'Master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148193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148.193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Data'!$A$2:$B$8,MATCH(WEEKDAY('MM PLANT'!A303,3),'Master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148193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148.193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Data'!$A$2:$B$8,MATCH(WEEKDAY('MM PLANT'!A304,3),'Master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148193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148.193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Data'!$A$2:$B$8,MATCH(WEEKDAY('MM PLANT'!A305,3),'Master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148193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148.193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Data'!$A$2:$B$8,MATCH(WEEKDAY('MM PLANT'!A306,3),'Master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148193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148.193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Data'!$A$2:$B$8,MATCH(WEEKDAY('MM PLANT'!A307,3),'Master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148193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148.193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Data'!$A$2:$B$8,MATCH(WEEKDAY('MM PLANT'!A308,3),'Master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148193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148.193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Data'!$A$2:$B$8,MATCH(WEEKDAY('MM PLANT'!A309,3),'Master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148193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148.193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Data'!$A$2:$B$8,MATCH(WEEKDAY('MM PLANT'!A310,3),'Master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148193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148.193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Data'!$A$2:$B$8,MATCH(WEEKDAY('MM PLANT'!A311,3),'Master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148193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148.193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Data'!$A$2:$B$8,MATCH(WEEKDAY('MM PLANT'!A312,3),'Master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148193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148.193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Data'!$A$2:$B$8,MATCH(WEEKDAY('MM PLANT'!A313,3),'Master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148193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148.193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Data'!$A$2:$B$8,MATCH(WEEKDAY('MM PLANT'!A314,3),'Master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148193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148.193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Data'!$A$2:$B$8,MATCH(WEEKDAY('MM PLANT'!A315,3),'Master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148193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148.193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Data'!$A$2:$B$8,MATCH(WEEKDAY('MM PLANT'!A316,3),'Master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148193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148.193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Data'!$A$2:$B$8,MATCH(WEEKDAY('MM PLANT'!A317,3),'Master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148193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148.193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Data'!$A$2:$B$8,MATCH(WEEKDAY('MM PLANT'!A318,3),'Master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148193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148.193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Data'!$A$2:$B$8,MATCH(WEEKDAY('MM PLANT'!A319,3),'Master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148193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148.193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Data'!$A$2:$B$8,MATCH(WEEKDAY('MM PLANT'!A320,3),'Master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148193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148.193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Data'!$A$2:$B$8,MATCH(WEEKDAY('MM PLANT'!A321,3),'Master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148193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148.193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Data'!$A$2:$B$8,MATCH(WEEKDAY('MM PLANT'!A322,3),'Master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148193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148.193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Data'!$A$2:$B$8,MATCH(WEEKDAY('MM PLANT'!A323,3),'Master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148193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148.193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Data'!$A$2:$B$8,MATCH(WEEKDAY('MM PLANT'!A324,3),'Master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148193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148.193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Data'!$A$2:$B$8,MATCH(WEEKDAY('MM PLANT'!A325,3),'Master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148193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148.193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Data'!$A$2:$B$8,MATCH(WEEKDAY('MM PLANT'!A326,3),'Master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148193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148.193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Data'!$A$2:$B$8,MATCH(WEEKDAY('MM PLANT'!A327,3),'Master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148193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148.193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Data'!$A$2:$B$8,MATCH(WEEKDAY('MM PLANT'!A328,3),'Master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148193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148.193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Data'!$A$2:$B$8,MATCH(WEEKDAY('MM PLANT'!A329,3),'Master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148193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148.193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Data'!$A$2:$B$8,MATCH(WEEKDAY('MM PLANT'!A330,3),'Master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148193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148.193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Data'!$A$2:$B$8,MATCH(WEEKDAY('MM PLANT'!A331,3),'Master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148193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148.193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Data'!$A$2:$B$8,MATCH(WEEKDAY('MM PLANT'!A332,3),'Master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148193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148.193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Data'!$A$2:$B$8,MATCH(WEEKDAY('MM PLANT'!A333,3),'Master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148193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148.193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Data'!$A$2:$B$8,MATCH(WEEKDAY('MM PLANT'!A334,3),'Master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148193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148.193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Data'!$A$2:$B$8,MATCH(WEEKDAY('MM PLANT'!A335,3),'Master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148193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148.193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Data'!$A$2:$B$8,MATCH(WEEKDAY('MM PLANT'!A336,3),'Master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148193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148.193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Data'!$A$2:$B$8,MATCH(WEEKDAY('MM PLANT'!A337,3),'Master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148193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148.193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Data'!$A$2:$B$8,MATCH(WEEKDAY('MM PLANT'!A338,3),'Master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148193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148.193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Data'!$A$2:$B$8,MATCH(WEEKDAY('MM PLANT'!A339,3),'Master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148193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148.193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Data'!$A$2:$B$8,MATCH(WEEKDAY('MM PLANT'!A340,3),'Master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148193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148.193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Data'!$A$2:$B$8,MATCH(WEEKDAY('MM PLANT'!A341,3),'Master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148193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148.193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Data'!$A$2:$B$8,MATCH(WEEKDAY('MM PLANT'!A342,3),'Master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148193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148.193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Data'!$A$2:$B$8,MATCH(WEEKDAY('MM PLANT'!A343,3),'Master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148193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148.193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Data'!$A$2:$B$8,MATCH(WEEKDAY('MM PLANT'!A344,3),'Master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148193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148.193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Data'!$A$2:$B$8,MATCH(WEEKDAY('MM PLANT'!A345,3),'Master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148193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148.193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Data'!$A$2:$B$8,MATCH(WEEKDAY('MM PLANT'!A346,3),'Master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148193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148.193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Data'!$A$2:$B$8,MATCH(WEEKDAY('MM PLANT'!A347,3),'Master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148193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148.193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Data'!$A$2:$B$8,MATCH(WEEKDAY('MM PLANT'!A348,3),'Master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148193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148.193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Data'!$A$2:$B$8,MATCH(WEEKDAY('MM PLANT'!A349,3),'Master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148193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148.193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Data'!$A$2:$B$8,MATCH(WEEKDAY('MM PLANT'!A350,3),'Master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148193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148.193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Data'!$A$2:$B$8,MATCH(WEEKDAY('MM PLANT'!A351,3),'Master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148193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148.193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Data'!$A$2:$B$8,MATCH(WEEKDAY('MM PLANT'!A352,3),'Master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148193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148.193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Data'!$A$2:$B$8,MATCH(WEEKDAY('MM PLANT'!A353,3),'Master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148193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148.193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Data'!$A$2:$B$8,MATCH(WEEKDAY('MM PLANT'!A354,3),'Master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148193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148.193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Data'!$A$2:$B$8,MATCH(WEEKDAY('MM PLANT'!A355,3),'Master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148193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148.193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Data'!$A$2:$B$8,MATCH(WEEKDAY('MM PLANT'!A356,3),'Master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148193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148.193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Data'!$A$2:$B$8,MATCH(WEEKDAY('MM PLANT'!A357,3),'Master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148193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148.193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Data'!$A$2:$B$8,MATCH(WEEKDAY('MM PLANT'!A358,3),'Master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148193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148.193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Data'!$A$2:$B$8,MATCH(WEEKDAY('MM PLANT'!A359,3),'Master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148193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148.193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Data'!$A$2:$B$8,MATCH(WEEKDAY('MM PLANT'!A360,3),'Master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148193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148.193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Data'!$A$2:$B$8,MATCH(WEEKDAY('MM PLANT'!A361,3),'Master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148193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148.193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Data'!$A$2:$B$8,MATCH(WEEKDAY('MM PLANT'!A362,3),'Master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148193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148.193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Data'!$A$2:$B$8,MATCH(WEEKDAY('MM PLANT'!A363,3),'Master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148193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148.193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Data'!$A$2:$B$8,MATCH(WEEKDAY('MM PLANT'!A364,3),'Master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148193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148.193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Data'!$A$2:$B$8,MATCH(WEEKDAY('MM PLANT'!A365,3),'Master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148193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148.193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Data'!$A$2:$B$8,MATCH(WEEKDAY('MM PLANT'!A366,3),'Master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148193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148.193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Data'!$A$2:$B$8,MATCH(WEEKDAY('MM PLANT'!A367,3),'Master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148193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148.193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Data'!$A$2:$B$8,MATCH(WEEKDAY('MM PLANT'!A368,3),'Master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148193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148.193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Data'!$A$2:$B$8,MATCH(WEEKDAY('MM PLANT'!A369,3),'Master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148193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148.193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Data'!$A$2:$B$8,MATCH(WEEKDAY('MM PLANT'!A370,3),'Master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148193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148.193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Data'!$A$2:$B$8,MATCH(WEEKDAY('MM PLANT'!A371,3),'Master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148193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148.193</v>
      </c>
    </row>
    <row r="372" customFormat="false" ht="12.75" hidden="false" customHeight="false" outlineLevel="0" collapsed="false">
      <c r="D372" s="112"/>
      <c r="E372" s="112"/>
      <c r="F372" s="112"/>
      <c r="G372" s="112"/>
    </row>
    <row r="373" customFormat="false" ht="12.75" hidden="false" customHeight="false" outlineLevel="0" collapsed="false">
      <c r="D373" s="112"/>
      <c r="E373" s="112"/>
      <c r="F373" s="112"/>
      <c r="G373" s="112"/>
    </row>
    <row r="374" customFormat="false" ht="12.75" hidden="false" customHeight="false" outlineLevel="0" collapsed="false">
      <c r="D374" s="112"/>
      <c r="E374" s="112"/>
      <c r="F374" s="112"/>
      <c r="G374" s="112"/>
    </row>
    <row r="375" customFormat="false" ht="12.75" hidden="false" customHeight="false" outlineLevel="0" collapsed="false">
      <c r="D375" s="112"/>
      <c r="E375" s="112"/>
      <c r="F375" s="112"/>
      <c r="G375" s="112"/>
    </row>
    <row r="376" customFormat="false" ht="12.75" hidden="false" customHeight="false" outlineLevel="0" collapsed="false">
      <c r="D376" s="112"/>
      <c r="E376" s="112"/>
      <c r="F376" s="112"/>
      <c r="G376" s="112"/>
    </row>
    <row r="377" customFormat="false" ht="12.75" hidden="false" customHeight="false" outlineLevel="0" collapsed="false">
      <c r="D377" s="112"/>
      <c r="E377" s="112"/>
      <c r="F377" s="112"/>
      <c r="G377" s="112"/>
    </row>
    <row r="378" customFormat="false" ht="12.75" hidden="false" customHeight="false" outlineLevel="0" collapsed="false">
      <c r="D378" s="112"/>
      <c r="E378" s="112"/>
      <c r="F378" s="112"/>
      <c r="G378" s="112"/>
    </row>
    <row r="379" customFormat="false" ht="12.75" hidden="false" customHeight="false" outlineLevel="0" collapsed="false">
      <c r="D379" s="112"/>
      <c r="E379" s="112"/>
      <c r="F379" s="112"/>
      <c r="G379" s="112"/>
    </row>
    <row r="380" customFormat="false" ht="12.75" hidden="false" customHeight="false" outlineLevel="0" collapsed="false">
      <c r="D380" s="112"/>
      <c r="E380" s="112"/>
      <c r="F380" s="112"/>
      <c r="G380" s="112"/>
    </row>
    <row r="381" customFormat="false" ht="12.75" hidden="false" customHeight="false" outlineLevel="0" collapsed="false">
      <c r="D381" s="112"/>
      <c r="E381" s="112"/>
      <c r="F381" s="112"/>
      <c r="G381" s="112"/>
    </row>
    <row r="382" customFormat="false" ht="12.75" hidden="false" customHeight="false" outlineLevel="0" collapsed="false">
      <c r="D382" s="112"/>
      <c r="E382" s="112"/>
      <c r="F382" s="112"/>
      <c r="G382" s="112"/>
    </row>
    <row r="383" customFormat="false" ht="12.75" hidden="false" customHeight="false" outlineLevel="0" collapsed="false">
      <c r="D383" s="112"/>
      <c r="E383" s="112"/>
      <c r="F383" s="112"/>
      <c r="G383" s="112"/>
    </row>
    <row r="384" customFormat="false" ht="12.75" hidden="false" customHeight="false" outlineLevel="0" collapsed="false">
      <c r="D384" s="112"/>
      <c r="E384" s="112"/>
      <c r="F384" s="112"/>
      <c r="G384" s="112"/>
    </row>
    <row r="385" customFormat="false" ht="12.75" hidden="false" customHeight="false" outlineLevel="0" collapsed="false">
      <c r="D385" s="112"/>
      <c r="E385" s="112"/>
      <c r="F385" s="112"/>
      <c r="G385" s="112"/>
    </row>
    <row r="386" customFormat="false" ht="12.75" hidden="false" customHeight="false" outlineLevel="0" collapsed="false">
      <c r="D386" s="112"/>
      <c r="E386" s="112"/>
      <c r="F386" s="112"/>
      <c r="G386" s="112"/>
    </row>
    <row r="387" customFormat="false" ht="12.75" hidden="false" customHeight="false" outlineLevel="0" collapsed="false">
      <c r="D387" s="112"/>
      <c r="E387" s="112"/>
      <c r="F387" s="112"/>
      <c r="G387" s="112"/>
    </row>
    <row r="388" customFormat="false" ht="12.75" hidden="false" customHeight="false" outlineLevel="0" collapsed="false">
      <c r="D388" s="112"/>
      <c r="E388" s="112"/>
      <c r="F388" s="112"/>
      <c r="G388" s="112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-1078625</v>
      </c>
      <c r="P3" s="112" t="n">
        <v>1000000</v>
      </c>
      <c r="Q3" s="112"/>
      <c r="R3" s="112" t="n">
        <v>1000</v>
      </c>
      <c r="S3" s="109"/>
      <c r="T3" s="118" t="n">
        <f aca="false">SUM(T6:T371)</f>
        <v>-1078.625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Data'!$A$2:$B$8,MATCH(WEEKDAY('BRA Power'!A6,3),'Master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Data'!$A$2:$B$8,MATCH(WEEKDAY('BRA Power'!A7,3),'Master Data'!$A$2:$A$8,0),2)</f>
        <v>T</v>
      </c>
      <c r="D7" s="112" t="n">
        <v>127256</v>
      </c>
      <c r="E7" s="112" t="n">
        <v>0</v>
      </c>
      <c r="F7" s="112" t="n">
        <v>0</v>
      </c>
      <c r="G7" s="112" t="n">
        <v>2827</v>
      </c>
      <c r="I7" s="112" t="n">
        <f aca="false">IF(MONTH($A7)=MONTH($A6),IF(G7=0,I6,G7),0)</f>
        <v>2827</v>
      </c>
      <c r="J7" s="112" t="n">
        <f aca="false">IF(MONTH($A7)=MONTH($A6),SUM(I7-I6),I7)</f>
        <v>2827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2827</v>
      </c>
      <c r="N7" s="112" t="n">
        <f aca="false">SUM(J$6:J7)</f>
        <v>2827</v>
      </c>
      <c r="P7" s="112" t="n">
        <f aca="false">D7/P$3</f>
        <v>0.127256</v>
      </c>
      <c r="Q7" s="112" t="n">
        <f aca="false">E7/P$3</f>
        <v>0</v>
      </c>
      <c r="R7" s="112" t="n">
        <f aca="false">F7/R$3</f>
        <v>0</v>
      </c>
      <c r="S7" s="114" t="n">
        <f aca="false">J7/$R$3</f>
        <v>2.827</v>
      </c>
      <c r="T7" s="114" t="n">
        <f aca="false">L7/$R$3</f>
        <v>0</v>
      </c>
      <c r="U7" s="114" t="n">
        <f aca="false">I7/$R$3</f>
        <v>2.827</v>
      </c>
      <c r="V7" s="114" t="n">
        <f aca="false">M7/$R$3</f>
        <v>2.827</v>
      </c>
      <c r="W7" s="114" t="n">
        <f aca="false">N7/$R$3</f>
        <v>2.827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Data'!$A$2:$B$8,MATCH(WEEKDAY('BRA Power'!A8,3),'Master Data'!$A$2:$A$8,0),2)</f>
        <v>W</v>
      </c>
      <c r="D8" s="112" t="n">
        <v>127318</v>
      </c>
      <c r="E8" s="112" t="n">
        <v>0</v>
      </c>
      <c r="F8" s="112" t="n">
        <v>0</v>
      </c>
      <c r="G8" s="112" t="n">
        <v>4374</v>
      </c>
      <c r="I8" s="112" t="n">
        <f aca="false">IF(MONTH($A8)=MONTH($A7),IF(G8=0,I7,G8),0)</f>
        <v>4374</v>
      </c>
      <c r="J8" s="112" t="n">
        <f aca="false">IF(MONTH($A8)=MONTH($A7),SUM(I8-I7),I8)</f>
        <v>1547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4374</v>
      </c>
      <c r="N8" s="112" t="n">
        <f aca="false">SUM(J$6:J8)</f>
        <v>4374</v>
      </c>
      <c r="P8" s="112" t="n">
        <f aca="false">D8/P$3</f>
        <v>0.127318</v>
      </c>
      <c r="Q8" s="112" t="n">
        <f aca="false">E8/P$3</f>
        <v>0</v>
      </c>
      <c r="R8" s="112" t="n">
        <f aca="false">F8/R$3</f>
        <v>0</v>
      </c>
      <c r="S8" s="114" t="n">
        <f aca="false">J8/$R$3</f>
        <v>1.547</v>
      </c>
      <c r="T8" s="114" t="n">
        <f aca="false">L8/$R$3</f>
        <v>0</v>
      </c>
      <c r="U8" s="114" t="n">
        <f aca="false">I8/$R$3</f>
        <v>4.374</v>
      </c>
      <c r="V8" s="114" t="n">
        <f aca="false">M8/$R$3</f>
        <v>4.374</v>
      </c>
      <c r="W8" s="114" t="n">
        <f aca="false">N8/$R$3</f>
        <v>4.374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Data'!$A$2:$B$8,MATCH(WEEKDAY('BRA Power'!A9,3),'Master Data'!$A$2:$A$8,0),2)</f>
        <v>Th</v>
      </c>
      <c r="D9" s="112" t="n">
        <v>135012</v>
      </c>
      <c r="E9" s="112" t="n">
        <v>0</v>
      </c>
      <c r="F9" s="112" t="n">
        <v>0</v>
      </c>
      <c r="G9" s="112" t="n">
        <v>3325</v>
      </c>
      <c r="I9" s="112" t="n">
        <f aca="false">IF(MONTH($A9)=MONTH($A8),IF(G9=0,I8,G9),0)</f>
        <v>3325</v>
      </c>
      <c r="J9" s="112" t="n">
        <f aca="false">IF(MONTH($A9)=MONTH($A8),SUM(I9-I8),I9)</f>
        <v>-1049</v>
      </c>
      <c r="K9" s="112" t="n">
        <f aca="false">IF(WEEKDAY(A9,3)&gt;4,0,(IF(A9&lt;K$2,0,IF(A9&lt;=K$3,1,0))))</f>
        <v>0</v>
      </c>
      <c r="L9" s="112" t="n">
        <f aca="false">J9*K9</f>
        <v>-0</v>
      </c>
      <c r="M9" s="112" t="n">
        <f aca="false">SUM(J$6:J9)</f>
        <v>3325</v>
      </c>
      <c r="N9" s="112" t="n">
        <f aca="false">SUM(J$6:J9)</f>
        <v>3325</v>
      </c>
      <c r="P9" s="112" t="n">
        <f aca="false">D9/P$3</f>
        <v>0.135012</v>
      </c>
      <c r="Q9" s="112" t="n">
        <f aca="false">E9/P$3</f>
        <v>0</v>
      </c>
      <c r="R9" s="112" t="n">
        <f aca="false">F9/R$3</f>
        <v>0</v>
      </c>
      <c r="S9" s="114" t="n">
        <f aca="false">J9/$R$3</f>
        <v>-1.049</v>
      </c>
      <c r="T9" s="114" t="n">
        <f aca="false">L9/$R$3</f>
        <v>-0</v>
      </c>
      <c r="U9" s="114" t="n">
        <f aca="false">I9/$R$3</f>
        <v>3.325</v>
      </c>
      <c r="V9" s="114" t="n">
        <f aca="false">M9/$R$3</f>
        <v>3.325</v>
      </c>
      <c r="W9" s="114" t="n">
        <f aca="false">N9/$R$3</f>
        <v>3.325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Data'!$A$2:$B$8,MATCH(WEEKDAY('BRA Power'!A10,3),'Master Data'!$A$2:$A$8,0),2)</f>
        <v>F</v>
      </c>
      <c r="D10" s="112" t="n">
        <v>135073</v>
      </c>
      <c r="E10" s="112" t="n">
        <v>0</v>
      </c>
      <c r="F10" s="112" t="n">
        <v>0</v>
      </c>
      <c r="G10" s="112" t="n">
        <v>3807</v>
      </c>
      <c r="I10" s="112" t="n">
        <f aca="false">IF(MONTH($A10)=MONTH($A9),IF(G10=0,I9,G10),0)</f>
        <v>3807</v>
      </c>
      <c r="J10" s="112" t="n">
        <f aca="false">IF(MONTH($A10)=MONTH($A9),SUM(I10-I9),I10)</f>
        <v>482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3807</v>
      </c>
      <c r="N10" s="112" t="n">
        <f aca="false">SUM(J$6:J10)</f>
        <v>3807</v>
      </c>
      <c r="P10" s="112" t="n">
        <f aca="false">D10/P$3</f>
        <v>0.135073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0.482</v>
      </c>
      <c r="T10" s="114" t="n">
        <f aca="false">L10/$R$3</f>
        <v>0</v>
      </c>
      <c r="U10" s="114" t="n">
        <f aca="false">I10/$R$3</f>
        <v>3.807</v>
      </c>
      <c r="V10" s="114" t="n">
        <f aca="false">M10/$R$3</f>
        <v>3.807</v>
      </c>
      <c r="W10" s="114" t="n">
        <f aca="false">N10/$R$3</f>
        <v>3.807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Data'!$A$2:$B$8,MATCH(WEEKDAY('BRA Power'!A11,3),'Master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3807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3807</v>
      </c>
      <c r="N11" s="112" t="n">
        <f aca="false">SUM(J$6:J11)</f>
        <v>3807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3.807</v>
      </c>
      <c r="V11" s="114" t="n">
        <f aca="false">M11/$R$3</f>
        <v>3.807</v>
      </c>
      <c r="W11" s="114" t="n">
        <f aca="false">N11/$R$3</f>
        <v>3.807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Data'!$A$2:$B$8,MATCH(WEEKDAY('BRA Power'!A12,3),'Master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3807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3807</v>
      </c>
      <c r="N12" s="112" t="n">
        <f aca="false">SUM(J$6:J12)</f>
        <v>3807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3.807</v>
      </c>
      <c r="V12" s="114" t="n">
        <f aca="false">M12/$R$3</f>
        <v>3.807</v>
      </c>
      <c r="W12" s="114" t="n">
        <f aca="false">N12/$R$3</f>
        <v>3.807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Data'!$A$2:$B$8,MATCH(WEEKDAY('BRA Power'!A13,3),'Master Data'!$A$2:$A$8,0),2)</f>
        <v>M</v>
      </c>
      <c r="D13" s="112" t="n">
        <v>135258</v>
      </c>
      <c r="E13" s="112" t="n">
        <v>0</v>
      </c>
      <c r="F13" s="112" t="n">
        <v>0</v>
      </c>
      <c r="G13" s="112" t="n">
        <v>5254</v>
      </c>
      <c r="I13" s="112" t="n">
        <f aca="false">IF(MONTH($A13)=MONTH($A12),IF(G13=0,I12,G13),0)</f>
        <v>5254</v>
      </c>
      <c r="J13" s="112" t="n">
        <f aca="false">IF(MONTH($A13)=MONTH($A12),SUM(I13-I12),I13)</f>
        <v>1447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5254</v>
      </c>
      <c r="N13" s="112" t="n">
        <f aca="false">SUM(J$6:J13)</f>
        <v>5254</v>
      </c>
      <c r="P13" s="112" t="n">
        <f aca="false">D13/P$3</f>
        <v>0.135258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1.447</v>
      </c>
      <c r="T13" s="114" t="n">
        <f aca="false">L13/$R$3</f>
        <v>0</v>
      </c>
      <c r="U13" s="114" t="n">
        <f aca="false">I13/$R$3</f>
        <v>5.254</v>
      </c>
      <c r="V13" s="114" t="n">
        <f aca="false">M13/$R$3</f>
        <v>5.254</v>
      </c>
      <c r="W13" s="114" t="n">
        <f aca="false">N13/$R$3</f>
        <v>5.254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Data'!$A$2:$B$8,MATCH(WEEKDAY('BRA Power'!A14,3),'Master Data'!$A$2:$A$8,0),2)</f>
        <v>T</v>
      </c>
      <c r="D14" s="112" t="n">
        <v>135319</v>
      </c>
      <c r="E14" s="112" t="n">
        <v>0</v>
      </c>
      <c r="F14" s="112" t="n">
        <v>0</v>
      </c>
      <c r="G14" s="112" t="n">
        <v>5736</v>
      </c>
      <c r="I14" s="112" t="n">
        <f aca="false">IF(MONTH($A14)=MONTH($A13),IF(G14=0,I13,G14),0)</f>
        <v>5736</v>
      </c>
      <c r="J14" s="112" t="n">
        <f aca="false">IF(MONTH($A14)=MONTH($A13),SUM(I14-I13),I14)</f>
        <v>482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5736</v>
      </c>
      <c r="N14" s="112" t="n">
        <f aca="false">SUM(J$6:J14)</f>
        <v>5736</v>
      </c>
      <c r="P14" s="112" t="n">
        <f aca="false">D14/P$3</f>
        <v>0.135319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0.482</v>
      </c>
      <c r="T14" s="114" t="n">
        <f aca="false">L14/$R$3</f>
        <v>0</v>
      </c>
      <c r="U14" s="114" t="n">
        <f aca="false">I14/$R$3</f>
        <v>5.736</v>
      </c>
      <c r="V14" s="114" t="n">
        <f aca="false">M14/$R$3</f>
        <v>5.736</v>
      </c>
      <c r="W14" s="114" t="n">
        <f aca="false">N14/$R$3</f>
        <v>5.736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Data'!$A$2:$B$8,MATCH(WEEKDAY('BRA Power'!A15,3),'Master Data'!$A$2:$A$8,0),2)</f>
        <v>W</v>
      </c>
      <c r="D15" s="112" t="n">
        <v>135381</v>
      </c>
      <c r="E15" s="112" t="n">
        <v>0</v>
      </c>
      <c r="F15" s="112" t="n">
        <v>0</v>
      </c>
      <c r="G15" s="112" t="n">
        <v>6219</v>
      </c>
      <c r="I15" s="112" t="n">
        <f aca="false">IF(MONTH($A15)=MONTH($A14),IF(G15=0,I14,G15),0)</f>
        <v>6219</v>
      </c>
      <c r="J15" s="112" t="n">
        <f aca="false">IF(MONTH($A15)=MONTH($A14),SUM(I15-I14),I15)</f>
        <v>483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6219</v>
      </c>
      <c r="N15" s="112" t="n">
        <f aca="false">SUM(J$6:J15)</f>
        <v>6219</v>
      </c>
      <c r="P15" s="112" t="n">
        <f aca="false">D15/P$3</f>
        <v>0.135381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0.483</v>
      </c>
      <c r="T15" s="114" t="n">
        <f aca="false">L15/$R$3</f>
        <v>0</v>
      </c>
      <c r="U15" s="114" t="n">
        <f aca="false">I15/$R$3</f>
        <v>6.219</v>
      </c>
      <c r="V15" s="114" t="n">
        <f aca="false">M15/$R$3</f>
        <v>6.219</v>
      </c>
      <c r="W15" s="114" t="n">
        <f aca="false">N15/$R$3</f>
        <v>6.219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Data'!$A$2:$B$8,MATCH(WEEKDAY('BRA Power'!A16,3),'Master Data'!$A$2:$A$8,0),2)</f>
        <v>Th</v>
      </c>
      <c r="D16" s="112" t="n">
        <v>135443</v>
      </c>
      <c r="E16" s="112" t="n">
        <v>0</v>
      </c>
      <c r="F16" s="112" t="n">
        <v>0</v>
      </c>
      <c r="G16" s="112" t="n">
        <v>6702</v>
      </c>
      <c r="I16" s="112" t="n">
        <f aca="false">IF(MONTH($A16)=MONTH($A15),IF(G16=0,I15,G16),0)</f>
        <v>6702</v>
      </c>
      <c r="J16" s="112" t="n">
        <f aca="false">IF(MONTH($A16)=MONTH($A15),SUM(I16-I15),I16)</f>
        <v>483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6702</v>
      </c>
      <c r="N16" s="112" t="n">
        <f aca="false">SUM(J$6:J16)</f>
        <v>6702</v>
      </c>
      <c r="P16" s="112" t="n">
        <f aca="false">D16/P$3</f>
        <v>0.135443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0.483</v>
      </c>
      <c r="T16" s="114" t="n">
        <f aca="false">L16/$R$3</f>
        <v>0</v>
      </c>
      <c r="U16" s="114" t="n">
        <f aca="false">I16/$R$3</f>
        <v>6.702</v>
      </c>
      <c r="V16" s="114" t="n">
        <f aca="false">M16/$R$3</f>
        <v>6.702</v>
      </c>
      <c r="W16" s="114" t="n">
        <f aca="false">N16/$R$3</f>
        <v>6.702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Data'!$A$2:$B$8,MATCH(WEEKDAY('BRA Power'!A17,3),'Master Data'!$A$2:$A$8,0),2)</f>
        <v>F</v>
      </c>
      <c r="D17" s="112" t="n">
        <v>135504</v>
      </c>
      <c r="E17" s="112" t="n">
        <v>0</v>
      </c>
      <c r="F17" s="112" t="n">
        <v>0</v>
      </c>
      <c r="G17" s="112" t="n">
        <v>-32164</v>
      </c>
      <c r="I17" s="112" t="n">
        <f aca="false">IF(MONTH($A17)=MONTH($A16),IF(G17=0,I16,G17),0)</f>
        <v>-32164</v>
      </c>
      <c r="J17" s="112" t="n">
        <f aca="false">IF(MONTH($A17)=MONTH($A16),SUM(I17-I16),I17)</f>
        <v>-38866</v>
      </c>
      <c r="K17" s="112" t="n">
        <f aca="false">IF(WEEKDAY(A17,3)&gt;4,0,(IF(A17&lt;K$2,0,IF(A17&lt;=K$3,1,0))))</f>
        <v>0</v>
      </c>
      <c r="L17" s="112" t="n">
        <f aca="false">J17*K17</f>
        <v>-0</v>
      </c>
      <c r="M17" s="112" t="n">
        <f aca="false">SUM(J$6:J17)</f>
        <v>-32164</v>
      </c>
      <c r="N17" s="112" t="n">
        <f aca="false">SUM(J$6:J17)</f>
        <v>-32164</v>
      </c>
      <c r="P17" s="112" t="n">
        <f aca="false">D17/P$3</f>
        <v>0.135504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-38.866</v>
      </c>
      <c r="T17" s="114" t="n">
        <f aca="false">L17/$R$3</f>
        <v>-0</v>
      </c>
      <c r="U17" s="114" t="n">
        <f aca="false">I17/$R$3</f>
        <v>-32.164</v>
      </c>
      <c r="V17" s="114" t="n">
        <f aca="false">M17/$R$3</f>
        <v>-32.164</v>
      </c>
      <c r="W17" s="114" t="n">
        <f aca="false">N17/$R$3</f>
        <v>-32.164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Data'!$A$2:$B$8,MATCH(WEEKDAY('BRA Power'!A18,3),'Master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-32164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-32164</v>
      </c>
      <c r="N18" s="112" t="n">
        <f aca="false">SUM(J$6:J18)</f>
        <v>-32164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-32.164</v>
      </c>
      <c r="V18" s="114" t="n">
        <f aca="false">M18/$R$3</f>
        <v>-32.164</v>
      </c>
      <c r="W18" s="114" t="n">
        <f aca="false">N18/$R$3</f>
        <v>-32.164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Data'!$A$2:$B$8,MATCH(WEEKDAY('BRA Power'!A19,3),'Master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-32164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-32164</v>
      </c>
      <c r="N19" s="112" t="n">
        <f aca="false">SUM(J$6:J19)</f>
        <v>-32164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-32.164</v>
      </c>
      <c r="V19" s="114" t="n">
        <f aca="false">M19/$R$3</f>
        <v>-32.164</v>
      </c>
      <c r="W19" s="114" t="n">
        <f aca="false">N19/$R$3</f>
        <v>-32.164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Data'!$A$2:$B$8,MATCH(WEEKDAY('BRA Power'!A20,3),'Master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-32164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-32164</v>
      </c>
      <c r="N20" s="112" t="n">
        <f aca="false">SUM(J$6:J20)</f>
        <v>-32164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-32.164</v>
      </c>
      <c r="V20" s="114" t="n">
        <f aca="false">M20/$R$3</f>
        <v>-32.164</v>
      </c>
      <c r="W20" s="114" t="n">
        <f aca="false">N20/$R$3</f>
        <v>-32.164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Data'!$A$2:$B$8,MATCH(WEEKDAY('BRA Power'!A21,3),'Master Data'!$A$2:$A$8,0),2)</f>
        <v>T</v>
      </c>
      <c r="D21" s="112" t="n">
        <v>135682</v>
      </c>
      <c r="E21" s="112" t="n">
        <v>0</v>
      </c>
      <c r="F21" s="112" t="n">
        <v>0</v>
      </c>
      <c r="G21" s="112" t="n">
        <v>-152538</v>
      </c>
      <c r="I21" s="112" t="n">
        <f aca="false">IF(MONTH($A21)=MONTH($A20),IF(G21=0,I20,G21),0)</f>
        <v>-152538</v>
      </c>
      <c r="J21" s="112" t="n">
        <f aca="false">IF(MONTH($A21)=MONTH($A20),SUM(I21-I20),I21)</f>
        <v>-120374</v>
      </c>
      <c r="K21" s="112" t="n">
        <f aca="false">IF(WEEKDAY(A21,3)&gt;4,0,(IF(A21&lt;K$2,0,IF(A21&lt;=K$3,1,0))))</f>
        <v>0</v>
      </c>
      <c r="L21" s="112" t="n">
        <f aca="false">J21*K21</f>
        <v>-0</v>
      </c>
      <c r="M21" s="112" t="n">
        <f aca="false">SUM(J$6:J21)</f>
        <v>-152538</v>
      </c>
      <c r="N21" s="112" t="n">
        <f aca="false">SUM(J$6:J21)</f>
        <v>-152538</v>
      </c>
      <c r="P21" s="112" t="n">
        <f aca="false">D21/P$3</f>
        <v>0.135682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-120.374</v>
      </c>
      <c r="T21" s="114" t="n">
        <f aca="false">L21/$R$3</f>
        <v>-0</v>
      </c>
      <c r="U21" s="114" t="n">
        <f aca="false">I21/$R$3</f>
        <v>-152.538</v>
      </c>
      <c r="V21" s="114" t="n">
        <f aca="false">M21/$R$3</f>
        <v>-152.538</v>
      </c>
      <c r="W21" s="114" t="n">
        <f aca="false">N21/$R$3</f>
        <v>-152.538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Data'!$A$2:$B$8,MATCH(WEEKDAY('BRA Power'!A22,3),'Master Data'!$A$2:$A$8,0),2)</f>
        <v>W</v>
      </c>
      <c r="D22" s="112" t="n">
        <v>135813</v>
      </c>
      <c r="E22" s="112" t="n">
        <v>0</v>
      </c>
      <c r="F22" s="112" t="n">
        <v>0</v>
      </c>
      <c r="G22" s="112" t="n">
        <v>-152126</v>
      </c>
      <c r="I22" s="112" t="n">
        <f aca="false">IF(MONTH($A22)=MONTH($A21),IF(G22=0,I21,G22),0)</f>
        <v>-152126</v>
      </c>
      <c r="J22" s="112" t="n">
        <f aca="false">IF(MONTH($A22)=MONTH($A21),SUM(I22-I21),I22)</f>
        <v>412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-152126</v>
      </c>
      <c r="N22" s="112" t="n">
        <f aca="false">SUM(J$6:J22)</f>
        <v>-152126</v>
      </c>
      <c r="P22" s="112" t="n">
        <f aca="false">D22/P$3</f>
        <v>0.135813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0.412</v>
      </c>
      <c r="T22" s="114" t="n">
        <f aca="false">L22/$R$3</f>
        <v>0</v>
      </c>
      <c r="U22" s="114" t="n">
        <f aca="false">I22/$R$3</f>
        <v>-152.126</v>
      </c>
      <c r="V22" s="114" t="n">
        <f aca="false">M22/$R$3</f>
        <v>-152.126</v>
      </c>
      <c r="W22" s="114" t="n">
        <f aca="false">N22/$R$3</f>
        <v>-152.126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Data'!$A$2:$B$8,MATCH(WEEKDAY('BRA Power'!A23,3),'Master Data'!$A$2:$A$8,0),2)</f>
        <v>Th</v>
      </c>
      <c r="D23" s="112" t="n">
        <v>135875</v>
      </c>
      <c r="E23" s="112" t="n">
        <v>0</v>
      </c>
      <c r="F23" s="112" t="n">
        <v>0</v>
      </c>
      <c r="G23" s="112" t="n">
        <v>-151712</v>
      </c>
      <c r="I23" s="112" t="n">
        <f aca="false">IF(MONTH($A23)=MONTH($A22),IF(G23=0,I22,G23),0)</f>
        <v>-151712</v>
      </c>
      <c r="J23" s="112" t="n">
        <f aca="false">IF(MONTH($A23)=MONTH($A22),SUM(I23-I22),I23)</f>
        <v>414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-151712</v>
      </c>
      <c r="N23" s="112" t="n">
        <f aca="false">SUM(J$6:J23)</f>
        <v>-151712</v>
      </c>
      <c r="P23" s="112" t="n">
        <f aca="false">D23/P$3</f>
        <v>0.135875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0.414</v>
      </c>
      <c r="T23" s="114" t="n">
        <f aca="false">L23/$R$3</f>
        <v>0</v>
      </c>
      <c r="U23" s="114" t="n">
        <f aca="false">I23/$R$3</f>
        <v>-151.712</v>
      </c>
      <c r="V23" s="114" t="n">
        <f aca="false">M23/$R$3</f>
        <v>-151.712</v>
      </c>
      <c r="W23" s="114" t="n">
        <f aca="false">N23/$R$3</f>
        <v>-151.712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Data'!$A$2:$B$8,MATCH(WEEKDAY('BRA Power'!A24,3),'Master Data'!$A$2:$A$8,0),2)</f>
        <v>F</v>
      </c>
      <c r="D24" s="112" t="n">
        <v>135937</v>
      </c>
      <c r="E24" s="112" t="n">
        <v>0</v>
      </c>
      <c r="F24" s="112" t="n">
        <v>0</v>
      </c>
      <c r="G24" s="112" t="n">
        <v>-151299</v>
      </c>
      <c r="I24" s="112" t="n">
        <f aca="false">IF(MONTH($A24)=MONTH($A23),IF(G24=0,I23,G24),0)</f>
        <v>-151299</v>
      </c>
      <c r="J24" s="112" t="n">
        <f aca="false">IF(MONTH($A24)=MONTH($A23),SUM(I24-I23),I24)</f>
        <v>413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-151299</v>
      </c>
      <c r="N24" s="112" t="n">
        <f aca="false">SUM(J$6:J24)</f>
        <v>-151299</v>
      </c>
      <c r="P24" s="112" t="n">
        <f aca="false">D24/P$3</f>
        <v>0.135937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0.413</v>
      </c>
      <c r="T24" s="114" t="n">
        <f aca="false">L24/$R$3</f>
        <v>0</v>
      </c>
      <c r="U24" s="114" t="n">
        <f aca="false">I24/$R$3</f>
        <v>-151.299</v>
      </c>
      <c r="V24" s="114" t="n">
        <f aca="false">M24/$R$3</f>
        <v>-151.299</v>
      </c>
      <c r="W24" s="114" t="n">
        <f aca="false">N24/$R$3</f>
        <v>-151.299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Data'!$A$2:$B$8,MATCH(WEEKDAY('BRA Power'!A25,3),'Master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-151299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-151299</v>
      </c>
      <c r="N25" s="112" t="n">
        <f aca="false">SUM(J$6:J25)</f>
        <v>-151299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-151.299</v>
      </c>
      <c r="V25" s="114" t="n">
        <f aca="false">M25/$R$3</f>
        <v>-151.299</v>
      </c>
      <c r="W25" s="114" t="n">
        <f aca="false">N25/$R$3</f>
        <v>-151.299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Data'!$A$2:$B$8,MATCH(WEEKDAY('BRA Power'!A26,3),'Master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-151299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-151299</v>
      </c>
      <c r="N26" s="112" t="n">
        <f aca="false">SUM(J$6:J26)</f>
        <v>-151299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-151.299</v>
      </c>
      <c r="V26" s="114" t="n">
        <f aca="false">M26/$R$3</f>
        <v>-151.299</v>
      </c>
      <c r="W26" s="114" t="n">
        <f aca="false">N26/$R$3</f>
        <v>-151.299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Data'!$A$2:$B$8,MATCH(WEEKDAY('BRA Power'!A27,3),'Master Data'!$A$2:$A$8,0),2)</f>
        <v>M</v>
      </c>
      <c r="D27" s="112" t="n">
        <v>136123</v>
      </c>
      <c r="E27" s="112" t="n">
        <v>0</v>
      </c>
      <c r="F27" s="112" t="n">
        <v>0</v>
      </c>
      <c r="G27" s="112" t="n">
        <v>-150058</v>
      </c>
      <c r="I27" s="112" t="n">
        <f aca="false">IF(MONTH($A27)=MONTH($A26),IF(G27=0,I26,G27),0)</f>
        <v>-150058</v>
      </c>
      <c r="J27" s="112" t="n">
        <f aca="false">IF(MONTH($A27)=MONTH($A26),SUM(I27-I26),I27)</f>
        <v>1241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-150058</v>
      </c>
      <c r="N27" s="112" t="n">
        <f aca="false">SUM(J$6:J27)</f>
        <v>-150058</v>
      </c>
      <c r="P27" s="112" t="n">
        <f aca="false">D27/P$3</f>
        <v>0.136123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1.241</v>
      </c>
      <c r="T27" s="114" t="n">
        <f aca="false">L27/$R$3</f>
        <v>0</v>
      </c>
      <c r="U27" s="114" t="n">
        <f aca="false">I27/$R$3</f>
        <v>-150.058</v>
      </c>
      <c r="V27" s="114" t="n">
        <f aca="false">M27/$R$3</f>
        <v>-150.058</v>
      </c>
      <c r="W27" s="114" t="n">
        <f aca="false">N27/$R$3</f>
        <v>-150.058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Data'!$A$2:$B$8,MATCH(WEEKDAY('BRA Power'!A28,3),'Master Data'!$A$2:$A$8,0),2)</f>
        <v>T</v>
      </c>
      <c r="D28" s="112" t="n">
        <v>136185</v>
      </c>
      <c r="E28" s="112" t="n">
        <v>0</v>
      </c>
      <c r="F28" s="112" t="n">
        <v>0</v>
      </c>
      <c r="G28" s="112" t="n">
        <v>-149644</v>
      </c>
      <c r="I28" s="112" t="n">
        <f aca="false">IF(MONTH($A28)=MONTH($A27),IF(G28=0,I27,G28),0)</f>
        <v>-149644</v>
      </c>
      <c r="J28" s="112" t="n">
        <f aca="false">IF(MONTH($A28)=MONTH($A27),SUM(I28-I27),I28)</f>
        <v>414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-149644</v>
      </c>
      <c r="N28" s="112" t="n">
        <f aca="false">SUM(J$6:J28)</f>
        <v>-149644</v>
      </c>
      <c r="P28" s="112" t="n">
        <f aca="false">D28/P$3</f>
        <v>0.136185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0.414</v>
      </c>
      <c r="T28" s="114" t="n">
        <f aca="false">L28/$R$3</f>
        <v>0</v>
      </c>
      <c r="U28" s="114" t="n">
        <f aca="false">I28/$R$3</f>
        <v>-149.644</v>
      </c>
      <c r="V28" s="114" t="n">
        <f aca="false">M28/$R$3</f>
        <v>-149.644</v>
      </c>
      <c r="W28" s="114" t="n">
        <f aca="false">N28/$R$3</f>
        <v>-149.644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Data'!$A$2:$B$8,MATCH(WEEKDAY('BRA Power'!A29,3),'Master Data'!$A$2:$A$8,0),2)</f>
        <v>W</v>
      </c>
      <c r="D29" s="112" t="n">
        <v>136247</v>
      </c>
      <c r="E29" s="112" t="n">
        <v>0</v>
      </c>
      <c r="F29" s="112" t="n">
        <v>0</v>
      </c>
      <c r="G29" s="112" t="n">
        <v>-149230</v>
      </c>
      <c r="I29" s="112" t="n">
        <f aca="false">IF(MONTH($A29)=MONTH($A28),IF(G29=0,I28,G29),0)</f>
        <v>-149230</v>
      </c>
      <c r="J29" s="112" t="n">
        <f aca="false">IF(MONTH($A29)=MONTH($A28),SUM(I29-I28),I29)</f>
        <v>414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-149230</v>
      </c>
      <c r="N29" s="112" t="n">
        <f aca="false">SUM(J$6:J29)</f>
        <v>-149230</v>
      </c>
      <c r="P29" s="112" t="n">
        <f aca="false">D29/P$3</f>
        <v>0.136247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0.414</v>
      </c>
      <c r="T29" s="114" t="n">
        <f aca="false">L29/$R$3</f>
        <v>0</v>
      </c>
      <c r="U29" s="114" t="n">
        <f aca="false">I29/$R$3</f>
        <v>-149.23</v>
      </c>
      <c r="V29" s="114" t="n">
        <f aca="false">M29/$R$3</f>
        <v>-149.23</v>
      </c>
      <c r="W29" s="114" t="n">
        <f aca="false">N29/$R$3</f>
        <v>-149.23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Data'!$A$2:$B$8,MATCH(WEEKDAY('BRA Power'!A30,3),'Master Data'!$A$2:$A$8,0),2)</f>
        <v>Th</v>
      </c>
      <c r="D30" s="112" t="n">
        <v>136309</v>
      </c>
      <c r="E30" s="112" t="n">
        <v>0</v>
      </c>
      <c r="F30" s="112" t="n">
        <v>0</v>
      </c>
      <c r="G30" s="112" t="n">
        <v>-148816</v>
      </c>
      <c r="I30" s="112" t="n">
        <f aca="false">IF(MONTH($A30)=MONTH($A29),IF(G30=0,I29,G30),0)</f>
        <v>-148816</v>
      </c>
      <c r="J30" s="112" t="n">
        <f aca="false">IF(MONTH($A30)=MONTH($A29),SUM(I30-I29),I30)</f>
        <v>414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-148816</v>
      </c>
      <c r="N30" s="112" t="n">
        <f aca="false">SUM(J$6:J30)</f>
        <v>-148816</v>
      </c>
      <c r="P30" s="112" t="n">
        <f aca="false">D30/P$3</f>
        <v>0.136309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0.414</v>
      </c>
      <c r="T30" s="114" t="n">
        <f aca="false">L30/$R$3</f>
        <v>0</v>
      </c>
      <c r="U30" s="114" t="n">
        <f aca="false">I30/$R$3</f>
        <v>-148.816</v>
      </c>
      <c r="V30" s="114" t="n">
        <f aca="false">M30/$R$3</f>
        <v>-148.816</v>
      </c>
      <c r="W30" s="114" t="n">
        <f aca="false">N30/$R$3</f>
        <v>-148.816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Data'!$A$2:$B$8,MATCH(WEEKDAY('BRA Power'!A31,3),'Master Data'!$A$2:$A$8,0),2)</f>
        <v>F</v>
      </c>
      <c r="D31" s="112" t="n">
        <v>136371</v>
      </c>
      <c r="E31" s="112" t="n">
        <v>0</v>
      </c>
      <c r="F31" s="112" t="n">
        <v>0</v>
      </c>
      <c r="G31" s="112" t="n">
        <v>-148402</v>
      </c>
      <c r="I31" s="112" t="n">
        <f aca="false">IF(MONTH($A31)=MONTH($A30),IF(G31=0,I30,G31),0)</f>
        <v>-148402</v>
      </c>
      <c r="J31" s="112" t="n">
        <f aca="false">IF(MONTH($A31)=MONTH($A30),SUM(I31-I30),I31)</f>
        <v>414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-148402</v>
      </c>
      <c r="N31" s="112" t="n">
        <f aca="false">SUM(J$6:J31)</f>
        <v>-148402</v>
      </c>
      <c r="P31" s="112" t="n">
        <f aca="false">D31/P$3</f>
        <v>0.136371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0.414</v>
      </c>
      <c r="T31" s="114" t="n">
        <f aca="false">L31/$R$3</f>
        <v>0</v>
      </c>
      <c r="U31" s="114" t="n">
        <f aca="false">I31/$R$3</f>
        <v>-148.402</v>
      </c>
      <c r="V31" s="114" t="n">
        <f aca="false">M31/$R$3</f>
        <v>-148.402</v>
      </c>
      <c r="W31" s="114" t="n">
        <f aca="false">N31/$R$3</f>
        <v>-148.402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Data'!$A$2:$B$8,MATCH(WEEKDAY('BRA Power'!A32,3),'Master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-148402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-148402</v>
      </c>
      <c r="N32" s="112" t="n">
        <f aca="false">SUM(J$6:J32)</f>
        <v>-148402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-148.402</v>
      </c>
      <c r="V32" s="114" t="n">
        <f aca="false">M32/$R$3</f>
        <v>-148.402</v>
      </c>
      <c r="W32" s="114" t="n">
        <f aca="false">N32/$R$3</f>
        <v>-148.402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Data'!$A$2:$B$8,MATCH(WEEKDAY('BRA Power'!A33,3),'Master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-148402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-148402</v>
      </c>
      <c r="N33" s="112" t="n">
        <f aca="false">SUM(J$6:J33)</f>
        <v>-148402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-148.402</v>
      </c>
      <c r="V33" s="114" t="n">
        <f aca="false">M33/$R$3</f>
        <v>-148.402</v>
      </c>
      <c r="W33" s="114" t="n">
        <f aca="false">N33/$R$3</f>
        <v>-148.402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Data'!$A$2:$B$8,MATCH(WEEKDAY('BRA Power'!A34,3),'Master Data'!$A$2:$A$8,0),2)</f>
        <v>M</v>
      </c>
      <c r="D34" s="112" t="n">
        <v>136557</v>
      </c>
      <c r="E34" s="112" t="n">
        <v>0</v>
      </c>
      <c r="F34" s="112" t="n">
        <v>0</v>
      </c>
      <c r="G34" s="112" t="n">
        <v>-147158</v>
      </c>
      <c r="I34" s="112" t="n">
        <f aca="false">IF(MONTH($A34)=MONTH($A33),IF(G34=0,I33,G34),0)</f>
        <v>-147158</v>
      </c>
      <c r="J34" s="112" t="n">
        <f aca="false">IF(MONTH($A34)=MONTH($A33),SUM(I34-I33),I34)</f>
        <v>1244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-147158</v>
      </c>
      <c r="N34" s="112" t="n">
        <f aca="false">SUM(J$6:J34)</f>
        <v>-147158</v>
      </c>
      <c r="P34" s="112" t="n">
        <f aca="false">D34/P$3</f>
        <v>0.136557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1.244</v>
      </c>
      <c r="T34" s="114" t="n">
        <f aca="false">L34/$R$3</f>
        <v>0</v>
      </c>
      <c r="U34" s="114" t="n">
        <f aca="false">I34/$R$3</f>
        <v>-147.158</v>
      </c>
      <c r="V34" s="114" t="n">
        <f aca="false">M34/$R$3</f>
        <v>-147.158</v>
      </c>
      <c r="W34" s="114" t="n">
        <f aca="false">N34/$R$3</f>
        <v>-147.158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Data'!$A$2:$B$8,MATCH(WEEKDAY('BRA Power'!A35,3),'Master Data'!$A$2:$A$8,0),2)</f>
        <v>T</v>
      </c>
      <c r="D35" s="112" t="n">
        <v>136619</v>
      </c>
      <c r="E35" s="112" t="n">
        <v>0</v>
      </c>
      <c r="F35" s="112" t="n">
        <v>0</v>
      </c>
      <c r="G35" s="112" t="n">
        <v>-146742</v>
      </c>
      <c r="I35" s="112" t="n">
        <f aca="false">IF(MONTH($A35)=MONTH($A34),IF(G35=0,I34,G35),0)</f>
        <v>-146742</v>
      </c>
      <c r="J35" s="112" t="n">
        <f aca="false">IF(MONTH($A35)=MONTH($A34),SUM(I35-I34),I35)</f>
        <v>416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-146742</v>
      </c>
      <c r="N35" s="112" t="n">
        <f aca="false">SUM(J$6:J35)</f>
        <v>-146742</v>
      </c>
      <c r="P35" s="112" t="n">
        <f aca="false">D35/P$3</f>
        <v>0.136619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0.416</v>
      </c>
      <c r="T35" s="114" t="n">
        <f aca="false">L35/$R$3</f>
        <v>0</v>
      </c>
      <c r="U35" s="114" t="n">
        <f aca="false">I35/$R$3</f>
        <v>-146.742</v>
      </c>
      <c r="V35" s="114" t="n">
        <f aca="false">M35/$R$3</f>
        <v>-146.742</v>
      </c>
      <c r="W35" s="114" t="n">
        <f aca="false">N35/$R$3</f>
        <v>-146.742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Data'!$A$2:$B$8,MATCH(WEEKDAY('BRA Power'!A36,3),'Master Data'!$A$2:$A$8,0),2)</f>
        <v>W</v>
      </c>
      <c r="D36" s="112" t="n">
        <v>136682</v>
      </c>
      <c r="E36" s="112" t="n">
        <v>0</v>
      </c>
      <c r="F36" s="112" t="n">
        <v>0</v>
      </c>
      <c r="G36" s="112" t="n">
        <v>-146327</v>
      </c>
      <c r="I36" s="112" t="n">
        <f aca="false">IF(MONTH($A36)=MONTH($A35),IF(G36=0,I35,G36),0)</f>
        <v>-146327</v>
      </c>
      <c r="J36" s="112" t="n">
        <f aca="false">IF(MONTH($A36)=MONTH($A35),SUM(I36-I35),I36)</f>
        <v>415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-146327</v>
      </c>
      <c r="N36" s="112" t="n">
        <f aca="false">SUM(J$6:J36)</f>
        <v>-146327</v>
      </c>
      <c r="P36" s="112" t="n">
        <f aca="false">D36/P$3</f>
        <v>0.136682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0.415</v>
      </c>
      <c r="T36" s="114" t="n">
        <f aca="false">L36/$R$3</f>
        <v>0</v>
      </c>
      <c r="U36" s="114" t="n">
        <f aca="false">I36/$R$3</f>
        <v>-146.327</v>
      </c>
      <c r="V36" s="114" t="n">
        <f aca="false">M36/$R$3</f>
        <v>-146.327</v>
      </c>
      <c r="W36" s="114" t="n">
        <f aca="false">N36/$R$3</f>
        <v>-146.327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Data'!$A$2:$B$8,MATCH(WEEKDAY('BRA Power'!A37,3),'Master Data'!$A$2:$A$8,0),2)</f>
        <v>Th</v>
      </c>
      <c r="D37" s="112" t="n">
        <v>147864</v>
      </c>
      <c r="E37" s="112" t="n">
        <v>0</v>
      </c>
      <c r="F37" s="112" t="n">
        <v>0</v>
      </c>
      <c r="G37" s="112" t="n">
        <v>-53037</v>
      </c>
      <c r="I37" s="112" t="n">
        <f aca="false">IF(MONTH($A37)=MONTH($A36),IF(G37=0,I36,G37),G37)</f>
        <v>-53037</v>
      </c>
      <c r="J37" s="112" t="n">
        <f aca="false">IF(MONTH($A37)=MONTH($A36),SUM(I37-I36),I37)</f>
        <v>-53037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-199364</v>
      </c>
      <c r="N37" s="112" t="n">
        <f aca="false">SUM(J$6:J37)</f>
        <v>-199364</v>
      </c>
      <c r="P37" s="112" t="n">
        <f aca="false">D37/P$3</f>
        <v>0.147864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-53.037</v>
      </c>
      <c r="T37" s="114" t="n">
        <f aca="false">L37/$R$3</f>
        <v>-0</v>
      </c>
      <c r="U37" s="114" t="n">
        <f aca="false">I37/$R$3</f>
        <v>-53.037</v>
      </c>
      <c r="V37" s="114" t="n">
        <f aca="false">M37/$R$3</f>
        <v>-199.364</v>
      </c>
      <c r="W37" s="114" t="n">
        <f aca="false">N37/$R$3</f>
        <v>-199.364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Data'!$A$2:$B$8,MATCH(WEEKDAY('BRA Power'!A38,3),'Master Data'!$A$2:$A$8,0),2)</f>
        <v>F</v>
      </c>
      <c r="D38" s="112" t="n">
        <v>147925</v>
      </c>
      <c r="E38" s="112" t="n">
        <v>0</v>
      </c>
      <c r="F38" s="112" t="n">
        <v>0</v>
      </c>
      <c r="G38" s="112" t="n">
        <v>-53037</v>
      </c>
      <c r="I38" s="112" t="n">
        <f aca="false">IF(MONTH($A38)=MONTH($A37),IF(G38=0,I37,G38),G38)</f>
        <v>-53037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-199364</v>
      </c>
      <c r="N38" s="112" t="n">
        <f aca="false">SUM(J$6:J38)</f>
        <v>-199364</v>
      </c>
      <c r="P38" s="112" t="n">
        <f aca="false">D38/P$3</f>
        <v>0.147925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-53.037</v>
      </c>
      <c r="V38" s="114" t="n">
        <f aca="false">M38/$R$3</f>
        <v>-199.364</v>
      </c>
      <c r="W38" s="114" t="n">
        <f aca="false">N38/$R$3</f>
        <v>-199.364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Data'!$A$2:$B$8,MATCH(WEEKDAY('BRA Power'!A39,3),'Master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-53037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-199364</v>
      </c>
      <c r="N39" s="112" t="n">
        <f aca="false">SUM(J$6:J39)</f>
        <v>-199364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-53.037</v>
      </c>
      <c r="V39" s="114" t="n">
        <f aca="false">M39/$R$3</f>
        <v>-199.364</v>
      </c>
      <c r="W39" s="114" t="n">
        <f aca="false">N39/$R$3</f>
        <v>-199.364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Data'!$A$2:$B$8,MATCH(WEEKDAY('BRA Power'!A40,3),'Master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-53037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-199364</v>
      </c>
      <c r="N40" s="112" t="n">
        <f aca="false">SUM(J$6:J40)</f>
        <v>-199364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-53.037</v>
      </c>
      <c r="V40" s="114" t="n">
        <f aca="false">M40/$R$3</f>
        <v>-199.364</v>
      </c>
      <c r="W40" s="114" t="n">
        <f aca="false">N40/$R$3</f>
        <v>-199.364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Data'!$A$2:$B$8,MATCH(WEEKDAY('BRA Power'!A41,3),'Master Data'!$A$2:$A$8,0),2)</f>
        <v>M</v>
      </c>
      <c r="D41" s="112" t="n">
        <v>148107</v>
      </c>
      <c r="E41" s="112" t="n">
        <v>0</v>
      </c>
      <c r="F41" s="112" t="n">
        <v>0</v>
      </c>
      <c r="G41" s="112" t="n">
        <v>-53037</v>
      </c>
      <c r="I41" s="112" t="n">
        <f aca="false">IF(MONTH($A41)=MONTH($A40),IF(G41=0,I40,G41),G41)</f>
        <v>-53037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-199364</v>
      </c>
      <c r="N41" s="112" t="n">
        <f aca="false">SUM(J$6:J41)</f>
        <v>-199364</v>
      </c>
      <c r="P41" s="112" t="n">
        <f aca="false">D41/P$3</f>
        <v>0.148107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-53.037</v>
      </c>
      <c r="V41" s="114" t="n">
        <f aca="false">M41/$R$3</f>
        <v>-199.364</v>
      </c>
      <c r="W41" s="114" t="n">
        <f aca="false">N41/$R$3</f>
        <v>-199.364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Data'!$A$2:$B$8,MATCH(WEEKDAY('BRA Power'!A42,3),'Master Data'!$A$2:$A$8,0),2)</f>
        <v>T</v>
      </c>
      <c r="D42" s="112" t="n">
        <v>148168</v>
      </c>
      <c r="E42" s="112" t="n">
        <v>0</v>
      </c>
      <c r="F42" s="112" t="n">
        <v>0</v>
      </c>
      <c r="G42" s="112" t="n">
        <v>-53037</v>
      </c>
      <c r="I42" s="112" t="n">
        <f aca="false">IF(MONTH($A42)=MONTH($A41),IF(G42=0,I41,G42),G42)</f>
        <v>-53037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-199364</v>
      </c>
      <c r="N42" s="112" t="n">
        <f aca="false">SUM(J$6:J42)</f>
        <v>-199364</v>
      </c>
      <c r="P42" s="112" t="n">
        <f aca="false">D42/P$3</f>
        <v>0.148168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-53.037</v>
      </c>
      <c r="V42" s="114" t="n">
        <f aca="false">M42/$R$3</f>
        <v>-199.364</v>
      </c>
      <c r="W42" s="114" t="n">
        <f aca="false">N42/$R$3</f>
        <v>-199.364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Data'!$A$2:$B$8,MATCH(WEEKDAY('BRA Power'!A43,3),'Master Data'!$A$2:$A$8,0),2)</f>
        <v>W</v>
      </c>
      <c r="D43" s="112" t="n">
        <v>148229</v>
      </c>
      <c r="E43" s="112" t="n">
        <v>0</v>
      </c>
      <c r="F43" s="112" t="n">
        <v>0</v>
      </c>
      <c r="G43" s="112" t="n">
        <v>-53037</v>
      </c>
      <c r="I43" s="112" t="n">
        <f aca="false">IF(MONTH($A43)=MONTH($A42),IF(G43=0,I42,G43),G43)</f>
        <v>-53037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-199364</v>
      </c>
      <c r="N43" s="112" t="n">
        <f aca="false">SUM(J$6:J43)</f>
        <v>-199364</v>
      </c>
      <c r="P43" s="112" t="n">
        <f aca="false">D43/P$3</f>
        <v>0.148229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-53.037</v>
      </c>
      <c r="V43" s="114" t="n">
        <f aca="false">M43/$R$3</f>
        <v>-199.364</v>
      </c>
      <c r="W43" s="114" t="n">
        <f aca="false">N43/$R$3</f>
        <v>-199.364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Data'!$A$2:$B$8,MATCH(WEEKDAY('BRA Power'!A44,3),'Master Data'!$A$2:$A$8,0),2)</f>
        <v>Th</v>
      </c>
      <c r="D44" s="112" t="n">
        <v>148290</v>
      </c>
      <c r="E44" s="112" t="n">
        <v>0</v>
      </c>
      <c r="F44" s="112" t="n">
        <v>0</v>
      </c>
      <c r="G44" s="112" t="n">
        <v>-53037</v>
      </c>
      <c r="I44" s="112" t="n">
        <f aca="false">IF(MONTH($A44)=MONTH($A43),IF(G44=0,I43,G44),G44)</f>
        <v>-53037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-199364</v>
      </c>
      <c r="N44" s="112" t="n">
        <f aca="false">SUM(J$6:J44)</f>
        <v>-199364</v>
      </c>
      <c r="P44" s="112" t="n">
        <f aca="false">D44/P$3</f>
        <v>0.14829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-53.037</v>
      </c>
      <c r="V44" s="114" t="n">
        <f aca="false">M44/$R$3</f>
        <v>-199.364</v>
      </c>
      <c r="W44" s="114" t="n">
        <f aca="false">N44/$R$3</f>
        <v>-199.364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Data'!$A$2:$B$8,MATCH(WEEKDAY('BRA Power'!A45,3),'Master Data'!$A$2:$A$8,0),2)</f>
        <v>F</v>
      </c>
      <c r="D45" s="112" t="n">
        <v>714292</v>
      </c>
      <c r="E45" s="112" t="n">
        <v>0</v>
      </c>
      <c r="F45" s="112" t="n">
        <v>0</v>
      </c>
      <c r="G45" s="112" t="n">
        <v>-53037</v>
      </c>
      <c r="I45" s="112" t="n">
        <f aca="false">IF(MONTH($A45)=MONTH($A44),IF(G45=0,I44,G45),G45)</f>
        <v>-53037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-199364</v>
      </c>
      <c r="N45" s="112" t="n">
        <f aca="false">SUM(J$6:J45)</f>
        <v>-199364</v>
      </c>
      <c r="P45" s="112" t="n">
        <f aca="false">D45/P$3</f>
        <v>0.714292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-53.037</v>
      </c>
      <c r="V45" s="114" t="n">
        <f aca="false">M45/$R$3</f>
        <v>-199.364</v>
      </c>
      <c r="W45" s="114" t="n">
        <f aca="false">N45/$R$3</f>
        <v>-199.364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Data'!$A$2:$B$8,MATCH(WEEKDAY('BRA Power'!A46,3),'Master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-53037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-199364</v>
      </c>
      <c r="N46" s="112" t="n">
        <f aca="false">SUM(J$6:J46)</f>
        <v>-199364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-53.037</v>
      </c>
      <c r="V46" s="114" t="n">
        <f aca="false">M46/$R$3</f>
        <v>-199.364</v>
      </c>
      <c r="W46" s="114" t="n">
        <f aca="false">N46/$R$3</f>
        <v>-199.364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Data'!$A$2:$B$8,MATCH(WEEKDAY('BRA Power'!A47,3),'Master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-53037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-199364</v>
      </c>
      <c r="N47" s="112" t="n">
        <f aca="false">SUM(J$6:J47)</f>
        <v>-199364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-53.037</v>
      </c>
      <c r="V47" s="114" t="n">
        <f aca="false">M47/$R$3</f>
        <v>-199.364</v>
      </c>
      <c r="W47" s="114" t="n">
        <f aca="false">N47/$R$3</f>
        <v>-199.364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Data'!$A$2:$B$8,MATCH(WEEKDAY('BRA Power'!A48,3),'Master Data'!$A$2:$A$8,0),2)</f>
        <v>M</v>
      </c>
      <c r="D48" s="112" t="n">
        <v>715193</v>
      </c>
      <c r="E48" s="112" t="n">
        <v>0</v>
      </c>
      <c r="F48" s="112" t="n">
        <v>0</v>
      </c>
      <c r="G48" s="112" t="n">
        <v>-53037</v>
      </c>
      <c r="I48" s="112" t="n">
        <f aca="false">IF(MONTH($A48)=MONTH($A47),IF(G48=0,I47,G48),G48)</f>
        <v>-53037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-199364</v>
      </c>
      <c r="N48" s="112" t="n">
        <f aca="false">SUM(J$6:J48)</f>
        <v>-199364</v>
      </c>
      <c r="P48" s="112" t="n">
        <f aca="false">D48/P$3</f>
        <v>0.715193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-53.037</v>
      </c>
      <c r="V48" s="114" t="n">
        <f aca="false">M48/$R$3</f>
        <v>-199.364</v>
      </c>
      <c r="W48" s="114" t="n">
        <f aca="false">N48/$R$3</f>
        <v>-199.364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Data'!$A$2:$B$8,MATCH(WEEKDAY('BRA Power'!A49,3),'Master Data'!$A$2:$A$8,0),2)</f>
        <v>T</v>
      </c>
      <c r="D49" s="112" t="n">
        <v>715478</v>
      </c>
      <c r="E49" s="112" t="n">
        <v>0</v>
      </c>
      <c r="F49" s="112" t="n">
        <v>0</v>
      </c>
      <c r="G49" s="112" t="n">
        <v>-53037</v>
      </c>
      <c r="I49" s="112" t="n">
        <f aca="false">IF(MONTH($A49)=MONTH($A48),IF(G49=0,I48,G49),G49)</f>
        <v>-53037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-199364</v>
      </c>
      <c r="N49" s="112" t="n">
        <f aca="false">SUM(J$6:J49)</f>
        <v>-199364</v>
      </c>
      <c r="P49" s="112" t="n">
        <f aca="false">D49/P$3</f>
        <v>0.715478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-53.037</v>
      </c>
      <c r="V49" s="114" t="n">
        <f aca="false">M49/$R$3</f>
        <v>-199.364</v>
      </c>
      <c r="W49" s="114" t="n">
        <f aca="false">N49/$R$3</f>
        <v>-199.364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Data'!$A$2:$B$8,MATCH(WEEKDAY('BRA Power'!A50,3),'Master Data'!$A$2:$A$8,0),2)</f>
        <v>W</v>
      </c>
      <c r="D50" s="112" t="n">
        <v>920632</v>
      </c>
      <c r="E50" s="112" t="n">
        <v>0</v>
      </c>
      <c r="F50" s="112" t="n">
        <v>0</v>
      </c>
      <c r="G50" s="112" t="n">
        <v>1282175</v>
      </c>
      <c r="I50" s="112" t="n">
        <f aca="false">IF(MONTH($A50)=MONTH($A49),IF(G50=0,I49,G50),G50)</f>
        <v>1282175</v>
      </c>
      <c r="J50" s="112" t="n">
        <f aca="false">IF(MONTH($A50)=MONTH($A49),SUM(I50-I49),I50)</f>
        <v>1335212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1135848</v>
      </c>
      <c r="N50" s="112" t="n">
        <f aca="false">SUM(J$6:J50)</f>
        <v>1135848</v>
      </c>
      <c r="P50" s="112" t="n">
        <f aca="false">D50/P$3</f>
        <v>0.920632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1335.212</v>
      </c>
      <c r="T50" s="114" t="n">
        <f aca="false">L50/$R$3</f>
        <v>0</v>
      </c>
      <c r="U50" s="114" t="n">
        <f aca="false">I50/$R$3</f>
        <v>1282.175</v>
      </c>
      <c r="V50" s="114" t="n">
        <f aca="false">M50/$R$3</f>
        <v>1135.848</v>
      </c>
      <c r="W50" s="114" t="n">
        <f aca="false">N50/$R$3</f>
        <v>1135.848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Data'!$A$2:$B$8,MATCH(WEEKDAY('BRA Power'!A51,3),'Master Data'!$A$2:$A$8,0),2)</f>
        <v>Th</v>
      </c>
      <c r="D51" s="112" t="n">
        <v>921055</v>
      </c>
      <c r="E51" s="112" t="n">
        <v>0</v>
      </c>
      <c r="F51" s="112" t="n">
        <v>0</v>
      </c>
      <c r="G51" s="112" t="n">
        <v>1282175</v>
      </c>
      <c r="I51" s="112" t="n">
        <f aca="false">IF(MONTH($A51)=MONTH($A50),IF(G51=0,I50,G51),G51)</f>
        <v>1282175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1135848</v>
      </c>
      <c r="N51" s="112" t="n">
        <f aca="false">SUM(J$6:J51)</f>
        <v>1135848</v>
      </c>
      <c r="P51" s="112" t="n">
        <f aca="false">D51/P$3</f>
        <v>0.921055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1282.175</v>
      </c>
      <c r="V51" s="114" t="n">
        <f aca="false">M51/$R$3</f>
        <v>1135.848</v>
      </c>
      <c r="W51" s="114" t="n">
        <f aca="false">N51/$R$3</f>
        <v>1135.848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Data'!$A$2:$B$8,MATCH(WEEKDAY('BRA Power'!A52,3),'Master Data'!$A$2:$A$8,0),2)</f>
        <v>F</v>
      </c>
      <c r="D52" s="112" t="n">
        <v>921430</v>
      </c>
      <c r="E52" s="112" t="n">
        <v>0</v>
      </c>
      <c r="F52" s="112" t="n">
        <v>0</v>
      </c>
      <c r="G52" s="112" t="n">
        <v>1282175</v>
      </c>
      <c r="I52" s="112" t="n">
        <f aca="false">IF(MONTH($A52)=MONTH($A51),IF(G52=0,I51,G52),G52)</f>
        <v>1282175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1135848</v>
      </c>
      <c r="N52" s="112" t="n">
        <f aca="false">SUM(J$6:J52)</f>
        <v>1135848</v>
      </c>
      <c r="P52" s="112" t="n">
        <f aca="false">D52/P$3</f>
        <v>0.92143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1282.175</v>
      </c>
      <c r="V52" s="114" t="n">
        <f aca="false">M52/$R$3</f>
        <v>1135.848</v>
      </c>
      <c r="W52" s="114" t="n">
        <f aca="false">N52/$R$3</f>
        <v>1135.848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Data'!$A$2:$B$8,MATCH(WEEKDAY('BRA Power'!A53,3),'Master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1282175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1135848</v>
      </c>
      <c r="N53" s="112" t="n">
        <f aca="false">SUM(J$6:J53)</f>
        <v>1135848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1282.175</v>
      </c>
      <c r="V53" s="114" t="n">
        <f aca="false">M53/$R$3</f>
        <v>1135.848</v>
      </c>
      <c r="W53" s="114" t="n">
        <f aca="false">N53/$R$3</f>
        <v>1135.848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Data'!$A$2:$B$8,MATCH(WEEKDAY('BRA Power'!A54,3),'Master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1282175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1135848</v>
      </c>
      <c r="N54" s="112" t="n">
        <f aca="false">SUM(J$6:J54)</f>
        <v>1135848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1282.175</v>
      </c>
      <c r="V54" s="114" t="n">
        <f aca="false">M54/$R$3</f>
        <v>1135.848</v>
      </c>
      <c r="W54" s="114" t="n">
        <f aca="false">N54/$R$3</f>
        <v>1135.848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Data'!$A$2:$B$8,MATCH(WEEKDAY('BRA Power'!A55,3),'Master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1282175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1135848</v>
      </c>
      <c r="N55" s="112" t="n">
        <f aca="false">SUM(J$6:J55)</f>
        <v>1135848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1282.175</v>
      </c>
      <c r="V55" s="114" t="n">
        <f aca="false">M55/$R$3</f>
        <v>1135.848</v>
      </c>
      <c r="W55" s="114" t="n">
        <f aca="false">N55/$R$3</f>
        <v>1135.848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Data'!$A$2:$B$8,MATCH(WEEKDAY('BRA Power'!A56,3),'Master Data'!$A$2:$A$8,0),2)</f>
        <v>T</v>
      </c>
      <c r="D56" s="112" t="n">
        <v>922932</v>
      </c>
      <c r="E56" s="112" t="n">
        <v>0</v>
      </c>
      <c r="F56" s="112" t="n">
        <v>0</v>
      </c>
      <c r="G56" s="112" t="n">
        <v>1282175</v>
      </c>
      <c r="I56" s="112" t="n">
        <f aca="false">IF(MONTH($A56)=MONTH($A55),IF(G56=0,I55,G56),G56)</f>
        <v>1282175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1135848</v>
      </c>
      <c r="N56" s="112" t="n">
        <f aca="false">SUM(J$6:J56)</f>
        <v>1135848</v>
      </c>
      <c r="P56" s="112" t="n">
        <f aca="false">D56/P$3</f>
        <v>0.922932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1282.175</v>
      </c>
      <c r="V56" s="114" t="n">
        <f aca="false">M56/$R$3</f>
        <v>1135.848</v>
      </c>
      <c r="W56" s="114" t="n">
        <f aca="false">N56/$R$3</f>
        <v>1135.848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Data'!$A$2:$B$8,MATCH(WEEKDAY('BRA Power'!A57,3),'Master Data'!$A$2:$A$8,0),2)</f>
        <v>W</v>
      </c>
      <c r="D57" s="112" t="n">
        <v>923308</v>
      </c>
      <c r="E57" s="112" t="n">
        <v>0</v>
      </c>
      <c r="F57" s="112" t="n">
        <v>0</v>
      </c>
      <c r="G57" s="112" t="n">
        <v>1295529</v>
      </c>
      <c r="I57" s="112" t="n">
        <f aca="false">IF(MONTH($A57)=MONTH($A56),IF(G57=0,I56,G57),G57)</f>
        <v>1295529</v>
      </c>
      <c r="J57" s="112" t="n">
        <f aca="false">IF(MONTH($A57)=MONTH($A56),SUM(I57-I56),I57)</f>
        <v>13354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1149202</v>
      </c>
      <c r="N57" s="112" t="n">
        <f aca="false">SUM(J$6:J57)</f>
        <v>1149202</v>
      </c>
      <c r="P57" s="112" t="n">
        <f aca="false">D57/P$3</f>
        <v>0.923308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13.354</v>
      </c>
      <c r="T57" s="114" t="n">
        <f aca="false">L57/$R$3</f>
        <v>0</v>
      </c>
      <c r="U57" s="114" t="n">
        <f aca="false">I57/$R$3</f>
        <v>1295.529</v>
      </c>
      <c r="V57" s="114" t="n">
        <f aca="false">M57/$R$3</f>
        <v>1149.202</v>
      </c>
      <c r="W57" s="114" t="n">
        <f aca="false">N57/$R$3</f>
        <v>1149.202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Data'!$A$2:$B$8,MATCH(WEEKDAY('BRA Power'!A58,3),'Master Data'!$A$2:$A$8,0),2)</f>
        <v>Th</v>
      </c>
      <c r="D58" s="112" t="n">
        <v>923684</v>
      </c>
      <c r="E58" s="112" t="n">
        <v>0</v>
      </c>
      <c r="F58" s="112" t="n">
        <v>0</v>
      </c>
      <c r="G58" s="112" t="n">
        <v>1296501</v>
      </c>
      <c r="I58" s="112" t="n">
        <f aca="false">IF(MONTH($A58)=MONTH($A57),IF(G58=0,I57,G58),G58)</f>
        <v>1296501</v>
      </c>
      <c r="J58" s="112" t="n">
        <f aca="false">IF(MONTH($A58)=MONTH($A57),SUM(I58-I57),I58)</f>
        <v>972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1150174</v>
      </c>
      <c r="N58" s="112" t="n">
        <f aca="false">SUM(J$6:J58)</f>
        <v>1150174</v>
      </c>
      <c r="P58" s="112" t="n">
        <f aca="false">D58/P$3</f>
        <v>0.923684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0.972</v>
      </c>
      <c r="T58" s="114" t="n">
        <f aca="false">L58/$R$3</f>
        <v>0</v>
      </c>
      <c r="U58" s="114" t="n">
        <f aca="false">I58/$R$3</f>
        <v>1296.501</v>
      </c>
      <c r="V58" s="114" t="n">
        <f aca="false">M58/$R$3</f>
        <v>1150.174</v>
      </c>
      <c r="W58" s="114" t="n">
        <f aca="false">N58/$R$3</f>
        <v>1150.174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Data'!$A$2:$B$8,MATCH(WEEKDAY('BRA Power'!A59,3),'Master Data'!$A$2:$A$8,0),2)</f>
        <v>F</v>
      </c>
      <c r="D59" s="112" t="n">
        <v>924061</v>
      </c>
      <c r="E59" s="112" t="n">
        <v>0</v>
      </c>
      <c r="F59" s="112" t="n">
        <v>0</v>
      </c>
      <c r="G59" s="112" t="n">
        <v>1297473</v>
      </c>
      <c r="I59" s="112" t="n">
        <f aca="false">IF(MONTH($A59)=MONTH($A58),IF(G59=0,I58,G59),G59)</f>
        <v>1297473</v>
      </c>
      <c r="J59" s="112" t="n">
        <f aca="false">IF(MONTH($A59)=MONTH($A58),SUM(I59-I58),I59)</f>
        <v>972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1151146</v>
      </c>
      <c r="N59" s="112" t="n">
        <f aca="false">SUM(J$6:J59)</f>
        <v>1151146</v>
      </c>
      <c r="P59" s="112" t="n">
        <f aca="false">D59/P$3</f>
        <v>0.924061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0.972</v>
      </c>
      <c r="T59" s="114" t="n">
        <f aca="false">L59/$R$3</f>
        <v>0</v>
      </c>
      <c r="U59" s="114" t="n">
        <f aca="false">I59/$R$3</f>
        <v>1297.473</v>
      </c>
      <c r="V59" s="114" t="n">
        <f aca="false">M59/$R$3</f>
        <v>1151.146</v>
      </c>
      <c r="W59" s="114" t="n">
        <f aca="false">N59/$R$3</f>
        <v>1151.146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Data'!$A$2:$B$8,MATCH(WEEKDAY('BRA Power'!A60,3),'Master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1297473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1151146</v>
      </c>
      <c r="N60" s="112" t="n">
        <f aca="false">SUM(J$6:J60)</f>
        <v>1151146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1297.473</v>
      </c>
      <c r="V60" s="114" t="n">
        <f aca="false">M60/$R$3</f>
        <v>1151.146</v>
      </c>
      <c r="W60" s="114" t="n">
        <f aca="false">N60/$R$3</f>
        <v>1151.146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Data'!$A$2:$B$8,MATCH(WEEKDAY('BRA Power'!A61,3),'Master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1297473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1151146</v>
      </c>
      <c r="N61" s="112" t="n">
        <f aca="false">SUM(J$6:J61)</f>
        <v>1151146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1297.473</v>
      </c>
      <c r="V61" s="114" t="n">
        <f aca="false">M61/$R$3</f>
        <v>1151.146</v>
      </c>
      <c r="W61" s="114" t="n">
        <f aca="false">N61/$R$3</f>
        <v>1151.146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Data'!$A$2:$B$8,MATCH(WEEKDAY('BRA Power'!A62,3),'Master Data'!$A$2:$A$8,0),2)</f>
        <v>M</v>
      </c>
      <c r="D62" s="112" t="n">
        <v>925190</v>
      </c>
      <c r="E62" s="112" t="n">
        <v>0</v>
      </c>
      <c r="F62" s="112" t="n">
        <v>0</v>
      </c>
      <c r="G62" s="112" t="n">
        <v>1300393</v>
      </c>
      <c r="I62" s="112" t="n">
        <f aca="false">IF(MONTH($A62)=MONTH($A61),IF(G62=0,I61,G62),G62)</f>
        <v>1300393</v>
      </c>
      <c r="J62" s="112" t="n">
        <f aca="false">IF(MONTH($A62)=MONTH($A61),SUM(I62-I61),I62)</f>
        <v>2920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1154066</v>
      </c>
      <c r="N62" s="112" t="n">
        <f aca="false">SUM(J$6:J62)</f>
        <v>1154066</v>
      </c>
      <c r="P62" s="112" t="n">
        <f aca="false">D62/P$3</f>
        <v>0.92519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2.92</v>
      </c>
      <c r="T62" s="114" t="n">
        <f aca="false">L62/$R$3</f>
        <v>0</v>
      </c>
      <c r="U62" s="114" t="n">
        <f aca="false">I62/$R$3</f>
        <v>1300.393</v>
      </c>
      <c r="V62" s="114" t="n">
        <f aca="false">M62/$R$3</f>
        <v>1154.066</v>
      </c>
      <c r="W62" s="114" t="n">
        <f aca="false">N62/$R$3</f>
        <v>1154.066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Data'!$A$2:$B$8,MATCH(WEEKDAY('BRA Power'!A63,3),'Master Data'!$A$2:$A$8,0),2)</f>
        <v>T</v>
      </c>
      <c r="D63" s="112" t="n">
        <v>925567</v>
      </c>
      <c r="E63" s="112" t="n">
        <v>0</v>
      </c>
      <c r="F63" s="112" t="n">
        <v>0</v>
      </c>
      <c r="G63" s="112" t="n">
        <v>1301367</v>
      </c>
      <c r="I63" s="112" t="n">
        <f aca="false">IF(MONTH($A63)=MONTH($A62),IF(G63=0,I62,G63),G63)</f>
        <v>1301367</v>
      </c>
      <c r="J63" s="112" t="n">
        <f aca="false">IF(MONTH($A63)=MONTH($A62),SUM(I63-I62),I63)</f>
        <v>974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1155040</v>
      </c>
      <c r="N63" s="112" t="n">
        <f aca="false">SUM(J$6:J63)</f>
        <v>1155040</v>
      </c>
      <c r="P63" s="112" t="n">
        <f aca="false">D63/P$3</f>
        <v>0.925567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0.974</v>
      </c>
      <c r="T63" s="114" t="n">
        <f aca="false">L63/$R$3</f>
        <v>0</v>
      </c>
      <c r="U63" s="114" t="n">
        <f aca="false">I63/$R$3</f>
        <v>1301.367</v>
      </c>
      <c r="V63" s="114" t="n">
        <f aca="false">M63/$R$3</f>
        <v>1155.04</v>
      </c>
      <c r="W63" s="114" t="n">
        <f aca="false">N63/$R$3</f>
        <v>1155.04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Data'!$A$2:$B$8,MATCH(WEEKDAY('BRA Power'!A64,3),'Master Data'!$A$2:$A$8,0),2)</f>
        <v>W</v>
      </c>
      <c r="D64" s="112" t="n">
        <v>925944</v>
      </c>
      <c r="E64" s="112" t="n">
        <v>0</v>
      </c>
      <c r="F64" s="112" t="n">
        <v>0</v>
      </c>
      <c r="G64" s="112" t="n">
        <v>1302342</v>
      </c>
      <c r="I64" s="112" t="n">
        <f aca="false">IF(MONTH($A64)=MONTH($A63),IF(G64=0,I63,G64),G64)</f>
        <v>1302342</v>
      </c>
      <c r="J64" s="112" t="n">
        <f aca="false">IF(MONTH($A64)=MONTH($A63),SUM(I64-I63),I64)</f>
        <v>975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1156015</v>
      </c>
      <c r="N64" s="112" t="n">
        <f aca="false">SUM(J$6:J64)</f>
        <v>1156015</v>
      </c>
      <c r="P64" s="112" t="n">
        <f aca="false">D64/P$3</f>
        <v>0.925944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0.975</v>
      </c>
      <c r="T64" s="114" t="n">
        <f aca="false">L64/$R$3</f>
        <v>0</v>
      </c>
      <c r="U64" s="114" t="n">
        <f aca="false">I64/$R$3</f>
        <v>1302.342</v>
      </c>
      <c r="V64" s="114" t="n">
        <f aca="false">M64/$R$3</f>
        <v>1156.015</v>
      </c>
      <c r="W64" s="114" t="n">
        <f aca="false">N64/$R$3</f>
        <v>1156.015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Data'!$A$2:$B$8,MATCH(WEEKDAY('BRA Power'!A65,3),'Master Data'!$A$2:$A$8,0),2)</f>
        <v>Th</v>
      </c>
      <c r="D65" s="112" t="n">
        <v>870868</v>
      </c>
      <c r="E65" s="112" t="n">
        <v>0</v>
      </c>
      <c r="F65" s="112" t="n">
        <v>0</v>
      </c>
      <c r="G65" s="112" t="n">
        <v>-50851</v>
      </c>
      <c r="I65" s="112" t="n">
        <f aca="false">IF(MONTH($A65)=MONTH($A64),IF(G65=0,I64,G65),G65)</f>
        <v>-50851</v>
      </c>
      <c r="J65" s="112" t="n">
        <f aca="false">IF(MONTH($A65)=MONTH($A64),SUM(I65-I64),I65)</f>
        <v>-50851</v>
      </c>
      <c r="K65" s="112" t="n">
        <f aca="false">IF(WEEKDAY(A65,3)&gt;4,0,(IF(A65&lt;K$2,0,IF(A65&lt;=K$3,1,0))))</f>
        <v>0</v>
      </c>
      <c r="L65" s="112" t="n">
        <f aca="false">J65*K65</f>
        <v>-0</v>
      </c>
      <c r="M65" s="112" t="n">
        <f aca="false">SUM(J$6:J65)</f>
        <v>1105164</v>
      </c>
      <c r="N65" s="112" t="n">
        <f aca="false">SUM(J$6:J65)</f>
        <v>1105164</v>
      </c>
      <c r="P65" s="112" t="n">
        <f aca="false">D65/P$3</f>
        <v>0.870868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-50.851</v>
      </c>
      <c r="T65" s="114" t="n">
        <f aca="false">L65/$R$3</f>
        <v>-0</v>
      </c>
      <c r="U65" s="114" t="n">
        <f aca="false">I65/$R$3</f>
        <v>-50.851</v>
      </c>
      <c r="V65" s="114" t="n">
        <f aca="false">M65/$R$3</f>
        <v>1105.164</v>
      </c>
      <c r="W65" s="114" t="n">
        <f aca="false">N65/$R$3</f>
        <v>1105.164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Data'!$A$2:$B$8,MATCH(WEEKDAY('BRA Power'!A66,3),'Master Data'!$A$2:$A$8,0),2)</f>
        <v>F</v>
      </c>
      <c r="D66" s="112" t="n">
        <v>871219</v>
      </c>
      <c r="E66" s="112" t="n">
        <v>0</v>
      </c>
      <c r="F66" s="112" t="n">
        <v>0</v>
      </c>
      <c r="G66" s="112" t="n">
        <v>-49896</v>
      </c>
      <c r="I66" s="112" t="n">
        <f aca="false">IF(MONTH($A66)=MONTH($A65),IF(G66=0,I65,G66),G66)</f>
        <v>-49896</v>
      </c>
      <c r="J66" s="112" t="n">
        <f aca="false">IF(MONTH($A66)=MONTH($A65),SUM(I66-I65),I66)</f>
        <v>955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1106119</v>
      </c>
      <c r="N66" s="112" t="n">
        <f aca="false">SUM(J$6:J66)</f>
        <v>1106119</v>
      </c>
      <c r="P66" s="112" t="n">
        <f aca="false">D66/P$3</f>
        <v>0.871219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0.955</v>
      </c>
      <c r="T66" s="114" t="n">
        <f aca="false">L66/$R$3</f>
        <v>0</v>
      </c>
      <c r="U66" s="114" t="n">
        <f aca="false">I66/$R$3</f>
        <v>-49.896</v>
      </c>
      <c r="V66" s="114" t="n">
        <f aca="false">M66/$R$3</f>
        <v>1106.119</v>
      </c>
      <c r="W66" s="114" t="n">
        <f aca="false">N66/$R$3</f>
        <v>1106.119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Data'!$A$2:$B$8,MATCH(WEEKDAY('BRA Power'!A67,3),'Master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-49896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1106119</v>
      </c>
      <c r="N67" s="112" t="n">
        <f aca="false">SUM(J$6:J67)</f>
        <v>1106119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-49.896</v>
      </c>
      <c r="V67" s="114" t="n">
        <f aca="false">M67/$R$3</f>
        <v>1106.119</v>
      </c>
      <c r="W67" s="114" t="n">
        <f aca="false">N67/$R$3</f>
        <v>1106.119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Data'!$A$2:$B$8,MATCH(WEEKDAY('BRA Power'!A68,3),'Master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-49896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1106119</v>
      </c>
      <c r="N68" s="112" t="n">
        <f aca="false">SUM(J$6:J68)</f>
        <v>1106119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-49.896</v>
      </c>
      <c r="V68" s="114" t="n">
        <f aca="false">M68/$R$3</f>
        <v>1106.119</v>
      </c>
      <c r="W68" s="114" t="n">
        <f aca="false">N68/$R$3</f>
        <v>1106.119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Data'!$A$2:$B$8,MATCH(WEEKDAY('BRA Power'!A69,3),'Master Data'!$A$2:$A$8,0),2)</f>
        <v>M</v>
      </c>
      <c r="D69" s="112" t="n">
        <v>872272</v>
      </c>
      <c r="E69" s="112" t="n">
        <v>0</v>
      </c>
      <c r="F69" s="112" t="n">
        <v>0</v>
      </c>
      <c r="G69" s="112" t="n">
        <v>-47029</v>
      </c>
      <c r="I69" s="112" t="n">
        <f aca="false">IF(MONTH($A69)=MONTH($A68),IF(G69=0,I68,G69),G69)</f>
        <v>-47029</v>
      </c>
      <c r="J69" s="112" t="n">
        <f aca="false">IF(MONTH($A69)=MONTH($A68),SUM(I69-I68),I69)</f>
        <v>2867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1108986</v>
      </c>
      <c r="N69" s="112" t="n">
        <f aca="false">SUM(J$6:J69)</f>
        <v>1108986</v>
      </c>
      <c r="P69" s="112" t="n">
        <f aca="false">D69/P$3</f>
        <v>0.872272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2.867</v>
      </c>
      <c r="T69" s="114" t="n">
        <f aca="false">L69/$R$3</f>
        <v>0</v>
      </c>
      <c r="U69" s="114" t="n">
        <f aca="false">I69/$R$3</f>
        <v>-47.029</v>
      </c>
      <c r="V69" s="114" t="n">
        <f aca="false">M69/$R$3</f>
        <v>1108.986</v>
      </c>
      <c r="W69" s="114" t="n">
        <f aca="false">N69/$R$3</f>
        <v>1108.986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Data'!$A$2:$B$8,MATCH(WEEKDAY('BRA Power'!A70,3),'Master Data'!$A$2:$A$8,0),2)</f>
        <v>T</v>
      </c>
      <c r="D70" s="112" t="n">
        <v>872623</v>
      </c>
      <c r="E70" s="112" t="n">
        <v>0</v>
      </c>
      <c r="F70" s="112" t="n">
        <v>0</v>
      </c>
      <c r="G70" s="112" t="n">
        <v>-46073</v>
      </c>
      <c r="I70" s="112" t="n">
        <f aca="false">IF(MONTH($A70)=MONTH($A69),IF(G70=0,I69,G70),G70)</f>
        <v>-46073</v>
      </c>
      <c r="J70" s="112" t="n">
        <f aca="false">IF(MONTH($A70)=MONTH($A69),SUM(I70-I69),I70)</f>
        <v>956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1109942</v>
      </c>
      <c r="N70" s="112" t="n">
        <f aca="false">SUM(J$6:J70)</f>
        <v>1109942</v>
      </c>
      <c r="P70" s="112" t="n">
        <f aca="false">D70/P$3</f>
        <v>0.872623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0.956</v>
      </c>
      <c r="T70" s="114" t="n">
        <f aca="false">L70/$R$3</f>
        <v>0</v>
      </c>
      <c r="U70" s="114" t="n">
        <f aca="false">I70/$R$3</f>
        <v>-46.073</v>
      </c>
      <c r="V70" s="114" t="n">
        <f aca="false">M70/$R$3</f>
        <v>1109.942</v>
      </c>
      <c r="W70" s="114" t="n">
        <f aca="false">N70/$R$3</f>
        <v>1109.942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Data'!$A$2:$B$8,MATCH(WEEKDAY('BRA Power'!A71,3),'Master Data'!$A$2:$A$8,0),2)</f>
        <v>W</v>
      </c>
      <c r="D71" s="112" t="n">
        <v>872974</v>
      </c>
      <c r="E71" s="112" t="n">
        <v>0</v>
      </c>
      <c r="F71" s="112" t="n">
        <v>0</v>
      </c>
      <c r="G71" s="112" t="n">
        <v>-45116</v>
      </c>
      <c r="I71" s="112" t="n">
        <f aca="false">IF(MONTH($A71)=MONTH($A70),IF(G71=0,I70,G71),G71)</f>
        <v>-45116</v>
      </c>
      <c r="J71" s="112" t="n">
        <f aca="false">IF(MONTH($A71)=MONTH($A70),SUM(I71-I70),I71)</f>
        <v>957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1110899</v>
      </c>
      <c r="N71" s="112" t="n">
        <f aca="false">SUM(J$6:J71)</f>
        <v>1110899</v>
      </c>
      <c r="P71" s="112" t="n">
        <f aca="false">D71/P$3</f>
        <v>0.872974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0.957</v>
      </c>
      <c r="T71" s="114" t="n">
        <f aca="false">L71/$R$3</f>
        <v>0</v>
      </c>
      <c r="U71" s="114" t="n">
        <f aca="false">I71/$R$3</f>
        <v>-45.116</v>
      </c>
      <c r="V71" s="114" t="n">
        <f aca="false">M71/$R$3</f>
        <v>1110.899</v>
      </c>
      <c r="W71" s="114" t="n">
        <f aca="false">N71/$R$3</f>
        <v>1110.899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Data'!$A$2:$B$8,MATCH(WEEKDAY('BRA Power'!A72,3),'Master Data'!$A$2:$A$8,0),2)</f>
        <v>Th</v>
      </c>
      <c r="D72" s="112" t="n">
        <v>873326</v>
      </c>
      <c r="E72" s="112" t="n">
        <v>0</v>
      </c>
      <c r="F72" s="112" t="n">
        <v>0</v>
      </c>
      <c r="G72" s="112" t="n">
        <v>-44158</v>
      </c>
      <c r="I72" s="112" t="n">
        <f aca="false">IF(MONTH($A72)=MONTH($A71),IF(G72=0,I71,G72),G72)</f>
        <v>-44158</v>
      </c>
      <c r="J72" s="112" t="n">
        <f aca="false">IF(MONTH($A72)=MONTH($A71),SUM(I72-I71),I72)</f>
        <v>958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1111857</v>
      </c>
      <c r="N72" s="112" t="n">
        <f aca="false">SUM(J$6:J72)</f>
        <v>1111857</v>
      </c>
      <c r="P72" s="112" t="n">
        <f aca="false">D72/P$3</f>
        <v>0.873326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0.958</v>
      </c>
      <c r="T72" s="114" t="n">
        <f aca="false">L72/$R$3</f>
        <v>0</v>
      </c>
      <c r="U72" s="114" t="n">
        <f aca="false">I72/$R$3</f>
        <v>-44.158</v>
      </c>
      <c r="V72" s="114" t="n">
        <f aca="false">M72/$R$3</f>
        <v>1111.857</v>
      </c>
      <c r="W72" s="114" t="n">
        <f aca="false">N72/$R$3</f>
        <v>1111.857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Data'!$A$2:$B$8,MATCH(WEEKDAY('BRA Power'!A73,3),'Master Data'!$A$2:$A$8,0),2)</f>
        <v>F</v>
      </c>
      <c r="D73" s="112" t="n">
        <v>873678</v>
      </c>
      <c r="E73" s="112" t="n">
        <v>0</v>
      </c>
      <c r="F73" s="112" t="n">
        <v>0</v>
      </c>
      <c r="G73" s="112" t="n">
        <v>6658551</v>
      </c>
      <c r="I73" s="112" t="n">
        <f aca="false">IF(MONTH($A73)=MONTH($A72),IF(G73=0,I72,G73),G73)</f>
        <v>6658551</v>
      </c>
      <c r="J73" s="112" t="n">
        <f aca="false">IF(MONTH($A73)=MONTH($A72),SUM(I73-I72),I73)</f>
        <v>6702709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7814566</v>
      </c>
      <c r="N73" s="112" t="n">
        <f aca="false">SUM(J$6:J73)</f>
        <v>7814566</v>
      </c>
      <c r="P73" s="112" t="n">
        <f aca="false">D73/P$3</f>
        <v>0.873678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6702.709</v>
      </c>
      <c r="T73" s="114" t="n">
        <f aca="false">L73/$R$3</f>
        <v>0</v>
      </c>
      <c r="U73" s="114" t="n">
        <f aca="false">I73/$R$3</f>
        <v>6658.551</v>
      </c>
      <c r="V73" s="114" t="n">
        <f aca="false">M73/$R$3</f>
        <v>7814.566</v>
      </c>
      <c r="W73" s="114" t="n">
        <f aca="false">N73/$R$3</f>
        <v>7814.566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Data'!$A$2:$B$8,MATCH(WEEKDAY('BRA Power'!A74,3),'Master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6658551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7814566</v>
      </c>
      <c r="N74" s="112" t="n">
        <f aca="false">SUM(J$6:J74)</f>
        <v>7814566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6658.551</v>
      </c>
      <c r="V74" s="114" t="n">
        <f aca="false">M74/$R$3</f>
        <v>7814.566</v>
      </c>
      <c r="W74" s="114" t="n">
        <f aca="false">N74/$R$3</f>
        <v>7814.566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Data'!$A$2:$B$8,MATCH(WEEKDAY('BRA Power'!A75,3),'Master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6658551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7814566</v>
      </c>
      <c r="N75" s="112" t="n">
        <f aca="false">SUM(J$6:J75)</f>
        <v>7814566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6658.551</v>
      </c>
      <c r="V75" s="114" t="n">
        <f aca="false">M75/$R$3</f>
        <v>7814.566</v>
      </c>
      <c r="W75" s="114" t="n">
        <f aca="false">N75/$R$3</f>
        <v>7814.566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Data'!$A$2:$B$8,MATCH(WEEKDAY('BRA Power'!A76,3),'Master Data'!$A$2:$A$8,0),2)</f>
        <v>M</v>
      </c>
      <c r="D76" s="112" t="n">
        <v>874734</v>
      </c>
      <c r="E76" s="112" t="n">
        <v>0</v>
      </c>
      <c r="F76" s="112" t="n">
        <v>0</v>
      </c>
      <c r="G76" s="112" t="n">
        <v>7107344</v>
      </c>
      <c r="I76" s="112" t="n">
        <f aca="false">IF(MONTH($A76)=MONTH($A75),IF(G76=0,I75,G76),G76)</f>
        <v>7107344</v>
      </c>
      <c r="J76" s="112" t="n">
        <f aca="false">IF(MONTH($A76)=MONTH($A75),SUM(I76-I75),I76)</f>
        <v>448793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8263359</v>
      </c>
      <c r="N76" s="112" t="n">
        <f aca="false">SUM(J$6:J76)</f>
        <v>8263359</v>
      </c>
      <c r="P76" s="112" t="n">
        <f aca="false">D76/P$3</f>
        <v>0.874734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448.793</v>
      </c>
      <c r="T76" s="114" t="n">
        <f aca="false">L76/$R$3</f>
        <v>0</v>
      </c>
      <c r="U76" s="114" t="n">
        <f aca="false">I76/$R$3</f>
        <v>7107.344</v>
      </c>
      <c r="V76" s="114" t="n">
        <f aca="false">M76/$R$3</f>
        <v>8263.359</v>
      </c>
      <c r="W76" s="114" t="n">
        <f aca="false">N76/$R$3</f>
        <v>8263.359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Data'!$A$2:$B$8,MATCH(WEEKDAY('BRA Power'!A77,3),'Master Data'!$A$2:$A$8,0),2)</f>
        <v>T</v>
      </c>
      <c r="D77" s="112" t="n">
        <v>875086</v>
      </c>
      <c r="E77" s="112" t="n">
        <v>0</v>
      </c>
      <c r="F77" s="112" t="n">
        <v>0</v>
      </c>
      <c r="G77" s="112" t="n">
        <v>7111129</v>
      </c>
      <c r="I77" s="112" t="n">
        <f aca="false">IF(MONTH($A77)=MONTH($A76),IF(G77=0,I76,G77),G77)</f>
        <v>7111129</v>
      </c>
      <c r="J77" s="112" t="n">
        <f aca="false">IF(MONTH($A77)=MONTH($A76),SUM(I77-I76),I77)</f>
        <v>3785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8267144</v>
      </c>
      <c r="N77" s="112" t="n">
        <f aca="false">SUM(J$6:J77)</f>
        <v>8267144</v>
      </c>
      <c r="P77" s="112" t="n">
        <f aca="false">D77/P$3</f>
        <v>0.875086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3.785</v>
      </c>
      <c r="T77" s="114" t="n">
        <f aca="false">L77/$R$3</f>
        <v>0</v>
      </c>
      <c r="U77" s="114" t="n">
        <f aca="false">I77/$R$3</f>
        <v>7111.129</v>
      </c>
      <c r="V77" s="114" t="n">
        <f aca="false">M77/$R$3</f>
        <v>8267.144</v>
      </c>
      <c r="W77" s="114" t="n">
        <f aca="false">N77/$R$3</f>
        <v>8267.144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Data'!$A$2:$B$8,MATCH(WEEKDAY('BRA Power'!A78,3),'Master Data'!$A$2:$A$8,0),2)</f>
        <v>W</v>
      </c>
      <c r="D78" s="112" t="n">
        <v>875438</v>
      </c>
      <c r="E78" s="112" t="n">
        <v>0</v>
      </c>
      <c r="F78" s="112" t="n">
        <v>0</v>
      </c>
      <c r="G78" s="112" t="n">
        <v>7114915</v>
      </c>
      <c r="I78" s="112" t="n">
        <f aca="false">IF(MONTH($A78)=MONTH($A77),IF(G78=0,I77,G78),G78)</f>
        <v>7114915</v>
      </c>
      <c r="J78" s="112" t="n">
        <f aca="false">IF(MONTH($A78)=MONTH($A77),SUM(I78-I77),I78)</f>
        <v>3786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8270930</v>
      </c>
      <c r="N78" s="112" t="n">
        <f aca="false">SUM(J$6:J78)</f>
        <v>8270930</v>
      </c>
      <c r="P78" s="112" t="n">
        <f aca="false">D78/P$3</f>
        <v>0.875438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3.786</v>
      </c>
      <c r="T78" s="114" t="n">
        <f aca="false">L78/$R$3</f>
        <v>0</v>
      </c>
      <c r="U78" s="114" t="n">
        <f aca="false">I78/$R$3</f>
        <v>7114.915</v>
      </c>
      <c r="V78" s="114" t="n">
        <f aca="false">M78/$R$3</f>
        <v>8270.93</v>
      </c>
      <c r="W78" s="114" t="n">
        <f aca="false">N78/$R$3</f>
        <v>8270.93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Data'!$A$2:$B$8,MATCH(WEEKDAY('BRA Power'!A79,3),'Master Data'!$A$2:$A$8,0),2)</f>
        <v>Th</v>
      </c>
      <c r="D79" s="112" t="n">
        <v>875791</v>
      </c>
      <c r="E79" s="112" t="n">
        <v>0</v>
      </c>
      <c r="F79" s="112" t="n">
        <v>0</v>
      </c>
      <c r="G79" s="112" t="n">
        <v>7118704</v>
      </c>
      <c r="I79" s="112" t="n">
        <f aca="false">IF(MONTH($A79)=MONTH($A78),IF(G79=0,I78,G79),G79)</f>
        <v>7118704</v>
      </c>
      <c r="J79" s="112" t="n">
        <f aca="false">IF(MONTH($A79)=MONTH($A78),SUM(I79-I78),I79)</f>
        <v>3789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8274719</v>
      </c>
      <c r="N79" s="112" t="n">
        <f aca="false">SUM(J$6:J79)</f>
        <v>8274719</v>
      </c>
      <c r="P79" s="112" t="n">
        <f aca="false">D79/P$3</f>
        <v>0.875791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3.789</v>
      </c>
      <c r="T79" s="114" t="n">
        <f aca="false">L79/$R$3</f>
        <v>0</v>
      </c>
      <c r="U79" s="114" t="n">
        <f aca="false">I79/$R$3</f>
        <v>7118.704</v>
      </c>
      <c r="V79" s="114" t="n">
        <f aca="false">M79/$R$3</f>
        <v>8274.719</v>
      </c>
      <c r="W79" s="114" t="n">
        <f aca="false">N79/$R$3</f>
        <v>8274.719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Data'!$A$2:$B$8,MATCH(WEEKDAY('BRA Power'!A80,3),'Master Data'!$A$2:$A$8,0),2)</f>
        <v>F</v>
      </c>
      <c r="D80" s="112" t="n">
        <v>876144</v>
      </c>
      <c r="E80" s="112" t="n">
        <v>0</v>
      </c>
      <c r="F80" s="112" t="n">
        <v>0</v>
      </c>
      <c r="G80" s="112" t="n">
        <v>7122495</v>
      </c>
      <c r="I80" s="112" t="n">
        <f aca="false">IF(MONTH($A80)=MONTH($A79),IF(G80=0,I79,G80),G80)</f>
        <v>7122495</v>
      </c>
      <c r="J80" s="112" t="n">
        <f aca="false">IF(MONTH($A80)=MONTH($A79),SUM(I80-I79),I80)</f>
        <v>3791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8278510</v>
      </c>
      <c r="N80" s="112" t="n">
        <f aca="false">SUM(J$6:J80)</f>
        <v>8278510</v>
      </c>
      <c r="P80" s="112" t="n">
        <f aca="false">D80/P$3</f>
        <v>0.876144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3.791</v>
      </c>
      <c r="T80" s="114" t="n">
        <f aca="false">L80/$R$3</f>
        <v>0</v>
      </c>
      <c r="U80" s="114" t="n">
        <f aca="false">I80/$R$3</f>
        <v>7122.495</v>
      </c>
      <c r="V80" s="114" t="n">
        <f aca="false">M80/$R$3</f>
        <v>8278.51</v>
      </c>
      <c r="W80" s="114" t="n">
        <f aca="false">N80/$R$3</f>
        <v>8278.51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Data'!$A$2:$B$8,MATCH(WEEKDAY('BRA Power'!A81,3),'Master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7122495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8278510</v>
      </c>
      <c r="N81" s="112" t="n">
        <f aca="false">SUM(J$6:J81)</f>
        <v>8278510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7122.495</v>
      </c>
      <c r="V81" s="114" t="n">
        <f aca="false">M81/$R$3</f>
        <v>8278.51</v>
      </c>
      <c r="W81" s="114" t="n">
        <f aca="false">N81/$R$3</f>
        <v>8278.51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Data'!$A$2:$B$8,MATCH(WEEKDAY('BRA Power'!A82,3),'Master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7122495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8278510</v>
      </c>
      <c r="N82" s="112" t="n">
        <f aca="false">SUM(J$6:J82)</f>
        <v>8278510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7122.495</v>
      </c>
      <c r="V82" s="114" t="n">
        <f aca="false">M82/$R$3</f>
        <v>8278.51</v>
      </c>
      <c r="W82" s="114" t="n">
        <f aca="false">N82/$R$3</f>
        <v>8278.51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Data'!$A$2:$B$8,MATCH(WEEKDAY('BRA Power'!A83,3),'Master Data'!$A$2:$A$8,0),2)</f>
        <v>M</v>
      </c>
      <c r="D83" s="112" t="n">
        <v>877203</v>
      </c>
      <c r="E83" s="112" t="n">
        <v>0</v>
      </c>
      <c r="F83" s="112" t="n">
        <v>0</v>
      </c>
      <c r="G83" s="112" t="n">
        <v>7133874</v>
      </c>
      <c r="I83" s="112" t="n">
        <f aca="false">IF(MONTH($A83)=MONTH($A82),IF(G83=0,I82,G83),G83)</f>
        <v>7133874</v>
      </c>
      <c r="J83" s="112" t="n">
        <f aca="false">IF(MONTH($A83)=MONTH($A82),SUM(I83-I82),I83)</f>
        <v>11379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8289889</v>
      </c>
      <c r="N83" s="112" t="n">
        <f aca="false">SUM(J$6:J83)</f>
        <v>8289889</v>
      </c>
      <c r="P83" s="112" t="n">
        <f aca="false">D83/P$3</f>
        <v>0.877203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11.379</v>
      </c>
      <c r="T83" s="114" t="n">
        <f aca="false">L83/$R$3</f>
        <v>0</v>
      </c>
      <c r="U83" s="114" t="n">
        <f aca="false">I83/$R$3</f>
        <v>7133.874</v>
      </c>
      <c r="V83" s="114" t="n">
        <f aca="false">M83/$R$3</f>
        <v>8289.889</v>
      </c>
      <c r="W83" s="114" t="n">
        <f aca="false">N83/$R$3</f>
        <v>8289.889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Data'!$A$2:$B$8,MATCH(WEEKDAY('BRA Power'!A84,3),'Master Data'!$A$2:$A$8,0),2)</f>
        <v>T</v>
      </c>
      <c r="D84" s="112" t="n">
        <v>877556</v>
      </c>
      <c r="E84" s="112" t="n">
        <v>0</v>
      </c>
      <c r="F84" s="112" t="n">
        <v>0</v>
      </c>
      <c r="G84" s="112" t="n">
        <v>7137671</v>
      </c>
      <c r="I84" s="112" t="n">
        <f aca="false">IF(MONTH($A84)=MONTH($A83),IF(G84=0,I83,G84),G84)</f>
        <v>7137671</v>
      </c>
      <c r="J84" s="112" t="n">
        <f aca="false">IF(MONTH($A84)=MONTH($A83),SUM(I84-I83),I84)</f>
        <v>3797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8293686</v>
      </c>
      <c r="N84" s="112" t="n">
        <f aca="false">SUM(J$6:J84)</f>
        <v>8293686</v>
      </c>
      <c r="P84" s="112" t="n">
        <f aca="false">D84/P$3</f>
        <v>0.877556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3.797</v>
      </c>
      <c r="T84" s="114" t="n">
        <f aca="false">L84/$R$3</f>
        <v>0</v>
      </c>
      <c r="U84" s="114" t="n">
        <f aca="false">I84/$R$3</f>
        <v>7137.671</v>
      </c>
      <c r="V84" s="114" t="n">
        <f aca="false">M84/$R$3</f>
        <v>8293.686</v>
      </c>
      <c r="W84" s="114" t="n">
        <f aca="false">N84/$R$3</f>
        <v>8293.686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Data'!$A$2:$B$8,MATCH(WEEKDAY('BRA Power'!A85,3),'Master Data'!$A$2:$A$8,0),2)</f>
        <v>W</v>
      </c>
      <c r="D85" s="112" t="n">
        <v>877910</v>
      </c>
      <c r="E85" s="112" t="n">
        <v>0</v>
      </c>
      <c r="F85" s="112" t="n">
        <v>0</v>
      </c>
      <c r="G85" s="112" t="n">
        <v>7141470</v>
      </c>
      <c r="I85" s="112" t="n">
        <f aca="false">IF(MONTH($A85)=MONTH($A84),IF(G85=0,I84,G85),G85)</f>
        <v>7141470</v>
      </c>
      <c r="J85" s="112" t="n">
        <f aca="false">IF(MONTH($A85)=MONTH($A84),SUM(I85-I84),I85)</f>
        <v>3799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8297485</v>
      </c>
      <c r="N85" s="112" t="n">
        <f aca="false">SUM(J$6:J85)</f>
        <v>8297485</v>
      </c>
      <c r="P85" s="112" t="n">
        <f aca="false">D85/P$3</f>
        <v>0.87791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3.799</v>
      </c>
      <c r="T85" s="114" t="n">
        <f aca="false">L85/$R$3</f>
        <v>0</v>
      </c>
      <c r="U85" s="114" t="n">
        <f aca="false">I85/$R$3</f>
        <v>7141.47</v>
      </c>
      <c r="V85" s="114" t="n">
        <f aca="false">M85/$R$3</f>
        <v>8297.485</v>
      </c>
      <c r="W85" s="114" t="n">
        <f aca="false">N85/$R$3</f>
        <v>8297.485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Data'!$A$2:$B$8,MATCH(WEEKDAY('BRA Power'!A86,3),'Master Data'!$A$2:$A$8,0),2)</f>
        <v>Th</v>
      </c>
      <c r="D86" s="112" t="n">
        <v>336834</v>
      </c>
      <c r="E86" s="112" t="n">
        <v>0</v>
      </c>
      <c r="F86" s="112" t="n">
        <v>0</v>
      </c>
      <c r="G86" s="112" t="n">
        <v>7145271</v>
      </c>
      <c r="I86" s="112" t="n">
        <f aca="false">IF(MONTH($A86)=MONTH($A85),IF(G86=0,I85,G86),G86)</f>
        <v>7145271</v>
      </c>
      <c r="J86" s="112" t="n">
        <f aca="false">IF(MONTH($A86)=MONTH($A85),SUM(I86-I85),I86)</f>
        <v>3801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8301286</v>
      </c>
      <c r="N86" s="112" t="n">
        <f aca="false">SUM(J$6:J86)</f>
        <v>8301286</v>
      </c>
      <c r="P86" s="112" t="n">
        <f aca="false">D86/P$3</f>
        <v>0.336834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3.801</v>
      </c>
      <c r="T86" s="114" t="n">
        <f aca="false">L86/$R$3</f>
        <v>0</v>
      </c>
      <c r="U86" s="114" t="n">
        <f aca="false">I86/$R$3</f>
        <v>7145.271</v>
      </c>
      <c r="V86" s="114" t="n">
        <f aca="false">M86/$R$3</f>
        <v>8301.286</v>
      </c>
      <c r="W86" s="114" t="n">
        <f aca="false">N86/$R$3</f>
        <v>8301.286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Data'!$A$2:$B$8,MATCH(WEEKDAY('BRA Power'!A87,3),'Master Data'!$A$2:$A$8,0),2)</f>
        <v>F</v>
      </c>
      <c r="D87" s="112" t="n">
        <v>336971</v>
      </c>
      <c r="E87" s="112" t="n">
        <v>0</v>
      </c>
      <c r="F87" s="112" t="n">
        <v>0</v>
      </c>
      <c r="G87" s="112" t="n">
        <v>7149072</v>
      </c>
      <c r="I87" s="112" t="n">
        <f aca="false">IF(MONTH($A87)=MONTH($A86),IF(G87=0,I86,G87),G87)</f>
        <v>7149072</v>
      </c>
      <c r="J87" s="112" t="n">
        <f aca="false">IF(MONTH($A87)=MONTH($A86),SUM(I87-I86),I87)</f>
        <v>3801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8305087</v>
      </c>
      <c r="N87" s="112" t="n">
        <f aca="false">SUM(J$6:J87)</f>
        <v>8305087</v>
      </c>
      <c r="P87" s="112" t="n">
        <f aca="false">D87/P$3</f>
        <v>0.336971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3.801</v>
      </c>
      <c r="T87" s="114" t="n">
        <f aca="false">L87/$R$3</f>
        <v>0</v>
      </c>
      <c r="U87" s="114" t="n">
        <f aca="false">I87/$R$3</f>
        <v>7149.072</v>
      </c>
      <c r="V87" s="114" t="n">
        <f aca="false">M87/$R$3</f>
        <v>8305.087</v>
      </c>
      <c r="W87" s="114" t="n">
        <f aca="false">N87/$R$3</f>
        <v>8305.087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Data'!$A$2:$B$8,MATCH(WEEKDAY('BRA Power'!A88,3),'Master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7149072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8305087</v>
      </c>
      <c r="N88" s="112" t="n">
        <f aca="false">SUM(J$6:J88)</f>
        <v>8305087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7149.072</v>
      </c>
      <c r="V88" s="114" t="n">
        <f aca="false">M88/$R$3</f>
        <v>8305.087</v>
      </c>
      <c r="W88" s="114" t="n">
        <f aca="false">N88/$R$3</f>
        <v>8305.087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Data'!$A$2:$B$8,MATCH(WEEKDAY('BRA Power'!A89,3),'Master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7149072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8305087</v>
      </c>
      <c r="N89" s="112" t="n">
        <f aca="false">SUM(J$6:J89)</f>
        <v>8305087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7149.072</v>
      </c>
      <c r="V89" s="114" t="n">
        <f aca="false">M89/$R$3</f>
        <v>8305.087</v>
      </c>
      <c r="W89" s="114" t="n">
        <f aca="false">N89/$R$3</f>
        <v>8305.087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Data'!$A$2:$B$8,MATCH(WEEKDAY('BRA Power'!A90,3),'Master Data'!$A$2:$A$8,0),2)</f>
        <v>M</v>
      </c>
      <c r="D90" s="112" t="n">
        <v>337385</v>
      </c>
      <c r="E90" s="112" t="n">
        <v>0</v>
      </c>
      <c r="F90" s="112" t="n">
        <v>0</v>
      </c>
      <c r="G90" s="112" t="n">
        <v>7160487</v>
      </c>
      <c r="I90" s="112" t="n">
        <f aca="false">IF(MONTH($A90)=MONTH($A89),IF(G90=0,I89,G90),G90)</f>
        <v>7160487</v>
      </c>
      <c r="J90" s="112" t="n">
        <f aca="false">IF(MONTH($A90)=MONTH($A89),SUM(I90-I89),I90)</f>
        <v>11415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8316502</v>
      </c>
      <c r="N90" s="112" t="n">
        <f aca="false">SUM(J$6:J90)</f>
        <v>8316502</v>
      </c>
      <c r="P90" s="112" t="n">
        <f aca="false">D90/P$3</f>
        <v>0.337385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11.415</v>
      </c>
      <c r="T90" s="114" t="n">
        <f aca="false">L90/$R$3</f>
        <v>0</v>
      </c>
      <c r="U90" s="114" t="n">
        <f aca="false">I90/$R$3</f>
        <v>7160.487</v>
      </c>
      <c r="V90" s="114" t="n">
        <f aca="false">M90/$R$3</f>
        <v>8316.502</v>
      </c>
      <c r="W90" s="114" t="n">
        <f aca="false">N90/$R$3</f>
        <v>8316.502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Data'!$A$2:$B$8,MATCH(WEEKDAY('BRA Power'!A91,3),'Master Data'!$A$2:$A$8,0),2)</f>
        <v>T</v>
      </c>
      <c r="D91" s="112" t="n">
        <v>337523</v>
      </c>
      <c r="E91" s="112" t="n">
        <v>0</v>
      </c>
      <c r="F91" s="112" t="n">
        <v>0</v>
      </c>
      <c r="G91" s="112" t="n">
        <v>7164295</v>
      </c>
      <c r="I91" s="112" t="n">
        <f aca="false">IF(MONTH($A91)=MONTH($A90),IF(G91=0,I90,G91),G91)</f>
        <v>7164295</v>
      </c>
      <c r="J91" s="112" t="n">
        <f aca="false">IF(MONTH($A91)=MONTH($A90),SUM(I91-I90),I91)</f>
        <v>3808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8320310</v>
      </c>
      <c r="N91" s="112" t="n">
        <f aca="false">SUM(J$6:J91)</f>
        <v>8320310</v>
      </c>
      <c r="P91" s="112" t="n">
        <f aca="false">D91/P$3</f>
        <v>0.337523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3.808</v>
      </c>
      <c r="T91" s="114" t="n">
        <f aca="false">L91/$R$3</f>
        <v>0</v>
      </c>
      <c r="U91" s="114" t="n">
        <f aca="false">I91/$R$3</f>
        <v>7164.295</v>
      </c>
      <c r="V91" s="114" t="n">
        <f aca="false">M91/$R$3</f>
        <v>8320.31</v>
      </c>
      <c r="W91" s="114" t="n">
        <f aca="false">N91/$R$3</f>
        <v>8320.31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Data'!$A$2:$B$8,MATCH(WEEKDAY('BRA Power'!A92,3),'Master Data'!$A$2:$A$8,0),2)</f>
        <v>W</v>
      </c>
      <c r="D92" s="112" t="n">
        <v>337661</v>
      </c>
      <c r="E92" s="112" t="n">
        <v>0</v>
      </c>
      <c r="F92" s="112" t="n">
        <v>0</v>
      </c>
      <c r="G92" s="112" t="n">
        <v>7168105</v>
      </c>
      <c r="I92" s="112" t="n">
        <f aca="false">IF(MONTH($A92)=MONTH($A91),IF(G92=0,I91,G92),G92)</f>
        <v>7168105</v>
      </c>
      <c r="J92" s="112" t="n">
        <f aca="false">IF(MONTH($A92)=MONTH($A91),SUM(I92-I91),I92)</f>
        <v>3810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8324120</v>
      </c>
      <c r="N92" s="112" t="n">
        <f aca="false">SUM(J$6:J92)</f>
        <v>8324120</v>
      </c>
      <c r="P92" s="112" t="n">
        <f aca="false">D92/P$3</f>
        <v>0.337661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3.81</v>
      </c>
      <c r="T92" s="114" t="n">
        <f aca="false">L92/$R$3</f>
        <v>0</v>
      </c>
      <c r="U92" s="114" t="n">
        <f aca="false">I92/$R$3</f>
        <v>7168.105</v>
      </c>
      <c r="V92" s="114" t="n">
        <f aca="false">M92/$R$3</f>
        <v>8324.12</v>
      </c>
      <c r="W92" s="114" t="n">
        <f aca="false">N92/$R$3</f>
        <v>8324.12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Data'!$A$2:$B$8,MATCH(WEEKDAY('BRA Power'!A93,3),'Master Data'!$A$2:$A$8,0),2)</f>
        <v>Th</v>
      </c>
      <c r="D93" s="112" t="n">
        <v>337799</v>
      </c>
      <c r="E93" s="112" t="n">
        <v>0</v>
      </c>
      <c r="F93" s="112" t="n">
        <v>0</v>
      </c>
      <c r="G93" s="112" t="n">
        <v>7171917</v>
      </c>
      <c r="I93" s="112" t="n">
        <f aca="false">IF(MONTH($A93)=MONTH($A92),IF(G93=0,I92,G93),G93)</f>
        <v>7171917</v>
      </c>
      <c r="J93" s="112" t="n">
        <f aca="false">IF(MONTH($A93)=MONTH($A92),SUM(I93-I92),I93)</f>
        <v>3812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8327932</v>
      </c>
      <c r="N93" s="112" t="n">
        <f aca="false">SUM(J$6:J93)</f>
        <v>8327932</v>
      </c>
      <c r="P93" s="112" t="n">
        <f aca="false">D93/P$3</f>
        <v>0.337799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3.812</v>
      </c>
      <c r="T93" s="114" t="n">
        <f aca="false">L93/$R$3</f>
        <v>0</v>
      </c>
      <c r="U93" s="114" t="n">
        <f aca="false">I93/$R$3</f>
        <v>7171.917</v>
      </c>
      <c r="V93" s="114" t="n">
        <f aca="false">M93/$R$3</f>
        <v>8327.932</v>
      </c>
      <c r="W93" s="114" t="n">
        <f aca="false">N93/$R$3</f>
        <v>8327.932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Data'!$A$2:$B$8,MATCH(WEEKDAY('BRA Power'!A94,3),'Master Data'!$A$2:$A$8,0),2)</f>
        <v>F</v>
      </c>
      <c r="D94" s="112" t="n">
        <v>326280</v>
      </c>
      <c r="E94" s="112" t="n">
        <v>0</v>
      </c>
      <c r="F94" s="112" t="n">
        <v>0</v>
      </c>
      <c r="G94" s="112" t="n">
        <v>7455269</v>
      </c>
      <c r="I94" s="112" t="n">
        <f aca="false">IF(MONTH($A94)=MONTH($A93),IF(G94=0,I93,G94),G94)</f>
        <v>7455269</v>
      </c>
      <c r="J94" s="112" t="n">
        <f aca="false">IF(MONTH($A94)=MONTH($A93),SUM(I94-I93),I94)</f>
        <v>283352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8611284</v>
      </c>
      <c r="N94" s="112" t="n">
        <f aca="false">SUM(J$6:J94)</f>
        <v>8611284</v>
      </c>
      <c r="P94" s="112" t="n">
        <f aca="false">D94/P$3</f>
        <v>0.32628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283.352</v>
      </c>
      <c r="T94" s="114" t="n">
        <f aca="false">L94/$R$3</f>
        <v>0</v>
      </c>
      <c r="U94" s="114" t="n">
        <f aca="false">I94/$R$3</f>
        <v>7455.269</v>
      </c>
      <c r="V94" s="114" t="n">
        <f aca="false">M94/$R$3</f>
        <v>8611.284</v>
      </c>
      <c r="W94" s="114" t="n">
        <f aca="false">N94/$R$3</f>
        <v>8611.284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Data'!$A$2:$B$8,MATCH(WEEKDAY('BRA Power'!A95,3),'Master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7455269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8611284</v>
      </c>
      <c r="N95" s="112" t="n">
        <f aca="false">SUM(J$6:J95)</f>
        <v>8611284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7455.269</v>
      </c>
      <c r="V95" s="114" t="n">
        <f aca="false">M95/$R$3</f>
        <v>8611.284</v>
      </c>
      <c r="W95" s="114" t="n">
        <f aca="false">N95/$R$3</f>
        <v>8611.284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Data'!$A$2:$B$8,MATCH(WEEKDAY('BRA Power'!A96,3),'Master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8611284</v>
      </c>
      <c r="N96" s="112" t="n">
        <f aca="false">SUM(J$6:J96)</f>
        <v>8611284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8611.284</v>
      </c>
      <c r="W96" s="114" t="n">
        <f aca="false">N96/$R$3</f>
        <v>8611.284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Data'!$A$2:$B$8,MATCH(WEEKDAY('BRA Power'!A97,3),'Master Data'!$A$2:$A$8,0),2)</f>
        <v>M</v>
      </c>
      <c r="D97" s="112" t="n">
        <v>308104</v>
      </c>
      <c r="E97" s="112" t="n">
        <v>0</v>
      </c>
      <c r="F97" s="112" t="n">
        <v>0</v>
      </c>
      <c r="G97" s="112" t="n">
        <v>11177</v>
      </c>
      <c r="I97" s="112" t="n">
        <f aca="false">IF(MONTH($A97)=MONTH($A96),IF(G97=0,I96,G97),G97)</f>
        <v>11177</v>
      </c>
      <c r="J97" s="112" t="n">
        <f aca="false">IF(MONTH($A97)=MONTH($A96),SUM(I97-I96),I97)</f>
        <v>11177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11177</v>
      </c>
      <c r="N97" s="112" t="n">
        <f aca="false">SUM(J$6:J97)</f>
        <v>8622461</v>
      </c>
      <c r="P97" s="112" t="n">
        <f aca="false">D97/P$3</f>
        <v>0.308104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11.177</v>
      </c>
      <c r="T97" s="114" t="n">
        <f aca="false">L97/$R$3</f>
        <v>0</v>
      </c>
      <c r="U97" s="114" t="n">
        <f aca="false">I97/$R$3</f>
        <v>11.177</v>
      </c>
      <c r="V97" s="114" t="n">
        <f aca="false">M97/$R$3</f>
        <v>11.177</v>
      </c>
      <c r="W97" s="114" t="n">
        <f aca="false">N97/$R$3</f>
        <v>8622.461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Data'!$A$2:$B$8,MATCH(WEEKDAY('BRA Power'!A98,3),'Master Data'!$A$2:$A$8,0),2)</f>
        <v>T</v>
      </c>
      <c r="D98" s="112" t="n">
        <v>308241</v>
      </c>
      <c r="E98" s="112" t="n">
        <v>0</v>
      </c>
      <c r="F98" s="112" t="n">
        <v>0</v>
      </c>
      <c r="G98" s="112" t="n">
        <v>14710</v>
      </c>
      <c r="I98" s="112" t="n">
        <f aca="false">IF(MONTH($A98)=MONTH($A97),IF(G98=0,I97,G98),G98)</f>
        <v>14710</v>
      </c>
      <c r="J98" s="112" t="n">
        <f aca="false">IF(MONTH($A98)=MONTH($A97),SUM(I98-I97),I98)</f>
        <v>3533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14710</v>
      </c>
      <c r="N98" s="112" t="n">
        <f aca="false">SUM(J$6:J98)</f>
        <v>8625994</v>
      </c>
      <c r="P98" s="112" t="n">
        <f aca="false">D98/P$3</f>
        <v>0.308241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3.533</v>
      </c>
      <c r="T98" s="114" t="n">
        <f aca="false">L98/$R$3</f>
        <v>0</v>
      </c>
      <c r="U98" s="114" t="n">
        <f aca="false">I98/$R$3</f>
        <v>14.71</v>
      </c>
      <c r="V98" s="114" t="n">
        <f aca="false">M98/$R$3</f>
        <v>14.71</v>
      </c>
      <c r="W98" s="114" t="n">
        <f aca="false">N98/$R$3</f>
        <v>8625.994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Data'!$A$2:$B$8,MATCH(WEEKDAY('BRA Power'!A99,3),'Master Data'!$A$2:$A$8,0),2)</f>
        <v>W</v>
      </c>
      <c r="D99" s="112" t="n">
        <v>308378</v>
      </c>
      <c r="E99" s="112" t="n">
        <v>0</v>
      </c>
      <c r="F99" s="112" t="n">
        <v>0</v>
      </c>
      <c r="G99" s="112" t="n">
        <v>18245</v>
      </c>
      <c r="I99" s="112" t="n">
        <f aca="false">IF(MONTH($A99)=MONTH($A98),IF(G99=0,I98,G99),G99)</f>
        <v>18245</v>
      </c>
      <c r="J99" s="112" t="n">
        <f aca="false">IF(MONTH($A99)=MONTH($A98),SUM(I99-I98),I99)</f>
        <v>3535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18245</v>
      </c>
      <c r="N99" s="112" t="n">
        <f aca="false">SUM(J$6:J99)</f>
        <v>8629529</v>
      </c>
      <c r="P99" s="112" t="n">
        <f aca="false">D99/P$3</f>
        <v>0.308378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3.535</v>
      </c>
      <c r="T99" s="114" t="n">
        <f aca="false">L99/$R$3</f>
        <v>0</v>
      </c>
      <c r="U99" s="114" t="n">
        <f aca="false">I99/$R$3</f>
        <v>18.245</v>
      </c>
      <c r="V99" s="114" t="n">
        <f aca="false">M99/$R$3</f>
        <v>18.245</v>
      </c>
      <c r="W99" s="114" t="n">
        <f aca="false">N99/$R$3</f>
        <v>8629.529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Data'!$A$2:$B$8,MATCH(WEEKDAY('BRA Power'!A100,3),'Master Data'!$A$2:$A$8,0),2)</f>
        <v>Th</v>
      </c>
      <c r="D100" s="112" t="n">
        <v>308515</v>
      </c>
      <c r="E100" s="112" t="n">
        <v>0</v>
      </c>
      <c r="F100" s="112" t="n">
        <v>0</v>
      </c>
      <c r="G100" s="112" t="n">
        <v>21783</v>
      </c>
      <c r="I100" s="112" t="n">
        <f aca="false">IF(MONTH($A100)=MONTH($A99),IF(G100=0,I99,G100),G100)</f>
        <v>21783</v>
      </c>
      <c r="J100" s="112" t="n">
        <f aca="false">IF(MONTH($A100)=MONTH($A99),SUM(I100-I99),I100)</f>
        <v>3538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21783</v>
      </c>
      <c r="N100" s="112" t="n">
        <f aca="false">SUM(J$6:J100)</f>
        <v>8633067</v>
      </c>
      <c r="P100" s="112" t="n">
        <f aca="false">D100/P$3</f>
        <v>0.308515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3.538</v>
      </c>
      <c r="T100" s="114" t="n">
        <f aca="false">L100/$R$3</f>
        <v>0</v>
      </c>
      <c r="U100" s="114" t="n">
        <f aca="false">I100/$R$3</f>
        <v>21.783</v>
      </c>
      <c r="V100" s="114" t="n">
        <f aca="false">M100/$R$3</f>
        <v>21.783</v>
      </c>
      <c r="W100" s="114" t="n">
        <f aca="false">N100/$R$3</f>
        <v>8633.067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Data'!$A$2:$B$8,MATCH(WEEKDAY('BRA Power'!A101,3),'Master Data'!$A$2:$A$8,0),2)</f>
        <v>F</v>
      </c>
      <c r="D101" s="112" t="n">
        <v>308652</v>
      </c>
      <c r="E101" s="112" t="n">
        <v>0</v>
      </c>
      <c r="F101" s="112" t="n">
        <v>0</v>
      </c>
      <c r="G101" s="112" t="n">
        <v>25321</v>
      </c>
      <c r="I101" s="112" t="n">
        <f aca="false">IF(MONTH($A101)=MONTH($A100),IF(G101=0,I100,G101),G101)</f>
        <v>25321</v>
      </c>
      <c r="J101" s="112" t="n">
        <f aca="false">IF(MONTH($A101)=MONTH($A100),SUM(I101-I100),I101)</f>
        <v>3538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25321</v>
      </c>
      <c r="N101" s="112" t="n">
        <f aca="false">SUM(J$6:J101)</f>
        <v>8636605</v>
      </c>
      <c r="P101" s="112" t="n">
        <f aca="false">D101/P$3</f>
        <v>0.308652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3.538</v>
      </c>
      <c r="T101" s="114" t="n">
        <f aca="false">L101/$R$3</f>
        <v>0</v>
      </c>
      <c r="U101" s="114" t="n">
        <f aca="false">I101/$R$3</f>
        <v>25.321</v>
      </c>
      <c r="V101" s="114" t="n">
        <f aca="false">M101/$R$3</f>
        <v>25.321</v>
      </c>
      <c r="W101" s="114" t="n">
        <f aca="false">N101/$R$3</f>
        <v>8636.605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Data'!$A$2:$B$8,MATCH(WEEKDAY('BRA Power'!A102,3),'Master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25321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25321</v>
      </c>
      <c r="N102" s="112" t="n">
        <f aca="false">SUM(J$6:J102)</f>
        <v>8636605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25.321</v>
      </c>
      <c r="V102" s="114" t="n">
        <f aca="false">M102/$R$3</f>
        <v>25.321</v>
      </c>
      <c r="W102" s="114" t="n">
        <f aca="false">N102/$R$3</f>
        <v>8636.605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Data'!$A$2:$B$8,MATCH(WEEKDAY('BRA Power'!A103,3),'Master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25321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25321</v>
      </c>
      <c r="N103" s="112" t="n">
        <f aca="false">SUM(J$6:J103)</f>
        <v>8636605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25.321</v>
      </c>
      <c r="V103" s="114" t="n">
        <f aca="false">M103/$R$3</f>
        <v>25.321</v>
      </c>
      <c r="W103" s="114" t="n">
        <f aca="false">N103/$R$3</f>
        <v>8636.605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Data'!$A$2:$B$8,MATCH(WEEKDAY('BRA Power'!A104,3),'Master Data'!$A$2:$A$8,0),2)</f>
        <v>M</v>
      </c>
      <c r="D104" s="112" t="n">
        <v>309062</v>
      </c>
      <c r="E104" s="112" t="n">
        <v>0</v>
      </c>
      <c r="F104" s="112" t="n">
        <v>0</v>
      </c>
      <c r="G104" s="112" t="n">
        <v>35948</v>
      </c>
      <c r="I104" s="112" t="n">
        <f aca="false">IF(MONTH($A104)=MONTH($A103),IF(G104=0,I103,G104),G104)</f>
        <v>35948</v>
      </c>
      <c r="J104" s="112" t="n">
        <f aca="false">IF(MONTH($A104)=MONTH($A103),SUM(I104-I103),I104)</f>
        <v>10627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35948</v>
      </c>
      <c r="N104" s="112" t="n">
        <f aca="false">SUM(J$6:J104)</f>
        <v>8647232</v>
      </c>
      <c r="P104" s="112" t="n">
        <f aca="false">D104/P$3</f>
        <v>0.309062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10.627</v>
      </c>
      <c r="T104" s="114" t="n">
        <f aca="false">L104/$R$3</f>
        <v>0</v>
      </c>
      <c r="U104" s="114" t="n">
        <f aca="false">I104/$R$3</f>
        <v>35.948</v>
      </c>
      <c r="V104" s="114" t="n">
        <f aca="false">M104/$R$3</f>
        <v>35.948</v>
      </c>
      <c r="W104" s="114" t="n">
        <f aca="false">N104/$R$3</f>
        <v>8647.232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Data'!$A$2:$B$8,MATCH(WEEKDAY('BRA Power'!A105,3),'Master Data'!$A$2:$A$8,0),2)</f>
        <v>T</v>
      </c>
      <c r="D105" s="112" t="n">
        <v>309200</v>
      </c>
      <c r="E105" s="112" t="n">
        <v>0</v>
      </c>
      <c r="F105" s="112" t="n">
        <v>0</v>
      </c>
      <c r="G105" s="112" t="n">
        <v>2037350</v>
      </c>
      <c r="I105" s="112" t="n">
        <f aca="false">IF(MONTH($A105)=MONTH($A104),IF(G105=0,I104,G105),G105)</f>
        <v>2037350</v>
      </c>
      <c r="J105" s="112" t="n">
        <f aca="false">IF(MONTH($A105)=MONTH($A104),SUM(I105-I104),I105)</f>
        <v>2001402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2037350</v>
      </c>
      <c r="N105" s="112" t="n">
        <f aca="false">SUM(J$6:J105)</f>
        <v>10648634</v>
      </c>
      <c r="P105" s="112" t="n">
        <f aca="false">D105/P$3</f>
        <v>0.3092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2001.402</v>
      </c>
      <c r="T105" s="114" t="n">
        <f aca="false">L105/$R$3</f>
        <v>0</v>
      </c>
      <c r="U105" s="114" t="n">
        <f aca="false">I105/$R$3</f>
        <v>2037.35</v>
      </c>
      <c r="V105" s="114" t="n">
        <f aca="false">M105/$R$3</f>
        <v>2037.35</v>
      </c>
      <c r="W105" s="114" t="n">
        <f aca="false">N105/$R$3</f>
        <v>10648.634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Data'!$A$2:$B$8,MATCH(WEEKDAY('BRA Power'!A106,3),'Master Data'!$A$2:$A$8,0),2)</f>
        <v>W</v>
      </c>
      <c r="D106" s="112" t="n">
        <v>309337</v>
      </c>
      <c r="E106" s="112" t="n">
        <v>0</v>
      </c>
      <c r="F106" s="112" t="n">
        <v>0</v>
      </c>
      <c r="G106" s="112" t="n">
        <v>2041582</v>
      </c>
      <c r="I106" s="112" t="n">
        <f aca="false">IF(MONTH($A106)=MONTH($A105),IF(G106=0,I105,G106),G106)</f>
        <v>2041582</v>
      </c>
      <c r="J106" s="112" t="n">
        <f aca="false">IF(MONTH($A106)=MONTH($A105),SUM(I106-I105),I106)</f>
        <v>4232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2041582</v>
      </c>
      <c r="N106" s="112" t="n">
        <f aca="false">SUM(J$6:J106)</f>
        <v>10652866</v>
      </c>
      <c r="P106" s="112" t="n">
        <f aca="false">D106/P$3</f>
        <v>0.309337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4.232</v>
      </c>
      <c r="T106" s="114" t="n">
        <f aca="false">L106/$R$3</f>
        <v>0</v>
      </c>
      <c r="U106" s="114" t="n">
        <f aca="false">I106/$R$3</f>
        <v>2041.582</v>
      </c>
      <c r="V106" s="114" t="n">
        <f aca="false">M106/$R$3</f>
        <v>2041.582</v>
      </c>
      <c r="W106" s="114" t="n">
        <f aca="false">N106/$R$3</f>
        <v>10652.866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Data'!$A$2:$B$8,MATCH(WEEKDAY('BRA Power'!A107,3),'Master Data'!$A$2:$A$8,0),2)</f>
        <v>Th</v>
      </c>
      <c r="D107" s="112" t="n">
        <v>309474</v>
      </c>
      <c r="E107" s="112" t="n">
        <v>0</v>
      </c>
      <c r="F107" s="112" t="n">
        <v>0</v>
      </c>
      <c r="G107" s="112" t="n">
        <v>2045818</v>
      </c>
      <c r="I107" s="112" t="n">
        <f aca="false">IF(MONTH($A107)=MONTH($A106),IF(G107=0,I106,G107),G107)</f>
        <v>2045818</v>
      </c>
      <c r="J107" s="112" t="n">
        <f aca="false">IF(MONTH($A107)=MONTH($A106),SUM(I107-I106),I107)</f>
        <v>4236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2045818</v>
      </c>
      <c r="N107" s="112" t="n">
        <f aca="false">SUM(J$6:J107)</f>
        <v>10657102</v>
      </c>
      <c r="P107" s="112" t="n">
        <f aca="false">D107/P$3</f>
        <v>0.309474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4.236</v>
      </c>
      <c r="T107" s="114" t="n">
        <f aca="false">L107/$R$3</f>
        <v>0</v>
      </c>
      <c r="U107" s="114" t="n">
        <f aca="false">I107/$R$3</f>
        <v>2045.818</v>
      </c>
      <c r="V107" s="114" t="n">
        <f aca="false">M107/$R$3</f>
        <v>2045.818</v>
      </c>
      <c r="W107" s="114" t="n">
        <f aca="false">N107/$R$3</f>
        <v>10657.102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Data'!$A$2:$B$8,MATCH(WEEKDAY('BRA Power'!A108,3),'Master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2045818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2045818</v>
      </c>
      <c r="N108" s="112" t="n">
        <f aca="false">SUM(J$6:J108)</f>
        <v>10657102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2045.818</v>
      </c>
      <c r="V108" s="114" t="n">
        <f aca="false">M108/$R$3</f>
        <v>2045.818</v>
      </c>
      <c r="W108" s="114" t="n">
        <f aca="false">N108/$R$3</f>
        <v>10657.102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Data'!$A$2:$B$8,MATCH(WEEKDAY('BRA Power'!A109,3),'Master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2045818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2045818</v>
      </c>
      <c r="N109" s="112" t="n">
        <f aca="false">SUM(J$6:J109)</f>
        <v>10657102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2045.818</v>
      </c>
      <c r="V109" s="114" t="n">
        <f aca="false">M109/$R$3</f>
        <v>2045.818</v>
      </c>
      <c r="W109" s="114" t="n">
        <f aca="false">N109/$R$3</f>
        <v>10657.102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Data'!$A$2:$B$8,MATCH(WEEKDAY('BRA Power'!A110,3),'Master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2045818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2045818</v>
      </c>
      <c r="N110" s="112" t="n">
        <f aca="false">SUM(J$6:J110)</f>
        <v>10657102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2045.818</v>
      </c>
      <c r="V110" s="114" t="n">
        <f aca="false">M110/$R$3</f>
        <v>2045.818</v>
      </c>
      <c r="W110" s="114" t="n">
        <f aca="false">N110/$R$3</f>
        <v>10657.102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Data'!$A$2:$B$8,MATCH(WEEKDAY('BRA Power'!A111,3),'Master Data'!$A$2:$A$8,0),2)</f>
        <v>M</v>
      </c>
      <c r="D111" s="112" t="n">
        <v>310024</v>
      </c>
      <c r="E111" s="112" t="n">
        <v>0</v>
      </c>
      <c r="F111" s="112" t="n">
        <v>0</v>
      </c>
      <c r="G111" s="112" t="n">
        <v>2062776</v>
      </c>
      <c r="I111" s="112" t="n">
        <f aca="false">IF(MONTH($A111)=MONTH($A110),IF(G111=0,I110,G111),G111)</f>
        <v>2062776</v>
      </c>
      <c r="J111" s="112" t="n">
        <f aca="false">IF(MONTH($A111)=MONTH($A110),SUM(I111-I110),I111)</f>
        <v>16958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2062776</v>
      </c>
      <c r="N111" s="112" t="n">
        <f aca="false">SUM(J$6:J111)</f>
        <v>10674060</v>
      </c>
      <c r="P111" s="112" t="n">
        <f aca="false">D111/P$3</f>
        <v>0.310024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16.958</v>
      </c>
      <c r="T111" s="114" t="n">
        <f aca="false">L111/$R$3</f>
        <v>0</v>
      </c>
      <c r="U111" s="114" t="n">
        <f aca="false">I111/$R$3</f>
        <v>2062.776</v>
      </c>
      <c r="V111" s="114" t="n">
        <f aca="false">M111/$R$3</f>
        <v>2062.776</v>
      </c>
      <c r="W111" s="114" t="n">
        <f aca="false">N111/$R$3</f>
        <v>10674.06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Data'!$A$2:$B$8,MATCH(WEEKDAY('BRA Power'!A112,3),'Master Data'!$A$2:$A$8,0),2)</f>
        <v>T</v>
      </c>
      <c r="D112" s="112" t="n">
        <v>310161</v>
      </c>
      <c r="E112" s="112" t="n">
        <v>0</v>
      </c>
      <c r="F112" s="112" t="n">
        <v>0</v>
      </c>
      <c r="G112" s="112" t="n">
        <v>2067020</v>
      </c>
      <c r="I112" s="112" t="n">
        <f aca="false">IF(MONTH($A112)=MONTH($A111),IF(G112=0,I111,G112),G112)</f>
        <v>2067020</v>
      </c>
      <c r="J112" s="112" t="n">
        <f aca="false">IF(MONTH($A112)=MONTH($A111),SUM(I112-I111),I112)</f>
        <v>4244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2067020</v>
      </c>
      <c r="N112" s="112" t="n">
        <f aca="false">SUM(J$6:J112)</f>
        <v>10678304</v>
      </c>
      <c r="P112" s="112" t="n">
        <f aca="false">D112/P$3</f>
        <v>0.310161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4.244</v>
      </c>
      <c r="T112" s="114" t="n">
        <f aca="false">L112/$R$3</f>
        <v>0</v>
      </c>
      <c r="U112" s="114" t="n">
        <f aca="false">I112/$R$3</f>
        <v>2067.02</v>
      </c>
      <c r="V112" s="114" t="n">
        <f aca="false">M112/$R$3</f>
        <v>2067.02</v>
      </c>
      <c r="W112" s="114" t="n">
        <f aca="false">N112/$R$3</f>
        <v>10678.304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Data'!$A$2:$B$8,MATCH(WEEKDAY('BRA Power'!A113,3),'Master Data'!$A$2:$A$8,0),2)</f>
        <v>W</v>
      </c>
      <c r="D113" s="112" t="n">
        <v>310299</v>
      </c>
      <c r="E113" s="112" t="n">
        <v>0</v>
      </c>
      <c r="F113" s="112" t="n">
        <v>0</v>
      </c>
      <c r="G113" s="112" t="n">
        <v>2071266</v>
      </c>
      <c r="I113" s="112" t="n">
        <f aca="false">IF(MONTH($A113)=MONTH($A112),IF(G113=0,I112,G113),G113)</f>
        <v>2071266</v>
      </c>
      <c r="J113" s="112" t="n">
        <f aca="false">IF(MONTH($A113)=MONTH($A112),SUM(I113-I112),I113)</f>
        <v>4246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2071266</v>
      </c>
      <c r="N113" s="112" t="n">
        <f aca="false">SUM(J$6:J113)</f>
        <v>10682550</v>
      </c>
      <c r="P113" s="112" t="n">
        <f aca="false">D113/P$3</f>
        <v>0.310299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4.246</v>
      </c>
      <c r="T113" s="114" t="n">
        <f aca="false">L113/$R$3</f>
        <v>0</v>
      </c>
      <c r="U113" s="114" t="n">
        <f aca="false">I113/$R$3</f>
        <v>2071.266</v>
      </c>
      <c r="V113" s="114" t="n">
        <f aca="false">M113/$R$3</f>
        <v>2071.266</v>
      </c>
      <c r="W113" s="114" t="n">
        <f aca="false">N113/$R$3</f>
        <v>10682.55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Data'!$A$2:$B$8,MATCH(WEEKDAY('BRA Power'!A114,3),'Master Data'!$A$2:$A$8,0),2)</f>
        <v>Th</v>
      </c>
      <c r="D114" s="112" t="n">
        <v>310436</v>
      </c>
      <c r="E114" s="112" t="n">
        <v>0</v>
      </c>
      <c r="F114" s="112" t="n">
        <v>0</v>
      </c>
      <c r="G114" s="112" t="n">
        <v>2075514</v>
      </c>
      <c r="I114" s="112" t="n">
        <f aca="false">IF(MONTH($A114)=MONTH($A113),IF(G114=0,I113,G114),G114)</f>
        <v>2075514</v>
      </c>
      <c r="J114" s="112" t="n">
        <f aca="false">IF(MONTH($A114)=MONTH($A113),SUM(I114-I113),I114)</f>
        <v>4248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2075514</v>
      </c>
      <c r="N114" s="112" t="n">
        <f aca="false">SUM(J$6:J114)</f>
        <v>10686798</v>
      </c>
      <c r="P114" s="112" t="n">
        <f aca="false">D114/P$3</f>
        <v>0.310436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4.248</v>
      </c>
      <c r="T114" s="114" t="n">
        <f aca="false">L114/$R$3</f>
        <v>0</v>
      </c>
      <c r="U114" s="114" t="n">
        <f aca="false">I114/$R$3</f>
        <v>2075.514</v>
      </c>
      <c r="V114" s="114" t="n">
        <f aca="false">M114/$R$3</f>
        <v>2075.514</v>
      </c>
      <c r="W114" s="114" t="n">
        <f aca="false">N114/$R$3</f>
        <v>10686.798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Data'!$A$2:$B$8,MATCH(WEEKDAY('BRA Power'!A115,3),'Master Data'!$A$2:$A$8,0),2)</f>
        <v>F</v>
      </c>
      <c r="D115" s="112" t="n">
        <v>310574</v>
      </c>
      <c r="E115" s="112" t="n">
        <v>0</v>
      </c>
      <c r="F115" s="112" t="n">
        <v>0</v>
      </c>
      <c r="G115" s="112" t="n">
        <v>2079765</v>
      </c>
      <c r="I115" s="112" t="n">
        <f aca="false">IF(MONTH($A115)=MONTH($A114),IF(G115=0,I114,G115),G115)</f>
        <v>2079765</v>
      </c>
      <c r="J115" s="112" t="n">
        <f aca="false">IF(MONTH($A115)=MONTH($A114),SUM(I115-I114),I115)</f>
        <v>4251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2079765</v>
      </c>
      <c r="N115" s="112" t="n">
        <f aca="false">SUM(J$6:J115)</f>
        <v>10691049</v>
      </c>
      <c r="P115" s="112" t="n">
        <f aca="false">D115/P$3</f>
        <v>0.310574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4.251</v>
      </c>
      <c r="T115" s="114" t="n">
        <f aca="false">L115/$R$3</f>
        <v>0</v>
      </c>
      <c r="U115" s="114" t="n">
        <f aca="false">I115/$R$3</f>
        <v>2079.765</v>
      </c>
      <c r="V115" s="114" t="n">
        <f aca="false">M115/$R$3</f>
        <v>2079.765</v>
      </c>
      <c r="W115" s="114" t="n">
        <f aca="false">N115/$R$3</f>
        <v>10691.049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Data'!$A$2:$B$8,MATCH(WEEKDAY('BRA Power'!A116,3),'Master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2079765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2079765</v>
      </c>
      <c r="N116" s="112" t="n">
        <f aca="false">SUM(J$6:J116)</f>
        <v>10691049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2079.765</v>
      </c>
      <c r="V116" s="114" t="n">
        <f aca="false">M116/$R$3</f>
        <v>2079.765</v>
      </c>
      <c r="W116" s="114" t="n">
        <f aca="false">N116/$R$3</f>
        <v>10691.049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Data'!$A$2:$B$8,MATCH(WEEKDAY('BRA Power'!A117,3),'Master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2079765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2079765</v>
      </c>
      <c r="N117" s="112" t="n">
        <f aca="false">SUM(J$6:J117)</f>
        <v>10691049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2079.765</v>
      </c>
      <c r="V117" s="114" t="n">
        <f aca="false">M117/$R$3</f>
        <v>2079.765</v>
      </c>
      <c r="W117" s="114" t="n">
        <f aca="false">N117/$R$3</f>
        <v>10691.049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Data'!$A$2:$B$8,MATCH(WEEKDAY('BRA Power'!A118,3),'Master Data'!$A$2:$A$8,0),2)</f>
        <v>M</v>
      </c>
      <c r="D118" s="112" t="n">
        <v>310988</v>
      </c>
      <c r="E118" s="112" t="n">
        <v>0</v>
      </c>
      <c r="F118" s="112" t="n">
        <v>0</v>
      </c>
      <c r="G118" s="112" t="n">
        <v>2092527</v>
      </c>
      <c r="I118" s="112" t="n">
        <f aca="false">IF(MONTH($A118)=MONTH($A117),IF(G118=0,I117,G118),G118)</f>
        <v>2092527</v>
      </c>
      <c r="J118" s="112" t="n">
        <f aca="false">IF(MONTH($A118)=MONTH($A117),SUM(I118-I117),I118)</f>
        <v>12762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2092527</v>
      </c>
      <c r="N118" s="112" t="n">
        <f aca="false">SUM(J$6:J118)</f>
        <v>10703811</v>
      </c>
      <c r="P118" s="112" t="n">
        <f aca="false">D118/P$3</f>
        <v>0.310988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12.762</v>
      </c>
      <c r="T118" s="114" t="n">
        <f aca="false">L118/$R$3</f>
        <v>0</v>
      </c>
      <c r="U118" s="114" t="n">
        <f aca="false">I118/$R$3</f>
        <v>2092.527</v>
      </c>
      <c r="V118" s="114" t="n">
        <f aca="false">M118/$R$3</f>
        <v>2092.527</v>
      </c>
      <c r="W118" s="114" t="n">
        <f aca="false">N118/$R$3</f>
        <v>10703.811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Data'!$A$2:$B$8,MATCH(WEEKDAY('BRA Power'!A119,3),'Master Data'!$A$2:$A$8,0),2)</f>
        <v>T</v>
      </c>
      <c r="D119" s="112" t="n">
        <v>311126</v>
      </c>
      <c r="E119" s="112" t="n">
        <v>0</v>
      </c>
      <c r="F119" s="112" t="n">
        <v>0</v>
      </c>
      <c r="G119" s="112" t="n">
        <v>2096786</v>
      </c>
      <c r="I119" s="112" t="n">
        <f aca="false">IF(MONTH($A119)=MONTH($A118),IF(G119=0,I118,G119),G119)</f>
        <v>2096786</v>
      </c>
      <c r="J119" s="112" t="n">
        <f aca="false">IF(MONTH($A119)=MONTH($A118),SUM(I119-I118),I119)</f>
        <v>4259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2096786</v>
      </c>
      <c r="N119" s="112" t="n">
        <f aca="false">SUM(J$6:J119)</f>
        <v>10708070</v>
      </c>
      <c r="P119" s="112" t="n">
        <f aca="false">D119/P$3</f>
        <v>0.311126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4.259</v>
      </c>
      <c r="T119" s="114" t="n">
        <f aca="false">L119/$R$3</f>
        <v>0</v>
      </c>
      <c r="U119" s="114" t="n">
        <f aca="false">I119/$R$3</f>
        <v>2096.786</v>
      </c>
      <c r="V119" s="114" t="n">
        <f aca="false">M119/$R$3</f>
        <v>2096.786</v>
      </c>
      <c r="W119" s="114" t="n">
        <f aca="false">N119/$R$3</f>
        <v>10708.07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Data'!$A$2:$B$8,MATCH(WEEKDAY('BRA Power'!A120,3),'Master Data'!$A$2:$A$8,0),2)</f>
        <v>W</v>
      </c>
      <c r="D120" s="112" t="n">
        <v>311264</v>
      </c>
      <c r="E120" s="112" t="n">
        <v>0</v>
      </c>
      <c r="F120" s="112" t="n">
        <v>0</v>
      </c>
      <c r="G120" s="112" t="n">
        <v>2101045</v>
      </c>
      <c r="I120" s="112" t="n">
        <f aca="false">IF(MONTH($A120)=MONTH($A119),IF(G120=0,I119,G120),G120)</f>
        <v>2101045</v>
      </c>
      <c r="J120" s="112" t="n">
        <f aca="false">IF(MONTH($A120)=MONTH($A119),SUM(I120-I119),I120)</f>
        <v>4259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2101045</v>
      </c>
      <c r="N120" s="112" t="n">
        <f aca="false">SUM(J$6:J120)</f>
        <v>10712329</v>
      </c>
      <c r="P120" s="112" t="n">
        <f aca="false">D120/P$3</f>
        <v>0.311264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4.259</v>
      </c>
      <c r="T120" s="114" t="n">
        <f aca="false">L120/$R$3</f>
        <v>0</v>
      </c>
      <c r="U120" s="114" t="n">
        <f aca="false">I120/$R$3</f>
        <v>2101.045</v>
      </c>
      <c r="V120" s="114" t="n">
        <f aca="false">M120/$R$3</f>
        <v>2101.045</v>
      </c>
      <c r="W120" s="114" t="n">
        <f aca="false">N120/$R$3</f>
        <v>10712.329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Data'!$A$2:$B$8,MATCH(WEEKDAY('BRA Power'!A121,3),'Master Data'!$A$2:$A$8,0),2)</f>
        <v>Th</v>
      </c>
      <c r="D121" s="112" t="n">
        <v>311402</v>
      </c>
      <c r="E121" s="112" t="n">
        <v>0</v>
      </c>
      <c r="F121" s="112" t="n">
        <v>0</v>
      </c>
      <c r="G121" s="112" t="n">
        <v>2105307</v>
      </c>
      <c r="I121" s="112" t="n">
        <f aca="false">IF(MONTH($A121)=MONTH($A120),IF(G121=0,I120,G121),G121)</f>
        <v>2105307</v>
      </c>
      <c r="J121" s="112" t="n">
        <f aca="false">IF(MONTH($A121)=MONTH($A120),SUM(I121-I120),I121)</f>
        <v>4262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2105307</v>
      </c>
      <c r="N121" s="112" t="n">
        <f aca="false">SUM(J$6:J121)</f>
        <v>10716591</v>
      </c>
      <c r="P121" s="112" t="n">
        <f aca="false">D121/P$3</f>
        <v>0.311402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4.262</v>
      </c>
      <c r="T121" s="114" t="n">
        <f aca="false">L121/$R$3</f>
        <v>0</v>
      </c>
      <c r="U121" s="114" t="n">
        <f aca="false">I121/$R$3</f>
        <v>2105.307</v>
      </c>
      <c r="V121" s="114" t="n">
        <f aca="false">M121/$R$3</f>
        <v>2105.307</v>
      </c>
      <c r="W121" s="114" t="n">
        <f aca="false">N121/$R$3</f>
        <v>10716.591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Data'!$A$2:$B$8,MATCH(WEEKDAY('BRA Power'!A122,3),'Master Data'!$A$2:$A$8,0),2)</f>
        <v>F</v>
      </c>
      <c r="D122" s="112" t="n">
        <v>311540</v>
      </c>
      <c r="E122" s="112" t="n">
        <v>0</v>
      </c>
      <c r="F122" s="112" t="n">
        <v>0</v>
      </c>
      <c r="G122" s="112" t="n">
        <v>2109571</v>
      </c>
      <c r="I122" s="112" t="n">
        <f aca="false">IF(MONTH($A122)=MONTH($A121),IF(G122=0,I121,G122),G122)</f>
        <v>2109571</v>
      </c>
      <c r="J122" s="112" t="n">
        <f aca="false">IF(MONTH($A122)=MONTH($A121),SUM(I122-I121),I122)</f>
        <v>4264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2109571</v>
      </c>
      <c r="N122" s="112" t="n">
        <f aca="false">SUM(J$6:J122)</f>
        <v>10720855</v>
      </c>
      <c r="P122" s="112" t="n">
        <f aca="false">D122/P$3</f>
        <v>0.31154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4.264</v>
      </c>
      <c r="T122" s="114" t="n">
        <f aca="false">L122/$R$3</f>
        <v>0</v>
      </c>
      <c r="U122" s="114" t="n">
        <f aca="false">I122/$R$3</f>
        <v>2109.571</v>
      </c>
      <c r="V122" s="114" t="n">
        <f aca="false">M122/$R$3</f>
        <v>2109.571</v>
      </c>
      <c r="W122" s="114" t="n">
        <f aca="false">N122/$R$3</f>
        <v>10720.855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Data'!$A$2:$B$8,MATCH(WEEKDAY('BRA Power'!A123,3),'Master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2109571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2109571</v>
      </c>
      <c r="N123" s="112" t="n">
        <f aca="false">SUM(J$6:J123)</f>
        <v>10720855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2109.571</v>
      </c>
      <c r="V123" s="114" t="n">
        <f aca="false">M123/$R$3</f>
        <v>2109.571</v>
      </c>
      <c r="W123" s="114" t="n">
        <f aca="false">N123/$R$3</f>
        <v>10720.855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Data'!$A$2:$B$8,MATCH(WEEKDAY('BRA Power'!A124,3),'Master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2109571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2109571</v>
      </c>
      <c r="N124" s="112" t="n">
        <f aca="false">SUM(J$6:J124)</f>
        <v>10720855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2109.571</v>
      </c>
      <c r="V124" s="114" t="n">
        <f aca="false">M124/$R$3</f>
        <v>2109.571</v>
      </c>
      <c r="W124" s="114" t="n">
        <f aca="false">N124/$R$3</f>
        <v>10720.855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Data'!$A$2:$B$8,MATCH(WEEKDAY('BRA Power'!A125,3),'Master Data'!$A$2:$A$8,0),2)</f>
        <v>M</v>
      </c>
      <c r="D125" s="112" t="n">
        <v>285015</v>
      </c>
      <c r="E125" s="112" t="n">
        <v>0</v>
      </c>
      <c r="F125" s="112" t="n">
        <v>0</v>
      </c>
      <c r="G125" s="112" t="n">
        <v>1667985</v>
      </c>
      <c r="I125" s="112" t="n">
        <f aca="false">IF(MONTH($A125)=MONTH($A124),IF(G125=0,I124,G125),G125)</f>
        <v>1667985</v>
      </c>
      <c r="J125" s="112" t="n">
        <f aca="false">IF(MONTH($A125)=MONTH($A124),SUM(I125-I124),I125)</f>
        <v>-441586</v>
      </c>
      <c r="K125" s="112" t="n">
        <f aca="false">IF(WEEKDAY(A125,3)&gt;4,0,(IF(A125&lt;K$2,0,IF(A125&lt;=K$3,1,0))))</f>
        <v>0</v>
      </c>
      <c r="L125" s="112" t="n">
        <f aca="false">J125*K125</f>
        <v>-0</v>
      </c>
      <c r="M125" s="112" t="n">
        <f aca="false">SUM(J$97:J125)</f>
        <v>1667985</v>
      </c>
      <c r="N125" s="112" t="n">
        <f aca="false">SUM(J$6:J125)</f>
        <v>10279269</v>
      </c>
      <c r="P125" s="112" t="n">
        <f aca="false">D125/P$3</f>
        <v>0.285015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-441.586</v>
      </c>
      <c r="T125" s="114" t="n">
        <f aca="false">L125/$R$3</f>
        <v>-0</v>
      </c>
      <c r="U125" s="114" t="n">
        <f aca="false">I125/$R$3</f>
        <v>1667.985</v>
      </c>
      <c r="V125" s="114" t="n">
        <f aca="false">M125/$R$3</f>
        <v>1667.985</v>
      </c>
      <c r="W125" s="114" t="n">
        <f aca="false">N125/$R$3</f>
        <v>10279.269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Data'!$A$2:$B$8,MATCH(WEEKDAY('BRA Power'!A126,3),'Master Data'!$A$2:$A$8,0),2)</f>
        <v>T</v>
      </c>
      <c r="D126" s="112" t="n">
        <v>285162</v>
      </c>
      <c r="E126" s="112" t="n">
        <v>0</v>
      </c>
      <c r="F126" s="112" t="n">
        <v>0</v>
      </c>
      <c r="G126" s="112" t="n">
        <v>4427</v>
      </c>
      <c r="I126" s="112" t="n">
        <f aca="false">IF(MONTH($A126)=MONTH($A125),IF(G126=0,I125,G126),G126)</f>
        <v>4427</v>
      </c>
      <c r="J126" s="112" t="n">
        <f aca="false">IF(MONTH($A126)=MONTH($A125),SUM(I126-I125),I126)</f>
        <v>4427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1672412</v>
      </c>
      <c r="N126" s="112" t="n">
        <f aca="false">SUM(J$6:J126)</f>
        <v>10283696</v>
      </c>
      <c r="P126" s="112" t="n">
        <f aca="false">D126/P$3</f>
        <v>0.285162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4.427</v>
      </c>
      <c r="T126" s="114" t="n">
        <f aca="false">L126/$R$3</f>
        <v>0</v>
      </c>
      <c r="U126" s="114" t="n">
        <f aca="false">I126/$R$3</f>
        <v>4.427</v>
      </c>
      <c r="V126" s="114" t="n">
        <f aca="false">M126/$R$3</f>
        <v>1672.412</v>
      </c>
      <c r="W126" s="114" t="n">
        <f aca="false">N126/$R$3</f>
        <v>10283.696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Data'!$A$2:$B$8,MATCH(WEEKDAY('BRA Power'!A127,3),'Master Data'!$A$2:$A$8,0),2)</f>
        <v>W</v>
      </c>
      <c r="D127" s="112" t="n">
        <v>340528</v>
      </c>
      <c r="E127" s="112" t="n">
        <v>0</v>
      </c>
      <c r="F127" s="112" t="n">
        <v>0</v>
      </c>
      <c r="G127" s="133" t="n">
        <f aca="false">1438426-100000</f>
        <v>1338426</v>
      </c>
      <c r="I127" s="112" t="n">
        <f aca="false">IF(MONTH($A127)=MONTH($A126),IF(G127=0,I126,G127),G127)</f>
        <v>1338426</v>
      </c>
      <c r="J127" s="112" t="n">
        <f aca="false">IF(MONTH($A127)=MONTH($A126),SUM(I127-I126),I127)</f>
        <v>1333999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3006411</v>
      </c>
      <c r="N127" s="112" t="n">
        <f aca="false">SUM(J$6:J127)</f>
        <v>11617695</v>
      </c>
      <c r="P127" s="112" t="n">
        <f aca="false">D127/P$3</f>
        <v>0.340528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1333.999</v>
      </c>
      <c r="T127" s="114" t="n">
        <f aca="false">L127/$R$3</f>
        <v>0</v>
      </c>
      <c r="U127" s="114" t="n">
        <f aca="false">I127/$R$3</f>
        <v>1338.426</v>
      </c>
      <c r="V127" s="114" t="n">
        <f aca="false">M127/$R$3</f>
        <v>3006.411</v>
      </c>
      <c r="W127" s="114" t="n">
        <f aca="false">N127/$R$3</f>
        <v>11617.695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Data'!$A$2:$B$8,MATCH(WEEKDAY('BRA Power'!A128,3),'Master Data'!$A$2:$A$8,0),2)</f>
        <v>Th</v>
      </c>
      <c r="D128" s="112" t="n">
        <v>340697</v>
      </c>
      <c r="E128" s="112" t="n">
        <v>0</v>
      </c>
      <c r="F128" s="112" t="n">
        <v>0</v>
      </c>
      <c r="G128" s="112" t="n">
        <f aca="false">1443091-100000</f>
        <v>1343091</v>
      </c>
      <c r="I128" s="112" t="n">
        <f aca="false">IF(MONTH($A128)=MONTH($A127),IF(G128=0,I127,G128),G128)</f>
        <v>1343091</v>
      </c>
      <c r="J128" s="112" t="n">
        <f aca="false">IF(MONTH($A128)=MONTH($A127),SUM(I128-I127),I128)</f>
        <v>4665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3011076</v>
      </c>
      <c r="N128" s="112" t="n">
        <f aca="false">SUM(J$6:J128)</f>
        <v>11622360</v>
      </c>
      <c r="P128" s="112" t="n">
        <f aca="false">D128/P$3</f>
        <v>0.340697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4.665</v>
      </c>
      <c r="T128" s="114" t="n">
        <f aca="false">L128/$R$3</f>
        <v>0</v>
      </c>
      <c r="U128" s="114" t="n">
        <f aca="false">I128/$R$3</f>
        <v>1343.091</v>
      </c>
      <c r="V128" s="114" t="n">
        <f aca="false">M128/$R$3</f>
        <v>3011.076</v>
      </c>
      <c r="W128" s="114" t="n">
        <f aca="false">N128/$R$3</f>
        <v>11622.36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Data'!$A$2:$B$8,MATCH(WEEKDAY('BRA Power'!A129,3),'Master Data'!$A$2:$A$8,0),2)</f>
        <v>F</v>
      </c>
      <c r="D129" s="112" t="n">
        <v>340866</v>
      </c>
      <c r="E129" s="112" t="n">
        <v>0</v>
      </c>
      <c r="F129" s="112" t="n">
        <v>0</v>
      </c>
      <c r="G129" s="112" t="n">
        <v>10877888</v>
      </c>
      <c r="I129" s="112" t="n">
        <f aca="false">IF(MONTH($A129)=MONTH($A128),IF(G129=0,I128,G129),G129)</f>
        <v>10877888</v>
      </c>
      <c r="J129" s="112" t="n">
        <f aca="false">IF(MONTH($A129)=MONTH($A128),SUM(I129-I128),I129)</f>
        <v>9534797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12545873</v>
      </c>
      <c r="N129" s="112" t="n">
        <f aca="false">SUM(J$6:J129)</f>
        <v>21157157</v>
      </c>
      <c r="P129" s="112" t="n">
        <f aca="false">D129/P$3</f>
        <v>0.340866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9534.797</v>
      </c>
      <c r="T129" s="114" t="n">
        <f aca="false">L129/$R$3</f>
        <v>0</v>
      </c>
      <c r="U129" s="114" t="n">
        <f aca="false">I129/$R$3</f>
        <v>10877.888</v>
      </c>
      <c r="V129" s="114" t="n">
        <f aca="false">M129/$R$3</f>
        <v>12545.873</v>
      </c>
      <c r="W129" s="114" t="n">
        <f aca="false">N129/$R$3</f>
        <v>21157.157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Data'!$A$2:$B$8,MATCH(WEEKDAY('BRA Power'!A130,3),'Master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10877888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12545873</v>
      </c>
      <c r="N130" s="112" t="n">
        <f aca="false">SUM(J$6:J130)</f>
        <v>21157157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10877.888</v>
      </c>
      <c r="V130" s="114" t="n">
        <f aca="false">M130/$R$3</f>
        <v>12545.873</v>
      </c>
      <c r="W130" s="114" t="n">
        <f aca="false">N130/$R$3</f>
        <v>21157.157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Data'!$A$2:$B$8,MATCH(WEEKDAY('BRA Power'!A131,3),'Master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10877888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12545873</v>
      </c>
      <c r="N131" s="112" t="n">
        <f aca="false">SUM(J$6:J131)</f>
        <v>21157157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10877.888</v>
      </c>
      <c r="V131" s="114" t="n">
        <f aca="false">M131/$R$3</f>
        <v>12545.873</v>
      </c>
      <c r="W131" s="114" t="n">
        <f aca="false">N131/$R$3</f>
        <v>21157.157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Data'!$A$2:$B$8,MATCH(WEEKDAY('BRA Power'!A132,3),'Master Data'!$A$2:$A$8,0),2)</f>
        <v>M</v>
      </c>
      <c r="D132" s="112" t="n">
        <v>341373</v>
      </c>
      <c r="E132" s="112" t="n">
        <v>0</v>
      </c>
      <c r="F132" s="112" t="n">
        <v>0</v>
      </c>
      <c r="G132" s="112" t="n">
        <f aca="false">11003481-100000</f>
        <v>10903481</v>
      </c>
      <c r="I132" s="112" t="n">
        <f aca="false">IF(MONTH($A132)=MONTH($A131),IF(G132=0,I131,G132),G132)</f>
        <v>10903481</v>
      </c>
      <c r="J132" s="112" t="n">
        <f aca="false">IF(MONTH($A132)=MONTH($A131),SUM(I132-I131),I132)</f>
        <v>25593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12571466</v>
      </c>
      <c r="N132" s="112" t="n">
        <f aca="false">SUM(J$6:J132)</f>
        <v>21182750</v>
      </c>
      <c r="P132" s="112" t="n">
        <f aca="false">D132/P$3</f>
        <v>0.341373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25.593</v>
      </c>
      <c r="T132" s="114" t="n">
        <f aca="false">L132/$R$3</f>
        <v>0</v>
      </c>
      <c r="U132" s="114" t="n">
        <f aca="false">I132/$R$3</f>
        <v>10903.481</v>
      </c>
      <c r="V132" s="114" t="n">
        <f aca="false">M132/$R$3</f>
        <v>12571.466</v>
      </c>
      <c r="W132" s="114" t="n">
        <f aca="false">N132/$R$3</f>
        <v>21182.75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Data'!$A$2:$B$8,MATCH(WEEKDAY('BRA Power'!A133,3),'Master Data'!$A$2:$A$8,0),2)</f>
        <v>T</v>
      </c>
      <c r="D133" s="112" t="n">
        <v>341542</v>
      </c>
      <c r="E133" s="112" t="n">
        <v>0</v>
      </c>
      <c r="F133" s="112" t="n">
        <v>0</v>
      </c>
      <c r="G133" s="112" t="n">
        <f aca="false">11012019-100000</f>
        <v>10912019</v>
      </c>
      <c r="I133" s="112" t="n">
        <f aca="false">IF(MONTH($A133)=MONTH($A132),IF(G133=0,I132,G133),G133)</f>
        <v>10912019</v>
      </c>
      <c r="J133" s="112" t="n">
        <f aca="false">IF(MONTH($A133)=MONTH($A132),SUM(I133-I132),I133)</f>
        <v>8538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12580004</v>
      </c>
      <c r="N133" s="112" t="n">
        <f aca="false">SUM(J$6:J133)</f>
        <v>21191288</v>
      </c>
      <c r="P133" s="112" t="n">
        <f aca="false">D133/P$3</f>
        <v>0.341542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8.538</v>
      </c>
      <c r="T133" s="114" t="n">
        <f aca="false">L133/$R$3</f>
        <v>0</v>
      </c>
      <c r="U133" s="114" t="n">
        <f aca="false">I133/$R$3</f>
        <v>10912.019</v>
      </c>
      <c r="V133" s="114" t="n">
        <f aca="false">M133/$R$3</f>
        <v>12580.004</v>
      </c>
      <c r="W133" s="114" t="n">
        <f aca="false">N133/$R$3</f>
        <v>21191.288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Data'!$A$2:$B$8,MATCH(WEEKDAY('BRA Power'!A134,3),'Master Data'!$A$2:$A$8,0),2)</f>
        <v>W</v>
      </c>
      <c r="D134" s="112" t="n">
        <v>341712</v>
      </c>
      <c r="E134" s="112" t="n">
        <v>0</v>
      </c>
      <c r="F134" s="112" t="n">
        <v>0</v>
      </c>
      <c r="G134" s="112" t="n">
        <f aca="false">11020564-100000</f>
        <v>10920564</v>
      </c>
      <c r="I134" s="112" t="n">
        <f aca="false">IF(MONTH($A134)=MONTH($A133),IF(G134=0,I133,G134),G134)</f>
        <v>10920564</v>
      </c>
      <c r="J134" s="112" t="n">
        <f aca="false">IF(MONTH($A134)=MONTH($A133),SUM(I134-I133),I134)</f>
        <v>8545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12588549</v>
      </c>
      <c r="N134" s="112" t="n">
        <f aca="false">SUM(J$6:J134)</f>
        <v>21199833</v>
      </c>
      <c r="P134" s="112" t="n">
        <f aca="false">D134/P$3</f>
        <v>0.341712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8.545</v>
      </c>
      <c r="T134" s="114" t="n">
        <f aca="false">L134/$R$3</f>
        <v>0</v>
      </c>
      <c r="U134" s="114" t="n">
        <f aca="false">I134/$R$3</f>
        <v>10920.564</v>
      </c>
      <c r="V134" s="114" t="n">
        <f aca="false">M134/$R$3</f>
        <v>12588.549</v>
      </c>
      <c r="W134" s="114" t="n">
        <f aca="false">N134/$R$3</f>
        <v>21199.833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Data'!$A$2:$B$8,MATCH(WEEKDAY('BRA Power'!A135,3),'Master Data'!$A$2:$A$8,0),2)</f>
        <v>Th</v>
      </c>
      <c r="D135" s="112" t="n">
        <v>341881</v>
      </c>
      <c r="E135" s="112" t="n">
        <v>0</v>
      </c>
      <c r="F135" s="112" t="n">
        <v>0</v>
      </c>
      <c r="G135" s="112" t="n">
        <f aca="false">11029111-100000</f>
        <v>10929111</v>
      </c>
      <c r="I135" s="112" t="n">
        <f aca="false">IF(MONTH($A135)=MONTH($A134),IF(G135=0,I134,G135),G135)</f>
        <v>10929111</v>
      </c>
      <c r="J135" s="112" t="n">
        <f aca="false">IF(MONTH($A135)=MONTH($A134),SUM(I135-I134),I135)</f>
        <v>8547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12597096</v>
      </c>
      <c r="N135" s="112" t="n">
        <f aca="false">SUM(J$6:J135)</f>
        <v>21208380</v>
      </c>
      <c r="P135" s="112" t="n">
        <f aca="false">D135/P$3</f>
        <v>0.341881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8.547</v>
      </c>
      <c r="T135" s="114" t="n">
        <f aca="false">L135/$R$3</f>
        <v>0</v>
      </c>
      <c r="U135" s="114" t="n">
        <f aca="false">I135/$R$3</f>
        <v>10929.111</v>
      </c>
      <c r="V135" s="114" t="n">
        <f aca="false">M135/$R$3</f>
        <v>12597.096</v>
      </c>
      <c r="W135" s="114" t="n">
        <f aca="false">N135/$R$3</f>
        <v>21208.38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Data'!$A$2:$B$8,MATCH(WEEKDAY('BRA Power'!A136,3),'Master Data'!$A$2:$A$8,0),2)</f>
        <v>F</v>
      </c>
      <c r="D136" s="112" t="n">
        <v>342051</v>
      </c>
      <c r="E136" s="112" t="n">
        <v>0</v>
      </c>
      <c r="F136" s="112" t="n">
        <v>0</v>
      </c>
      <c r="G136" s="112" t="n">
        <f aca="false">11037664-100000</f>
        <v>10937664</v>
      </c>
      <c r="I136" s="112" t="n">
        <f aca="false">IF(MONTH($A136)=MONTH($A135),IF(G136=0,I135,G136),G136)</f>
        <v>10937664</v>
      </c>
      <c r="J136" s="112" t="n">
        <f aca="false">IF(MONTH($A136)=MONTH($A135),SUM(I136-I135),I136)</f>
        <v>8553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12605649</v>
      </c>
      <c r="N136" s="112" t="n">
        <f aca="false">SUM(J$6:J136)</f>
        <v>21216933</v>
      </c>
      <c r="P136" s="112" t="n">
        <f aca="false">D136/P$3</f>
        <v>0.342051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8.553</v>
      </c>
      <c r="T136" s="114" t="n">
        <f aca="false">L136/$R$3</f>
        <v>0</v>
      </c>
      <c r="U136" s="114" t="n">
        <f aca="false">I136/$R$3</f>
        <v>10937.664</v>
      </c>
      <c r="V136" s="114" t="n">
        <f aca="false">M136/$R$3</f>
        <v>12605.649</v>
      </c>
      <c r="W136" s="114" t="n">
        <f aca="false">N136/$R$3</f>
        <v>21216.933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Data'!$A$2:$B$8,MATCH(WEEKDAY('BRA Power'!A137,3),'Master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10937664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12605649</v>
      </c>
      <c r="N137" s="112" t="n">
        <f aca="false">SUM(J$6:J137)</f>
        <v>21216933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10937.664</v>
      </c>
      <c r="V137" s="114" t="n">
        <f aca="false">M137/$R$3</f>
        <v>12605.649</v>
      </c>
      <c r="W137" s="114" t="n">
        <f aca="false">N137/$R$3</f>
        <v>21216.933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Data'!$A$2:$B$8,MATCH(WEEKDAY('BRA Power'!A138,3),'Master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10937664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12605649</v>
      </c>
      <c r="N138" s="112" t="n">
        <f aca="false">SUM(J$6:J138)</f>
        <v>21216933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10937.664</v>
      </c>
      <c r="V138" s="114" t="n">
        <f aca="false">M138/$R$3</f>
        <v>12605.649</v>
      </c>
      <c r="W138" s="114" t="n">
        <f aca="false">N138/$R$3</f>
        <v>21216.933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Data'!$A$2:$B$8,MATCH(WEEKDAY('BRA Power'!A139,3),'Master Data'!$A$2:$A$8,0),2)</f>
        <v>M</v>
      </c>
      <c r="D139" s="112" t="n">
        <v>342560</v>
      </c>
      <c r="E139" s="112" t="n">
        <v>0</v>
      </c>
      <c r="F139" s="112" t="n">
        <v>0</v>
      </c>
      <c r="G139" s="112" t="n">
        <f aca="false">11063346-100000</f>
        <v>10963346</v>
      </c>
      <c r="I139" s="112" t="n">
        <f aca="false">IF(MONTH($A139)=MONTH($A138),IF(G139=0,I138,G139),G139)</f>
        <v>10963346</v>
      </c>
      <c r="J139" s="112" t="n">
        <f aca="false">IF(MONTH($A139)=MONTH($A138),SUM(I139-I138),I139)</f>
        <v>25682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12631331</v>
      </c>
      <c r="N139" s="112" t="n">
        <f aca="false">SUM(J$6:J139)</f>
        <v>21242615</v>
      </c>
      <c r="P139" s="112" t="n">
        <f aca="false">D139/P$3</f>
        <v>0.34256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25.682</v>
      </c>
      <c r="T139" s="114" t="n">
        <f aca="false">L139/$R$3</f>
        <v>0</v>
      </c>
      <c r="U139" s="114" t="n">
        <f aca="false">I139/$R$3</f>
        <v>10963.346</v>
      </c>
      <c r="V139" s="114" t="n">
        <f aca="false">M139/$R$3</f>
        <v>12631.331</v>
      </c>
      <c r="W139" s="114" t="n">
        <f aca="false">N139/$R$3</f>
        <v>21242.615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Data'!$A$2:$B$8,MATCH(WEEKDAY('BRA Power'!A140,3),'Master Data'!$A$2:$A$8,0),2)</f>
        <v>T</v>
      </c>
      <c r="D140" s="112" t="n">
        <v>342730</v>
      </c>
      <c r="E140" s="112" t="n">
        <v>0</v>
      </c>
      <c r="F140" s="112" t="n">
        <v>0</v>
      </c>
      <c r="G140" s="112" t="n">
        <f aca="false">11071916-100000</f>
        <v>10971916</v>
      </c>
      <c r="I140" s="112" t="n">
        <f aca="false">IF(MONTH($A140)=MONTH($A139),IF(G140=0,I139,G140),G140)</f>
        <v>10971916</v>
      </c>
      <c r="J140" s="112" t="n">
        <f aca="false">IF(MONTH($A140)=MONTH($A139),SUM(I140-I139),I140)</f>
        <v>8570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12639901</v>
      </c>
      <c r="N140" s="112" t="n">
        <f aca="false">SUM(J$6:J140)</f>
        <v>21251185</v>
      </c>
      <c r="P140" s="112" t="n">
        <f aca="false">D140/P$3</f>
        <v>0.34273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8.57</v>
      </c>
      <c r="T140" s="114" t="n">
        <f aca="false">L140/$R$3</f>
        <v>0</v>
      </c>
      <c r="U140" s="114" t="n">
        <f aca="false">I140/$R$3</f>
        <v>10971.916</v>
      </c>
      <c r="V140" s="114" t="n">
        <f aca="false">M140/$R$3</f>
        <v>12639.901</v>
      </c>
      <c r="W140" s="114" t="n">
        <f aca="false">N140/$R$3</f>
        <v>21251.185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Data'!$A$2:$B$8,MATCH(WEEKDAY('BRA Power'!A141,3),'Master Data'!$A$2:$A$8,0),2)</f>
        <v>W</v>
      </c>
      <c r="D141" s="112" t="n">
        <v>342900</v>
      </c>
      <c r="E141" s="112" t="n">
        <v>0</v>
      </c>
      <c r="F141" s="112" t="n">
        <v>0</v>
      </c>
      <c r="G141" s="112" t="n">
        <f aca="false">11080489-100000</f>
        <v>10980489</v>
      </c>
      <c r="I141" s="112" t="n">
        <f aca="false">IF(MONTH($A141)=MONTH($A140),IF(G141=0,I140,G141),G141)</f>
        <v>10980489</v>
      </c>
      <c r="J141" s="112" t="n">
        <f aca="false">IF(MONTH($A141)=MONTH($A140),SUM(I141-I140),I141)</f>
        <v>8573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12648474</v>
      </c>
      <c r="N141" s="112" t="n">
        <f aca="false">SUM(J$6:J141)</f>
        <v>21259758</v>
      </c>
      <c r="P141" s="112" t="n">
        <f aca="false">D141/P$3</f>
        <v>0.3429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8.573</v>
      </c>
      <c r="T141" s="114" t="n">
        <f aca="false">L141/$R$3</f>
        <v>0</v>
      </c>
      <c r="U141" s="114" t="n">
        <f aca="false">I141/$R$3</f>
        <v>10980.489</v>
      </c>
      <c r="V141" s="114" t="n">
        <f aca="false">M141/$R$3</f>
        <v>12648.474</v>
      </c>
      <c r="W141" s="114" t="n">
        <f aca="false">N141/$R$3</f>
        <v>21259.758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Data'!$A$2:$B$8,MATCH(WEEKDAY('BRA Power'!A142,3),'Master Data'!$A$2:$A$8,0),2)</f>
        <v>Th</v>
      </c>
      <c r="D142" s="112" t="n">
        <v>186440</v>
      </c>
      <c r="E142" s="112" t="n">
        <v>0</v>
      </c>
      <c r="F142" s="112" t="n">
        <v>0</v>
      </c>
      <c r="G142" s="112" t="n">
        <f aca="false">-7536301-100000</f>
        <v>-7636301</v>
      </c>
      <c r="I142" s="112" t="n">
        <f aca="false">IF(MONTH($A142)=MONTH($A141),IF(G142=0,I141,G142),G142)</f>
        <v>-7636301</v>
      </c>
      <c r="J142" s="112" t="n">
        <f aca="false">IF(MONTH($A142)=MONTH($A141),SUM(I142-I141),I142)</f>
        <v>-18616790</v>
      </c>
      <c r="K142" s="112" t="n">
        <f aca="false">IF(WEEKDAY(A142,3)&gt;4,0,(IF(A142&lt;K$2,0,IF(A142&lt;=K$3,1,0))))</f>
        <v>0</v>
      </c>
      <c r="L142" s="112" t="n">
        <f aca="false">J142*K142</f>
        <v>-0</v>
      </c>
      <c r="M142" s="112" t="n">
        <f aca="false">SUM(J$97:J142)</f>
        <v>-5968316</v>
      </c>
      <c r="N142" s="112" t="n">
        <f aca="false">SUM(J$6:J142)</f>
        <v>2642968</v>
      </c>
      <c r="P142" s="112" t="n">
        <f aca="false">D142/P$3</f>
        <v>0.18644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-18616.79</v>
      </c>
      <c r="T142" s="114" t="n">
        <f aca="false">L142/$R$3</f>
        <v>-0</v>
      </c>
      <c r="U142" s="114" t="n">
        <f aca="false">I142/$R$3</f>
        <v>-7636.301</v>
      </c>
      <c r="V142" s="114" t="n">
        <f aca="false">M142/$R$3</f>
        <v>-5968.316</v>
      </c>
      <c r="W142" s="114" t="n">
        <f aca="false">N142/$R$3</f>
        <v>2642.968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Data'!$A$2:$B$8,MATCH(WEEKDAY('BRA Power'!A143,3),'Master Data'!$A$2:$A$8,0),2)</f>
        <v>F</v>
      </c>
      <c r="D143" s="112" t="n">
        <v>186540</v>
      </c>
      <c r="E143" s="112" t="n">
        <v>0</v>
      </c>
      <c r="F143" s="112" t="n">
        <v>0</v>
      </c>
      <c r="G143" s="112" t="n">
        <f aca="false">-7534498-100000</f>
        <v>-7634498</v>
      </c>
      <c r="I143" s="112" t="n">
        <f aca="false">IF(MONTH($A143)=MONTH($A142),IF(G143=0,I142,G143),G143)</f>
        <v>-7634498</v>
      </c>
      <c r="J143" s="112" t="n">
        <f aca="false">IF(MONTH($A143)=MONTH($A142),SUM(I143-I142),I143)</f>
        <v>1803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-5966513</v>
      </c>
      <c r="N143" s="112" t="n">
        <f aca="false">SUM(J$6:J143)</f>
        <v>2644771</v>
      </c>
      <c r="P143" s="112" t="n">
        <f aca="false">D143/P$3</f>
        <v>0.18654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1.803</v>
      </c>
      <c r="T143" s="114" t="n">
        <f aca="false">L143/$R$3</f>
        <v>0</v>
      </c>
      <c r="U143" s="114" t="n">
        <f aca="false">I143/$R$3</f>
        <v>-7634.498</v>
      </c>
      <c r="V143" s="114" t="n">
        <f aca="false">M143/$R$3</f>
        <v>-5966.513</v>
      </c>
      <c r="W143" s="114" t="n">
        <f aca="false">N143/$R$3</f>
        <v>2644.771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Data'!$A$2:$B$8,MATCH(WEEKDAY('BRA Power'!A144,3),'Master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-7634498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-5966513</v>
      </c>
      <c r="N144" s="112" t="n">
        <f aca="false">SUM(J$6:J144)</f>
        <v>2644771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-7634.498</v>
      </c>
      <c r="V144" s="114" t="n">
        <f aca="false">M144/$R$3</f>
        <v>-5966.513</v>
      </c>
      <c r="W144" s="114" t="n">
        <f aca="false">N144/$R$3</f>
        <v>2644.771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Data'!$A$2:$B$8,MATCH(WEEKDAY('BRA Power'!A145,3),'Master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-7634498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-5966513</v>
      </c>
      <c r="N145" s="112" t="n">
        <f aca="false">SUM(J$6:J145)</f>
        <v>2644771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-7634.498</v>
      </c>
      <c r="V145" s="114" t="n">
        <f aca="false">M145/$R$3</f>
        <v>-5966.513</v>
      </c>
      <c r="W145" s="114" t="n">
        <f aca="false">N145/$R$3</f>
        <v>2644.771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Data'!$A$2:$B$8,MATCH(WEEKDAY('BRA Power'!A146,3),'Master Data'!$A$2:$A$8,0),2)</f>
        <v>M</v>
      </c>
      <c r="D146" s="112" t="n">
        <v>186841</v>
      </c>
      <c r="E146" s="112" t="n">
        <v>0</v>
      </c>
      <c r="F146" s="112" t="n">
        <v>0</v>
      </c>
      <c r="G146" s="112" t="n">
        <f aca="false">-7436453-100000</f>
        <v>-7536453</v>
      </c>
      <c r="I146" s="112" t="n">
        <f aca="false">IF(MONTH($A146)=MONTH($A145),IF(G146=0,I145,G146),G146)</f>
        <v>-7536453</v>
      </c>
      <c r="J146" s="112" t="n">
        <f aca="false">IF(MONTH($A146)=MONTH($A145),SUM(I146-I145),I146)</f>
        <v>98045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-5868468</v>
      </c>
      <c r="N146" s="112" t="n">
        <f aca="false">SUM(J$6:J146)</f>
        <v>2742816</v>
      </c>
      <c r="P146" s="112" t="n">
        <f aca="false">D146/P$3</f>
        <v>0.186841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98.045</v>
      </c>
      <c r="T146" s="114" t="n">
        <f aca="false">L146/$R$3</f>
        <v>0</v>
      </c>
      <c r="U146" s="114" t="n">
        <f aca="false">I146/$R$3</f>
        <v>-7536.453</v>
      </c>
      <c r="V146" s="114" t="n">
        <f aca="false">M146/$R$3</f>
        <v>-5868.468</v>
      </c>
      <c r="W146" s="114" t="n">
        <f aca="false">N146/$R$3</f>
        <v>2742.816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Data'!$A$2:$B$8,MATCH(WEEKDAY('BRA Power'!A147,3),'Master Data'!$A$2:$A$8,0),2)</f>
        <v>T</v>
      </c>
      <c r="D147" s="112" t="n">
        <v>186941</v>
      </c>
      <c r="E147" s="112" t="n">
        <v>0</v>
      </c>
      <c r="F147" s="112" t="n">
        <v>0</v>
      </c>
      <c r="G147" s="112" t="n">
        <v>-5546618</v>
      </c>
      <c r="I147" s="112" t="n">
        <f aca="false">IF(MONTH($A147)=MONTH($A146),IF(G147=0,I146,G147),G147)</f>
        <v>-5546618</v>
      </c>
      <c r="J147" s="112" t="n">
        <f aca="false">IF(MONTH($A147)=MONTH($A146),SUM(I147-I146),I147)</f>
        <v>1989835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-3878633</v>
      </c>
      <c r="N147" s="112" t="n">
        <f aca="false">SUM(J$6:J147)</f>
        <v>4732651</v>
      </c>
      <c r="P147" s="112" t="n">
        <f aca="false">D147/P$3</f>
        <v>0.186941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1989.835</v>
      </c>
      <c r="T147" s="114" t="n">
        <f aca="false">L147/$R$3</f>
        <v>0</v>
      </c>
      <c r="U147" s="114" t="n">
        <f aca="false">I147/$R$3</f>
        <v>-5546.618</v>
      </c>
      <c r="V147" s="114" t="n">
        <f aca="false">M147/$R$3</f>
        <v>-3878.633</v>
      </c>
      <c r="W147" s="114" t="n">
        <f aca="false">N147/$R$3</f>
        <v>4732.651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Data'!$A$2:$B$8,MATCH(WEEKDAY('BRA Power'!A148,3),'Master Data'!$A$2:$A$8,0),2)</f>
        <v>W</v>
      </c>
      <c r="D148" s="112" t="n">
        <v>187041</v>
      </c>
      <c r="E148" s="112" t="n">
        <v>45258.0237525661</v>
      </c>
      <c r="F148" s="112" t="n">
        <v>0</v>
      </c>
      <c r="G148" s="112" t="n">
        <v>13074844</v>
      </c>
      <c r="I148" s="112" t="n">
        <f aca="false">IF(MONTH($A148)=MONTH($A147),IF(G148=0,I147,G148),G148)</f>
        <v>13074844</v>
      </c>
      <c r="J148" s="112" t="n">
        <f aca="false">IF(MONTH($A148)=MONTH($A147),SUM(I148-I147),I148)</f>
        <v>18621462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14742829</v>
      </c>
      <c r="N148" s="112" t="n">
        <f aca="false">SUM(J$6:J148)</f>
        <v>23354113</v>
      </c>
      <c r="P148" s="112" t="n">
        <f aca="false">D148/P$3</f>
        <v>0.187041</v>
      </c>
      <c r="Q148" s="112" t="n">
        <f aca="false">E148/P$3</f>
        <v>0.0452580237525661</v>
      </c>
      <c r="R148" s="112" t="n">
        <f aca="false">F148/R$3</f>
        <v>0</v>
      </c>
      <c r="S148" s="114" t="n">
        <f aca="false">J148/$R$3</f>
        <v>18621.462</v>
      </c>
      <c r="T148" s="114" t="n">
        <f aca="false">L148/$R$3</f>
        <v>0</v>
      </c>
      <c r="U148" s="114" t="n">
        <f aca="false">I148/$R$3</f>
        <v>13074.844</v>
      </c>
      <c r="V148" s="114" t="n">
        <f aca="false">M148/$R$3</f>
        <v>14742.829</v>
      </c>
      <c r="W148" s="114" t="n">
        <f aca="false">N148/$R$3</f>
        <v>23354.113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Data'!$A$2:$B$8,MATCH(WEEKDAY('BRA Power'!A149,3),'Master Data'!$A$2:$A$8,0),2)</f>
        <v>Th</v>
      </c>
      <c r="D149" s="112" t="n">
        <v>187141</v>
      </c>
      <c r="E149" s="112" t="n">
        <v>45258.0237525661</v>
      </c>
      <c r="F149" s="112" t="n">
        <v>0</v>
      </c>
      <c r="G149" s="112" t="n">
        <v>13077715</v>
      </c>
      <c r="I149" s="112" t="n">
        <f aca="false">IF(MONTH($A149)=MONTH($A148),IF(G149=0,I148,G149),G149)</f>
        <v>13077715</v>
      </c>
      <c r="J149" s="112" t="n">
        <f aca="false">IF(MONTH($A149)=MONTH($A148),SUM(I149-I148),I149)</f>
        <v>2871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14745700</v>
      </c>
      <c r="N149" s="112" t="n">
        <f aca="false">SUM(J$6:J149)</f>
        <v>23356984</v>
      </c>
      <c r="P149" s="112" t="n">
        <f aca="false">D149/P$3</f>
        <v>0.187141</v>
      </c>
      <c r="Q149" s="112" t="n">
        <f aca="false">E149/P$3</f>
        <v>0.0452580237525661</v>
      </c>
      <c r="R149" s="112" t="n">
        <f aca="false">F149/R$3</f>
        <v>0</v>
      </c>
      <c r="S149" s="114" t="n">
        <f aca="false">J149/$R$3</f>
        <v>2.871</v>
      </c>
      <c r="T149" s="114" t="n">
        <f aca="false">L149/$R$3</f>
        <v>0</v>
      </c>
      <c r="U149" s="114" t="n">
        <f aca="false">I149/$R$3</f>
        <v>13077.715</v>
      </c>
      <c r="V149" s="114" t="n">
        <f aca="false">M149/$R$3</f>
        <v>14745.7</v>
      </c>
      <c r="W149" s="114" t="n">
        <f aca="false">N149/$R$3</f>
        <v>23356.984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Data'!$A$2:$B$8,MATCH(WEEKDAY('BRA Power'!A150,3),'Master Data'!$A$2:$A$8,0),2)</f>
        <v>F</v>
      </c>
      <c r="D150" s="112" t="n">
        <v>187242</v>
      </c>
      <c r="E150" s="112" t="n">
        <v>45258.0237525661</v>
      </c>
      <c r="F150" s="112" t="n">
        <v>0</v>
      </c>
      <c r="G150" s="112" t="n">
        <v>13080587</v>
      </c>
      <c r="I150" s="112" t="n">
        <f aca="false">IF(MONTH($A150)=MONTH($A149),IF(G150=0,I149,G150),G150)</f>
        <v>13080587</v>
      </c>
      <c r="J150" s="112" t="n">
        <f aca="false">IF(MONTH($A150)=MONTH($A149),SUM(I150-I149),I150)</f>
        <v>2872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14748572</v>
      </c>
      <c r="N150" s="112" t="n">
        <f aca="false">SUM(J$6:J150)</f>
        <v>23359856</v>
      </c>
      <c r="P150" s="112" t="n">
        <f aca="false">D150/P$3</f>
        <v>0.187242</v>
      </c>
      <c r="Q150" s="112" t="n">
        <f aca="false">E150/P$3</f>
        <v>0.0452580237525661</v>
      </c>
      <c r="R150" s="112" t="n">
        <f aca="false">F150/R$3</f>
        <v>0</v>
      </c>
      <c r="S150" s="114" t="n">
        <f aca="false">J150/$R$3</f>
        <v>2.872</v>
      </c>
      <c r="T150" s="114" t="n">
        <f aca="false">L150/$R$3</f>
        <v>0</v>
      </c>
      <c r="U150" s="114" t="n">
        <f aca="false">I150/$R$3</f>
        <v>13080.587</v>
      </c>
      <c r="V150" s="114" t="n">
        <f aca="false">M150/$R$3</f>
        <v>14748.572</v>
      </c>
      <c r="W150" s="114" t="n">
        <f aca="false">N150/$R$3</f>
        <v>23359.856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Data'!$A$2:$B$8,MATCH(WEEKDAY('BRA Power'!A151,3),'Master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13080587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14748572</v>
      </c>
      <c r="N151" s="112" t="n">
        <f aca="false">SUM(J$6:J151)</f>
        <v>23359856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13080.587</v>
      </c>
      <c r="V151" s="114" t="n">
        <f aca="false">M151/$R$3</f>
        <v>14748.572</v>
      </c>
      <c r="W151" s="114" t="n">
        <f aca="false">N151/$R$3</f>
        <v>23359.856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Data'!$A$2:$B$8,MATCH(WEEKDAY('BRA Power'!A152,3),'Master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13080587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14748572</v>
      </c>
      <c r="N152" s="112" t="n">
        <f aca="false">SUM(J$6:J152)</f>
        <v>23359856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13080.587</v>
      </c>
      <c r="V152" s="114" t="n">
        <f aca="false">M152/$R$3</f>
        <v>14748.572</v>
      </c>
      <c r="W152" s="114" t="n">
        <f aca="false">N152/$R$3</f>
        <v>23359.856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Data'!$A$2:$B$8,MATCH(WEEKDAY('BRA Power'!A153,3),'Master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13080587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14748572</v>
      </c>
      <c r="N153" s="112" t="n">
        <f aca="false">SUM(J$6:J153)</f>
        <v>23359856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13080.587</v>
      </c>
      <c r="V153" s="114" t="n">
        <f aca="false">M153/$R$3</f>
        <v>14748.572</v>
      </c>
      <c r="W153" s="114" t="n">
        <f aca="false">N153/$R$3</f>
        <v>23359.856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Data'!$A$2:$B$8,MATCH(WEEKDAY('BRA Power'!A154,3),'Master Data'!$A$2:$A$8,0),2)</f>
        <v>T</v>
      </c>
      <c r="D154" s="112" t="n">
        <v>187644</v>
      </c>
      <c r="E154" s="112" t="n">
        <v>45400.9477100313</v>
      </c>
      <c r="F154" s="112" t="n">
        <v>0</v>
      </c>
      <c r="G154" s="112" t="n">
        <f aca="false">13192091-100000</f>
        <v>13092091</v>
      </c>
      <c r="I154" s="112" t="n">
        <f aca="false">IF(MONTH($A154)=MONTH($A153),IF(G154=0,I153,G154),G154)</f>
        <v>13092091</v>
      </c>
      <c r="J154" s="112" t="n">
        <f aca="false">IF(MONTH($A154)=MONTH($A153),SUM(I154-I153),I154)</f>
        <v>11504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14760076</v>
      </c>
      <c r="N154" s="112" t="n">
        <f aca="false">SUM(J$6:J154)</f>
        <v>23371360</v>
      </c>
      <c r="P154" s="112" t="n">
        <f aca="false">D154/P$3</f>
        <v>0.187644</v>
      </c>
      <c r="Q154" s="112" t="n">
        <f aca="false">E154/P$3</f>
        <v>0.0454009477100313</v>
      </c>
      <c r="R154" s="112" t="n">
        <f aca="false">F154/R$3</f>
        <v>0</v>
      </c>
      <c r="S154" s="114" t="n">
        <f aca="false">J154/$R$3</f>
        <v>11.504</v>
      </c>
      <c r="T154" s="114" t="n">
        <f aca="false">L154/$R$3</f>
        <v>0</v>
      </c>
      <c r="U154" s="114" t="n">
        <f aca="false">I154/$R$3</f>
        <v>13092.091</v>
      </c>
      <c r="V154" s="114" t="n">
        <f aca="false">M154/$R$3</f>
        <v>14760.076</v>
      </c>
      <c r="W154" s="114" t="n">
        <f aca="false">N154/$R$3</f>
        <v>23371.36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Data'!$A$2:$B$8,MATCH(WEEKDAY('BRA Power'!A155,3),'Master Data'!$A$2:$A$8,0),2)</f>
        <v>W</v>
      </c>
      <c r="D155" s="112" t="n">
        <v>187745</v>
      </c>
      <c r="E155" s="112" t="n">
        <v>45424.8122440827</v>
      </c>
      <c r="F155" s="112" t="n">
        <v>0</v>
      </c>
      <c r="G155" s="112" t="n">
        <f aca="false">13194970-100000</f>
        <v>13094970</v>
      </c>
      <c r="I155" s="112" t="n">
        <f aca="false">IF(MONTH($A155)=MONTH($A154),IF(G155=0,I154,G155),G155)</f>
        <v>13094970</v>
      </c>
      <c r="J155" s="112" t="n">
        <f aca="false">IF(MONTH($A155)=MONTH($A154),SUM(I155-I154),I155)</f>
        <v>2879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14762955</v>
      </c>
      <c r="N155" s="112" t="n">
        <f aca="false">SUM(J$6:J155)</f>
        <v>23374239</v>
      </c>
      <c r="P155" s="112" t="n">
        <f aca="false">D155/P$3</f>
        <v>0.187745</v>
      </c>
      <c r="Q155" s="112" t="n">
        <f aca="false">E155/P$3</f>
        <v>0.0454248122440827</v>
      </c>
      <c r="R155" s="112" t="n">
        <f aca="false">F155/R$3</f>
        <v>0</v>
      </c>
      <c r="S155" s="114" t="n">
        <f aca="false">J155/$R$3</f>
        <v>2.879</v>
      </c>
      <c r="T155" s="114" t="n">
        <f aca="false">L155/$R$3</f>
        <v>0</v>
      </c>
      <c r="U155" s="114" t="n">
        <f aca="false">I155/$R$3</f>
        <v>13094.97</v>
      </c>
      <c r="V155" s="114" t="n">
        <f aca="false">M155/$R$3</f>
        <v>14762.955</v>
      </c>
      <c r="W155" s="114" t="n">
        <f aca="false">N155/$R$3</f>
        <v>23374.239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Data'!$A$2:$B$8,MATCH(WEEKDAY('BRA Power'!A156,3),'Master Data'!$A$2:$A$8,0),2)</f>
        <v>Th</v>
      </c>
      <c r="D156" s="112" t="n">
        <v>180538</v>
      </c>
      <c r="E156" s="112" t="n">
        <v>45324.5856559281</v>
      </c>
      <c r="F156" s="112" t="n">
        <v>0</v>
      </c>
      <c r="G156" s="112" t="n">
        <f aca="false">13053560-100000</f>
        <v>12953560</v>
      </c>
      <c r="I156" s="112" t="n">
        <f aca="false">IF(MONTH($A156)=MONTH($A155),IF(G156=0,I155,G156),G156)</f>
        <v>12953560</v>
      </c>
      <c r="J156" s="112" t="n">
        <f aca="false">IF(MONTH($A156)=MONTH($A155),SUM(I156-I155),I156)</f>
        <v>-141410</v>
      </c>
      <c r="K156" s="112" t="n">
        <f aca="false">IF(WEEKDAY(A156,3)&gt;4,0,(IF(A156&lt;K$2,0,IF(A156&lt;=K$3,1,0))))</f>
        <v>0</v>
      </c>
      <c r="L156" s="112" t="n">
        <f aca="false">J156*K156</f>
        <v>-0</v>
      </c>
      <c r="M156" s="112" t="n">
        <f aca="false">SUM(J$97:J156)</f>
        <v>14621545</v>
      </c>
      <c r="N156" s="112" t="n">
        <f aca="false">SUM(J$6:J156)</f>
        <v>23232829</v>
      </c>
      <c r="P156" s="112" t="n">
        <f aca="false">D156/P$3</f>
        <v>0.180538</v>
      </c>
      <c r="Q156" s="112" t="n">
        <f aca="false">E156/P$3</f>
        <v>0.0453245856559281</v>
      </c>
      <c r="R156" s="112" t="n">
        <f aca="false">F156/R$3</f>
        <v>0</v>
      </c>
      <c r="S156" s="114" t="n">
        <f aca="false">J156/$R$3</f>
        <v>-141.41</v>
      </c>
      <c r="T156" s="114" t="n">
        <f aca="false">L156/$R$3</f>
        <v>-0</v>
      </c>
      <c r="U156" s="114" t="n">
        <f aca="false">I156/$R$3</f>
        <v>12953.56</v>
      </c>
      <c r="V156" s="114" t="n">
        <f aca="false">M156/$R$3</f>
        <v>14621.545</v>
      </c>
      <c r="W156" s="114" t="n">
        <f aca="false">N156/$R$3</f>
        <v>23232.829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Data'!$A$2:$B$8,MATCH(WEEKDAY('BRA Power'!A157,3),'Master Data'!$A$2:$A$8,0),2)</f>
        <v>F</v>
      </c>
      <c r="D157" s="112" t="n">
        <v>180640</v>
      </c>
      <c r="E157" s="112" t="n">
        <v>45348.2641243761</v>
      </c>
      <c r="F157" s="112" t="n">
        <v>0</v>
      </c>
      <c r="G157" s="112" t="n">
        <v>2673</v>
      </c>
      <c r="I157" s="112" t="n">
        <f aca="false">IF(MONTH($A157)=MONTH($A156),IF(G157=0,I156,G157),G157)</f>
        <v>2673</v>
      </c>
      <c r="J157" s="112" t="n">
        <f aca="false">IF(MONTH($A157)=MONTH($A156),SUM(I157-I156),I157)</f>
        <v>2673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14624218</v>
      </c>
      <c r="N157" s="112" t="n">
        <f aca="false">SUM(J$6:J157)</f>
        <v>23235502</v>
      </c>
      <c r="P157" s="112" t="n">
        <f aca="false">D157/P$3</f>
        <v>0.18064</v>
      </c>
      <c r="Q157" s="112" t="n">
        <f aca="false">E157/P$3</f>
        <v>0.0453482641243761</v>
      </c>
      <c r="R157" s="112" t="n">
        <f aca="false">F157/R$3</f>
        <v>0</v>
      </c>
      <c r="S157" s="114" t="n">
        <f aca="false">J157/$R$3</f>
        <v>2.673</v>
      </c>
      <c r="T157" s="114" t="n">
        <f aca="false">L157/$R$3</f>
        <v>0</v>
      </c>
      <c r="U157" s="114" t="n">
        <f aca="false">I157/$R$3</f>
        <v>2.673</v>
      </c>
      <c r="V157" s="114" t="n">
        <f aca="false">M157/$R$3</f>
        <v>14624.218</v>
      </c>
      <c r="W157" s="114" t="n">
        <f aca="false">N157/$R$3</f>
        <v>23235.502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Data'!$A$2:$B$8,MATCH(WEEKDAY('BRA Power'!A158,3),'Master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2673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14624218</v>
      </c>
      <c r="N158" s="112" t="n">
        <f aca="false">SUM(J$6:J158)</f>
        <v>23235502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2.673</v>
      </c>
      <c r="V158" s="114" t="n">
        <f aca="false">M158/$R$3</f>
        <v>14624.218</v>
      </c>
      <c r="W158" s="114" t="n">
        <f aca="false">N158/$R$3</f>
        <v>23235.502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Data'!$A$2:$B$8,MATCH(WEEKDAY('BRA Power'!A159,3),'Master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2673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14624218</v>
      </c>
      <c r="N159" s="112" t="n">
        <f aca="false">SUM(J$6:J159)</f>
        <v>23235502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2.673</v>
      </c>
      <c r="V159" s="114" t="n">
        <f aca="false">M159/$R$3</f>
        <v>14624.218</v>
      </c>
      <c r="W159" s="114" t="n">
        <f aca="false">N159/$R$3</f>
        <v>23235.502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Data'!$A$2:$B$8,MATCH(WEEKDAY('BRA Power'!A160,3),'Master Data'!$A$2:$A$8,0),2)</f>
        <v>M</v>
      </c>
      <c r="D160" s="112" t="n">
        <v>180945</v>
      </c>
      <c r="E160" s="112" t="n">
        <v>45419.3742448428</v>
      </c>
      <c r="F160" s="112" t="n">
        <v>0</v>
      </c>
      <c r="G160" s="112" t="n">
        <v>10698</v>
      </c>
      <c r="I160" s="112" t="n">
        <f aca="false">IF(MONTH($A160)=MONTH($A159),IF(G160=0,I159,G160),G160)</f>
        <v>10698</v>
      </c>
      <c r="J160" s="112" t="n">
        <f aca="false">IF(MONTH($A160)=MONTH($A159),SUM(I160-I159),I160)</f>
        <v>8025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14632243</v>
      </c>
      <c r="N160" s="112" t="n">
        <f aca="false">SUM(J$6:J160)</f>
        <v>23243527</v>
      </c>
      <c r="P160" s="112" t="n">
        <f aca="false">D160/P$3</f>
        <v>0.180945</v>
      </c>
      <c r="Q160" s="112" t="n">
        <f aca="false">E160/P$3</f>
        <v>0.0454193742448428</v>
      </c>
      <c r="R160" s="112" t="n">
        <f aca="false">F160/R$3</f>
        <v>0</v>
      </c>
      <c r="S160" s="114" t="n">
        <f aca="false">J160/$R$3</f>
        <v>8.025</v>
      </c>
      <c r="T160" s="114" t="n">
        <f aca="false">L160/$R$3</f>
        <v>0</v>
      </c>
      <c r="U160" s="114" t="n">
        <f aca="false">I160/$R$3</f>
        <v>10.698</v>
      </c>
      <c r="V160" s="114" t="n">
        <f aca="false">M160/$R$3</f>
        <v>14632.243</v>
      </c>
      <c r="W160" s="114" t="n">
        <f aca="false">N160/$R$3</f>
        <v>23243.527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Data'!$A$2:$B$8,MATCH(WEEKDAY('BRA Power'!A161,3),'Master Data'!$A$2:$A$8,0),2)</f>
        <v>T</v>
      </c>
      <c r="D161" s="112" t="n">
        <v>181046.405164574</v>
      </c>
      <c r="E161" s="112" t="n">
        <v>45443.1025453295</v>
      </c>
      <c r="F161" s="112" t="n">
        <v>0</v>
      </c>
      <c r="G161" s="112" t="n">
        <v>919486</v>
      </c>
      <c r="I161" s="112" t="n">
        <f aca="false">IF(MONTH($A161)=MONTH($A160),IF(G161=0,I160,G161),G161)</f>
        <v>919486</v>
      </c>
      <c r="J161" s="112" t="n">
        <f aca="false">IF(MONTH($A161)=MONTH($A160),SUM(I161-I160),I161)</f>
        <v>908788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15541031</v>
      </c>
      <c r="N161" s="112" t="n">
        <f aca="false">SUM(J$6:J161)</f>
        <v>24152315</v>
      </c>
      <c r="P161" s="112" t="n">
        <f aca="false">D161/P$3</f>
        <v>0.181046405164574</v>
      </c>
      <c r="Q161" s="112" t="n">
        <f aca="false">E161/P$3</f>
        <v>0.0454431025453295</v>
      </c>
      <c r="R161" s="112" t="n">
        <f aca="false">F161/R$3</f>
        <v>0</v>
      </c>
      <c r="S161" s="114" t="n">
        <f aca="false">J161/$R$3</f>
        <v>908.788</v>
      </c>
      <c r="T161" s="114" t="n">
        <f aca="false">L161/$R$3</f>
        <v>0</v>
      </c>
      <c r="U161" s="114" t="n">
        <f aca="false">I161/$R$3</f>
        <v>919.486</v>
      </c>
      <c r="V161" s="114" t="n">
        <f aca="false">M161/$R$3</f>
        <v>15541.031</v>
      </c>
      <c r="W161" s="114" t="n">
        <f aca="false">N161/$R$3</f>
        <v>24152.315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Data'!$A$2:$B$8,MATCH(WEEKDAY('BRA Power'!A162,3),'Master Data'!$A$2:$A$8,0),2)</f>
        <v>W</v>
      </c>
      <c r="D162" s="112" t="n">
        <v>181148</v>
      </c>
      <c r="E162" s="112" t="n">
        <v>45466.8433203025</v>
      </c>
      <c r="F162" s="112" t="n">
        <v>0</v>
      </c>
      <c r="G162" s="112" t="n">
        <v>922635</v>
      </c>
      <c r="I162" s="112" t="n">
        <f aca="false">IF(MONTH($A162)=MONTH($A161),IF(G162=0,I161,G162),G162)</f>
        <v>922635</v>
      </c>
      <c r="J162" s="112" t="n">
        <f aca="false">IF(MONTH($A162)=MONTH($A161),SUM(I162-I161),I162)</f>
        <v>3149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15544180</v>
      </c>
      <c r="N162" s="112" t="n">
        <f aca="false">SUM(J$6:J162)</f>
        <v>24155464</v>
      </c>
      <c r="P162" s="112" t="n">
        <f aca="false">D162/P$3</f>
        <v>0.181148</v>
      </c>
      <c r="Q162" s="112" t="n">
        <f aca="false">E162/P$3</f>
        <v>0.0454668433203025</v>
      </c>
      <c r="R162" s="112" t="n">
        <f aca="false">F162/R$3</f>
        <v>0</v>
      </c>
      <c r="S162" s="114" t="n">
        <f aca="false">J162/$R$3</f>
        <v>3.149</v>
      </c>
      <c r="T162" s="114" t="n">
        <f aca="false">L162/$R$3</f>
        <v>0</v>
      </c>
      <c r="U162" s="114" t="n">
        <f aca="false">I162/$R$3</f>
        <v>922.635</v>
      </c>
      <c r="V162" s="114" t="n">
        <f aca="false">M162/$R$3</f>
        <v>15544.18</v>
      </c>
      <c r="W162" s="114" t="n">
        <f aca="false">N162/$R$3</f>
        <v>24155.464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Data'!$A$2:$B$8,MATCH(WEEKDAY('BRA Power'!A163,3),'Master Data'!$A$2:$A$8,0),2)</f>
        <v>Th</v>
      </c>
      <c r="D163" s="112" t="n">
        <v>181250</v>
      </c>
      <c r="E163" s="112" t="n">
        <v>45490.5965763593</v>
      </c>
      <c r="F163" s="112" t="n">
        <v>0</v>
      </c>
      <c r="G163" s="112" t="n">
        <v>925787</v>
      </c>
      <c r="I163" s="112" t="n">
        <f aca="false">IF(MONTH($A163)=MONTH($A162),IF(G163=0,I162,G163),G163)</f>
        <v>925787</v>
      </c>
      <c r="J163" s="112" t="n">
        <f aca="false">IF(MONTH($A163)=MONTH($A162),SUM(I163-I162),I163)</f>
        <v>3152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15547332</v>
      </c>
      <c r="N163" s="112" t="n">
        <f aca="false">SUM(J$6:J163)</f>
        <v>24158616</v>
      </c>
      <c r="P163" s="112" t="n">
        <f aca="false">D163/P$3</f>
        <v>0.18125</v>
      </c>
      <c r="Q163" s="112" t="n">
        <f aca="false">E163/P$3</f>
        <v>0.0454905965763593</v>
      </c>
      <c r="R163" s="112" t="n">
        <f aca="false">F163/R$3</f>
        <v>0</v>
      </c>
      <c r="S163" s="114" t="n">
        <f aca="false">J163/$R$3</f>
        <v>3.152</v>
      </c>
      <c r="T163" s="114" t="n">
        <f aca="false">L163/$R$3</f>
        <v>0</v>
      </c>
      <c r="U163" s="114" t="n">
        <f aca="false">I163/$R$3</f>
        <v>925.787</v>
      </c>
      <c r="V163" s="114" t="n">
        <f aca="false">M163/$R$3</f>
        <v>15547.332</v>
      </c>
      <c r="W163" s="114" t="n">
        <f aca="false">N163/$R$3</f>
        <v>24158.616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Data'!$A$2:$B$8,MATCH(WEEKDAY('BRA Power'!A164,3),'Master Data'!$A$2:$A$8,0),2)</f>
        <v>F</v>
      </c>
      <c r="D164" s="112" t="n">
        <v>181352.053407759</v>
      </c>
      <c r="E164" s="112" t="n">
        <v>45514.362320101</v>
      </c>
      <c r="F164" s="112" t="n">
        <v>0</v>
      </c>
      <c r="G164" s="112" t="n">
        <v>928941</v>
      </c>
      <c r="I164" s="112" t="n">
        <f aca="false">IF(MONTH($A164)=MONTH($A163),IF(G164=0,I163,G164),G164)</f>
        <v>928941</v>
      </c>
      <c r="J164" s="112" t="n">
        <f aca="false">IF(MONTH($A164)=MONTH($A163),SUM(I164-I163),I164)</f>
        <v>3154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15550486</v>
      </c>
      <c r="N164" s="112" t="n">
        <f aca="false">SUM(J$6:J164)</f>
        <v>24161770</v>
      </c>
      <c r="P164" s="112" t="n">
        <f aca="false">D164/P$3</f>
        <v>0.181352053407759</v>
      </c>
      <c r="Q164" s="112" t="n">
        <f aca="false">E164/P$3</f>
        <v>0.045514362320101</v>
      </c>
      <c r="R164" s="112" t="n">
        <f aca="false">F164/R$3</f>
        <v>0</v>
      </c>
      <c r="S164" s="114" t="n">
        <f aca="false">J164/$R$3</f>
        <v>3.154</v>
      </c>
      <c r="T164" s="114" t="n">
        <f aca="false">L164/$R$3</f>
        <v>0</v>
      </c>
      <c r="U164" s="114" t="n">
        <f aca="false">I164/$R$3</f>
        <v>928.941</v>
      </c>
      <c r="V164" s="114" t="n">
        <f aca="false">M164/$R$3</f>
        <v>15550.486</v>
      </c>
      <c r="W164" s="114" t="n">
        <f aca="false">N164/$R$3</f>
        <v>24161.77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Data'!$A$2:$B$8,MATCH(WEEKDAY('BRA Power'!A165,3),'Master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928941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15550486</v>
      </c>
      <c r="N165" s="112" t="n">
        <f aca="false">SUM(J$6:J165)</f>
        <v>24161770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928.941</v>
      </c>
      <c r="V165" s="114" t="n">
        <f aca="false">M165/$R$3</f>
        <v>15550.486</v>
      </c>
      <c r="W165" s="114" t="n">
        <f aca="false">N165/$R$3</f>
        <v>24161.77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Data'!$A$2:$B$8,MATCH(WEEKDAY('BRA Power'!A166,3),'Master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928941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15550486</v>
      </c>
      <c r="N166" s="112" t="n">
        <f aca="false">SUM(J$6:J166)</f>
        <v>24161770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928.941</v>
      </c>
      <c r="V166" s="114" t="n">
        <f aca="false">M166/$R$3</f>
        <v>15550.486</v>
      </c>
      <c r="W166" s="114" t="n">
        <f aca="false">N166/$R$3</f>
        <v>24161.77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Data'!$A$2:$B$8,MATCH(WEEKDAY('BRA Power'!A167,3),'Master Data'!$A$2:$A$8,0),2)</f>
        <v>M</v>
      </c>
      <c r="D167" s="112" t="n">
        <v>181658.221444372</v>
      </c>
      <c r="E167" s="112" t="n">
        <v>45585.7345435001</v>
      </c>
      <c r="F167" s="112" t="n">
        <v>0</v>
      </c>
      <c r="G167" s="112" t="n">
        <v>938409</v>
      </c>
      <c r="I167" s="112" t="n">
        <f aca="false">IF(MONTH($A167)=MONTH($A166),IF(G167=0,I166,G167),G167)</f>
        <v>938409</v>
      </c>
      <c r="J167" s="112" t="n">
        <f aca="false">IF(MONTH($A167)=MONTH($A166),SUM(I167-I166),I167)</f>
        <v>9468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15559954</v>
      </c>
      <c r="N167" s="112" t="n">
        <f aca="false">SUM(J$6:J167)</f>
        <v>24171238</v>
      </c>
      <c r="P167" s="112" t="n">
        <f aca="false">D167/P$3</f>
        <v>0.181658221444372</v>
      </c>
      <c r="Q167" s="112" t="n">
        <f aca="false">E167/P$3</f>
        <v>0.0455857345435001</v>
      </c>
      <c r="R167" s="112" t="n">
        <f aca="false">F167/R$3</f>
        <v>0</v>
      </c>
      <c r="S167" s="114" t="n">
        <f aca="false">J167/$R$3</f>
        <v>9.468</v>
      </c>
      <c r="T167" s="114" t="n">
        <f aca="false">L167/$R$3</f>
        <v>0</v>
      </c>
      <c r="U167" s="114" t="n">
        <f aca="false">I167/$R$3</f>
        <v>938.409</v>
      </c>
      <c r="V167" s="114" t="n">
        <f aca="false">M167/$R$3</f>
        <v>15559.954</v>
      </c>
      <c r="W167" s="114" t="n">
        <f aca="false">N167/$R$3</f>
        <v>24171.238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Data'!$A$2:$B$8,MATCH(WEEKDAY('BRA Power'!A168,3),'Master Data'!$A$2:$A$8,0),2)</f>
        <v>T</v>
      </c>
      <c r="D168" s="112" t="n">
        <v>181760.393119917</v>
      </c>
      <c r="E168" s="112" t="n">
        <v>45609.5503040633</v>
      </c>
      <c r="F168" s="112" t="n">
        <v>0</v>
      </c>
      <c r="G168" s="112" t="n">
        <v>941569</v>
      </c>
      <c r="I168" s="112" t="n">
        <f aca="false">IF(MONTH($A168)=MONTH($A167),IF(G168=0,I167,G168),G168)</f>
        <v>941569</v>
      </c>
      <c r="J168" s="112" t="n">
        <f aca="false">IF(MONTH($A168)=MONTH($A167),SUM(I168-I167),I168)</f>
        <v>3160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15563114</v>
      </c>
      <c r="N168" s="112" t="n">
        <f aca="false">SUM(J$6:J168)</f>
        <v>24174398</v>
      </c>
      <c r="P168" s="112" t="n">
        <f aca="false">D168/P$3</f>
        <v>0.181760393119917</v>
      </c>
      <c r="Q168" s="112" t="n">
        <f aca="false">E168/P$3</f>
        <v>0.0456095503040633</v>
      </c>
      <c r="R168" s="112" t="n">
        <f aca="false">F168/R$3</f>
        <v>0</v>
      </c>
      <c r="S168" s="114" t="n">
        <f aca="false">J168/$R$3</f>
        <v>3.16</v>
      </c>
      <c r="T168" s="114" t="n">
        <f aca="false">L168/$R$3</f>
        <v>0</v>
      </c>
      <c r="U168" s="114" t="n">
        <f aca="false">I168/$R$3</f>
        <v>941.569</v>
      </c>
      <c r="V168" s="114" t="n">
        <f aca="false">M168/$R$3</f>
        <v>15563.114</v>
      </c>
      <c r="W168" s="114" t="n">
        <f aca="false">N168/$R$3</f>
        <v>24174.398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Data'!$A$2:$B$8,MATCH(WEEKDAY('BRA Power'!A169,3),'Master Data'!$A$2:$A$8,0),2)</f>
        <v>W</v>
      </c>
      <c r="D169" s="112" t="n">
        <v>181862.622682082</v>
      </c>
      <c r="E169" s="112" t="n">
        <v>45633.3785853699</v>
      </c>
      <c r="F169" s="112" t="n">
        <v>0</v>
      </c>
      <c r="G169" s="112" t="n">
        <v>944730</v>
      </c>
      <c r="I169" s="112" t="n">
        <f aca="false">IF(MONTH($A169)=MONTH($A168),IF(G169=0,I168,G169),G169)</f>
        <v>944730</v>
      </c>
      <c r="J169" s="112" t="n">
        <f aca="false">IF(MONTH($A169)=MONTH($A168),SUM(I169-I168),I169)</f>
        <v>3161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15566275</v>
      </c>
      <c r="N169" s="112" t="n">
        <f aca="false">SUM(J$6:J169)</f>
        <v>24177559</v>
      </c>
      <c r="P169" s="112" t="n">
        <f aca="false">D169/P$3</f>
        <v>0.181862622682082</v>
      </c>
      <c r="Q169" s="112" t="n">
        <f aca="false">E169/P$3</f>
        <v>0.0456333785853699</v>
      </c>
      <c r="R169" s="112" t="n">
        <f aca="false">F169/R$3</f>
        <v>0</v>
      </c>
      <c r="S169" s="114" t="n">
        <f aca="false">J169/$R$3</f>
        <v>3.161</v>
      </c>
      <c r="T169" s="114" t="n">
        <f aca="false">L169/$R$3</f>
        <v>0</v>
      </c>
      <c r="U169" s="114" t="n">
        <f aca="false">I169/$R$3</f>
        <v>944.73</v>
      </c>
      <c r="V169" s="114" t="n">
        <f aca="false">M169/$R$3</f>
        <v>15566.275</v>
      </c>
      <c r="W169" s="114" t="n">
        <f aca="false">N169/$R$3</f>
        <v>24177.559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Data'!$A$2:$B$8,MATCH(WEEKDAY('BRA Power'!A170,3),'Master Data'!$A$2:$A$8,0),2)</f>
        <v>Th</v>
      </c>
      <c r="D170" s="112" t="n">
        <v>181964.910163868</v>
      </c>
      <c r="E170" s="112" t="n">
        <v>45657.2193940421</v>
      </c>
      <c r="F170" s="112" t="n">
        <v>0</v>
      </c>
      <c r="G170" s="112" t="n">
        <v>947892</v>
      </c>
      <c r="I170" s="112" t="n">
        <f aca="false">IF(MONTH($A170)=MONTH($A169),IF(G170=0,I169,G170),G170)</f>
        <v>947892</v>
      </c>
      <c r="J170" s="112" t="n">
        <f aca="false">IF(MONTH($A170)=MONTH($A169),SUM(I170-I169),I170)</f>
        <v>3162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15569437</v>
      </c>
      <c r="N170" s="112" t="n">
        <f aca="false">SUM(J$6:J170)</f>
        <v>24180721</v>
      </c>
      <c r="P170" s="112" t="n">
        <f aca="false">D170/P$3</f>
        <v>0.181964910163868</v>
      </c>
      <c r="Q170" s="112" t="n">
        <f aca="false">E170/P$3</f>
        <v>0.0456572193940421</v>
      </c>
      <c r="R170" s="112" t="n">
        <f aca="false">F170/R$3</f>
        <v>0</v>
      </c>
      <c r="S170" s="114" t="n">
        <f aca="false">J170/$R$3</f>
        <v>3.162</v>
      </c>
      <c r="T170" s="114" t="n">
        <f aca="false">L170/$R$3</f>
        <v>0</v>
      </c>
      <c r="U170" s="114" t="n">
        <f aca="false">I170/$R$3</f>
        <v>947.892</v>
      </c>
      <c r="V170" s="114" t="n">
        <f aca="false">M170/$R$3</f>
        <v>15569.437</v>
      </c>
      <c r="W170" s="114" t="n">
        <f aca="false">N170/$R$3</f>
        <v>24180.721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Data'!$A$2:$B$8,MATCH(WEEKDAY('BRA Power'!A171,3),'Master Data'!$A$2:$A$8,0),2)</f>
        <v>F</v>
      </c>
      <c r="D171" s="112" t="n">
        <v>182067.255598293</v>
      </c>
      <c r="E171" s="112" t="n">
        <v>45681.0727367055</v>
      </c>
      <c r="F171" s="112" t="n">
        <v>0</v>
      </c>
      <c r="G171" s="112" t="n">
        <v>951056</v>
      </c>
      <c r="I171" s="112" t="n">
        <f aca="false">IF(MONTH($A171)=MONTH($A170),IF(G171=0,I170,G171),G171)</f>
        <v>951056</v>
      </c>
      <c r="J171" s="112" t="n">
        <f aca="false">IF(MONTH($A171)=MONTH($A170),SUM(I171-I170),I171)</f>
        <v>3164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15572601</v>
      </c>
      <c r="N171" s="112" t="n">
        <f aca="false">SUM(J$6:J171)</f>
        <v>24183885</v>
      </c>
      <c r="P171" s="112" t="n">
        <f aca="false">D171/P$3</f>
        <v>0.182067255598293</v>
      </c>
      <c r="Q171" s="112" t="n">
        <f aca="false">E171/P$3</f>
        <v>0.0456810727367056</v>
      </c>
      <c r="R171" s="112" t="n">
        <f aca="false">F171/R$3</f>
        <v>0</v>
      </c>
      <c r="S171" s="114" t="n">
        <f aca="false">J171/$R$3</f>
        <v>3.164</v>
      </c>
      <c r="T171" s="114" t="n">
        <f aca="false">L171/$R$3</f>
        <v>0</v>
      </c>
      <c r="U171" s="114" t="n">
        <f aca="false">I171/$R$3</f>
        <v>951.056</v>
      </c>
      <c r="V171" s="114" t="n">
        <f aca="false">M171/$R$3</f>
        <v>15572.601</v>
      </c>
      <c r="W171" s="114" t="n">
        <f aca="false">N171/$R$3</f>
        <v>24183.885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Data'!$A$2:$B$8,MATCH(WEEKDAY('BRA Power'!A172,3),'Master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951056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15572601</v>
      </c>
      <c r="N172" s="112" t="n">
        <f aca="false">SUM(J$6:J172)</f>
        <v>24183885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951.056</v>
      </c>
      <c r="V172" s="114" t="n">
        <f aca="false">M172/$R$3</f>
        <v>15572.601</v>
      </c>
      <c r="W172" s="114" t="n">
        <f aca="false">N172/$R$3</f>
        <v>24183.885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Data'!$A$2:$B$8,MATCH(WEEKDAY('BRA Power'!A173,3),'Master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951056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15572601</v>
      </c>
      <c r="N173" s="112" t="n">
        <f aca="false">SUM(J$6:J173)</f>
        <v>24183885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951.056</v>
      </c>
      <c r="V173" s="114" t="n">
        <f aca="false">M173/$R$3</f>
        <v>15572.601</v>
      </c>
      <c r="W173" s="114" t="n">
        <f aca="false">N173/$R$3</f>
        <v>24183.885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Data'!$A$2:$B$8,MATCH(WEEKDAY('BRA Power'!A174,3),'Master Data'!$A$2:$A$8,0),2)</f>
        <v>M</v>
      </c>
      <c r="D174" s="112" t="n">
        <v>182374.639947868</v>
      </c>
      <c r="E174" s="112" t="n">
        <v>45752.7080349545</v>
      </c>
      <c r="F174" s="112" t="n">
        <v>0</v>
      </c>
      <c r="G174" s="112" t="n">
        <v>960557</v>
      </c>
      <c r="I174" s="112" t="n">
        <f aca="false">IF(MONTH($A174)=MONTH($A173),IF(G174=0,I173,G174),G174)</f>
        <v>960557</v>
      </c>
      <c r="J174" s="112" t="n">
        <f aca="false">IF(MONTH($A174)=MONTH($A173),SUM(I174-I173),I174)</f>
        <v>9501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15582102</v>
      </c>
      <c r="N174" s="112" t="n">
        <f aca="false">SUM(J$6:J174)</f>
        <v>24193386</v>
      </c>
      <c r="P174" s="112" t="n">
        <f aca="false">D174/P$3</f>
        <v>0.182374639947868</v>
      </c>
      <c r="Q174" s="112" t="n">
        <f aca="false">E174/P$3</f>
        <v>0.0457527080349544</v>
      </c>
      <c r="R174" s="112" t="n">
        <f aca="false">F174/R$3</f>
        <v>0</v>
      </c>
      <c r="S174" s="114" t="n">
        <f aca="false">J174/$R$3</f>
        <v>9.501</v>
      </c>
      <c r="T174" s="114" t="n">
        <f aca="false">L174/$R$3</f>
        <v>0</v>
      </c>
      <c r="U174" s="114" t="n">
        <f aca="false">I174/$R$3</f>
        <v>960.557</v>
      </c>
      <c r="V174" s="114" t="n">
        <f aca="false">M174/$R$3</f>
        <v>15582.102</v>
      </c>
      <c r="W174" s="114" t="n">
        <f aca="false">N174/$R$3</f>
        <v>24193.386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Data'!$A$2:$B$8,MATCH(WEEKDAY('BRA Power'!A175,3),'Master Data'!$A$2:$A$8,0),2)</f>
        <v>T</v>
      </c>
      <c r="D175" s="112" t="n">
        <v>182477</v>
      </c>
      <c r="E175" s="112" t="n">
        <v>45776.6115799114</v>
      </c>
      <c r="F175" s="112" t="n">
        <v>0</v>
      </c>
      <c r="G175" s="112" t="n">
        <v>963727</v>
      </c>
      <c r="I175" s="112" t="n">
        <f aca="false">IF(MONTH($A175)=MONTH($A174),IF(G175=0,I174,G175),G175)</f>
        <v>963727</v>
      </c>
      <c r="J175" s="112" t="n">
        <f aca="false">IF(MONTH($A175)=MONTH($A174),SUM(I175-I174),I175)</f>
        <v>3170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15585272</v>
      </c>
      <c r="N175" s="112" t="n">
        <f aca="false">SUM(J$6:J175)</f>
        <v>24196556</v>
      </c>
      <c r="P175" s="112" t="n">
        <f aca="false">D175/P$3</f>
        <v>0.182477</v>
      </c>
      <c r="Q175" s="112" t="n">
        <f aca="false">E175/P$3</f>
        <v>0.0457766115799114</v>
      </c>
      <c r="R175" s="112" t="n">
        <f aca="false">F175/R$3</f>
        <v>0</v>
      </c>
      <c r="S175" s="114" t="n">
        <f aca="false">J175/$R$3</f>
        <v>3.17</v>
      </c>
      <c r="T175" s="114" t="n">
        <f aca="false">L175/$R$3</f>
        <v>0</v>
      </c>
      <c r="U175" s="114" t="n">
        <f aca="false">I175/$R$3</f>
        <v>963.727</v>
      </c>
      <c r="V175" s="114" t="n">
        <f aca="false">M175/$R$3</f>
        <v>15585.272</v>
      </c>
      <c r="W175" s="114" t="n">
        <f aca="false">N175/$R$3</f>
        <v>24196.556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Data'!$A$2:$B$8,MATCH(WEEKDAY('BRA Power'!A176,3),'Master Data'!$A$2:$A$8,0),2)</f>
        <v>W</v>
      </c>
      <c r="D176" s="112" t="n">
        <v>182580</v>
      </c>
      <c r="E176" s="112" t="n">
        <v>45800.5276920412</v>
      </c>
      <c r="F176" s="112" t="n">
        <v>0</v>
      </c>
      <c r="G176" s="112" t="n">
        <v>966899</v>
      </c>
      <c r="I176" s="112" t="n">
        <f aca="false">IF(MONTH($A176)=MONTH($A175),IF(G176=0,I175,G176),G176)</f>
        <v>966899</v>
      </c>
      <c r="J176" s="112" t="n">
        <f aca="false">IF(MONTH($A176)=MONTH($A175),SUM(I176-I175),I176)</f>
        <v>3172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15588444</v>
      </c>
      <c r="N176" s="112" t="n">
        <f aca="false">SUM(J$6:J176)</f>
        <v>24199728</v>
      </c>
      <c r="P176" s="112" t="n">
        <f aca="false">D176/P$3</f>
        <v>0.18258</v>
      </c>
      <c r="Q176" s="112" t="n">
        <f aca="false">E176/P$3</f>
        <v>0.0458005276920412</v>
      </c>
      <c r="R176" s="112" t="n">
        <f aca="false">F176/R$3</f>
        <v>0</v>
      </c>
      <c r="S176" s="114" t="n">
        <f aca="false">J176/$R$3</f>
        <v>3.172</v>
      </c>
      <c r="T176" s="114" t="n">
        <f aca="false">L176/$R$3</f>
        <v>0</v>
      </c>
      <c r="U176" s="114" t="n">
        <f aca="false">I176/$R$3</f>
        <v>966.899</v>
      </c>
      <c r="V176" s="114" t="n">
        <f aca="false">M176/$R$3</f>
        <v>15588.444</v>
      </c>
      <c r="W176" s="114" t="n">
        <f aca="false">N176/$R$3</f>
        <v>24199.728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Data'!$A$2:$B$8,MATCH(WEEKDAY('BRA Power'!A177,3),'Master Data'!$A$2:$A$8,0),2)</f>
        <v>Th</v>
      </c>
      <c r="D177" s="112" t="n">
        <v>182683</v>
      </c>
      <c r="E177" s="112" t="n">
        <v>45824.4563779911</v>
      </c>
      <c r="F177" s="112" t="n">
        <v>0</v>
      </c>
      <c r="G177" s="112" t="n">
        <v>970072</v>
      </c>
      <c r="I177" s="112" t="n">
        <f aca="false">IF(MONTH($A177)=MONTH($A176),IF(G177=0,I176,G177),G177)</f>
        <v>970072</v>
      </c>
      <c r="J177" s="112" t="n">
        <f aca="false">IF(MONTH($A177)=MONTH($A176),SUM(I177-I176),I177)</f>
        <v>3173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15591617</v>
      </c>
      <c r="N177" s="112" t="n">
        <f aca="false">SUM(J$6:J177)</f>
        <v>24202901</v>
      </c>
      <c r="P177" s="112" t="n">
        <f aca="false">D177/P$3</f>
        <v>0.182683</v>
      </c>
      <c r="Q177" s="112" t="n">
        <f aca="false">E177/P$3</f>
        <v>0.0458244563779911</v>
      </c>
      <c r="R177" s="112" t="n">
        <f aca="false">F177/R$3</f>
        <v>0</v>
      </c>
      <c r="S177" s="114" t="n">
        <f aca="false">J177/$R$3</f>
        <v>3.173</v>
      </c>
      <c r="T177" s="114" t="n">
        <f aca="false">L177/$R$3</f>
        <v>0</v>
      </c>
      <c r="U177" s="114" t="n">
        <f aca="false">I177/$R$3</f>
        <v>970.072</v>
      </c>
      <c r="V177" s="114" t="n">
        <f aca="false">M177/$R$3</f>
        <v>15591.617</v>
      </c>
      <c r="W177" s="114" t="n">
        <f aca="false">N177/$R$3</f>
        <v>24202.901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Data'!$A$2:$B$8,MATCH(WEEKDAY('BRA Power'!A178,3),'Master Data'!$A$2:$A$8,0),2)</f>
        <v>F</v>
      </c>
      <c r="D178" s="112" t="n">
        <v>182785</v>
      </c>
      <c r="E178" s="112" t="n">
        <v>45848.3976444113</v>
      </c>
      <c r="F178" s="112" t="n">
        <v>0</v>
      </c>
      <c r="G178" s="112" t="n">
        <v>973247</v>
      </c>
      <c r="I178" s="112" t="n">
        <f aca="false">IF(MONTH($A178)=MONTH($A177),IF(G178=0,I177,G178),G178)</f>
        <v>973247</v>
      </c>
      <c r="J178" s="112" t="n">
        <f aca="false">IF(MONTH($A178)=MONTH($A177),SUM(I178-I177),I178)</f>
        <v>3175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15594792</v>
      </c>
      <c r="N178" s="112" t="n">
        <f aca="false">SUM(J$6:J178)</f>
        <v>24206076</v>
      </c>
      <c r="P178" s="112" t="n">
        <f aca="false">D178/P$3</f>
        <v>0.182785</v>
      </c>
      <c r="Q178" s="112" t="n">
        <f aca="false">E178/P$3</f>
        <v>0.0458483976444113</v>
      </c>
      <c r="R178" s="112" t="n">
        <f aca="false">F178/R$3</f>
        <v>0</v>
      </c>
      <c r="S178" s="114" t="n">
        <f aca="false">J178/$R$3</f>
        <v>3.175</v>
      </c>
      <c r="T178" s="114" t="n">
        <f aca="false">L178/$R$3</f>
        <v>0</v>
      </c>
      <c r="U178" s="114" t="n">
        <f aca="false">I178/$R$3</f>
        <v>973.247</v>
      </c>
      <c r="V178" s="114" t="n">
        <f aca="false">M178/$R$3</f>
        <v>15594.792</v>
      </c>
      <c r="W178" s="114" t="n">
        <f aca="false">N178/$R$3</f>
        <v>24206.076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Data'!$A$2:$B$8,MATCH(WEEKDAY('BRA Power'!A179,3),'Master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973247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15594792</v>
      </c>
      <c r="N179" s="112" t="n">
        <f aca="false">SUM(J$6:J179)</f>
        <v>24206076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973.247</v>
      </c>
      <c r="V179" s="114" t="n">
        <f aca="false">M179/$R$3</f>
        <v>15594.792</v>
      </c>
      <c r="W179" s="114" t="n">
        <f aca="false">N179/$R$3</f>
        <v>24206.076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Data'!$A$2:$B$8,MATCH(WEEKDAY('BRA Power'!A180,3),'Master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973247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15594792</v>
      </c>
      <c r="N180" s="112" t="n">
        <f aca="false">SUM(J$6:J180)</f>
        <v>24206076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973.247</v>
      </c>
      <c r="V180" s="114" t="n">
        <f aca="false">M180/$R$3</f>
        <v>15594.792</v>
      </c>
      <c r="W180" s="114" t="n">
        <f aca="false">N180/$R$3</f>
        <v>24206.076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Data'!$A$2:$B$8,MATCH(WEEKDAY('BRA Power'!A181,3),'Master Data'!$A$2:$A$8,0),2)</f>
        <v>M</v>
      </c>
      <c r="D181" s="112" t="n">
        <v>183094</v>
      </c>
      <c r="E181" s="112" t="n">
        <v>45920.296993052</v>
      </c>
      <c r="F181" s="112" t="n">
        <v>0</v>
      </c>
      <c r="G181" s="112" t="n">
        <v>982781</v>
      </c>
      <c r="I181" s="112" t="n">
        <f aca="false">IF(MONTH($A181)=MONTH($A180),IF(G181=0,I180,G181),G181)</f>
        <v>982781</v>
      </c>
      <c r="J181" s="112" t="n">
        <f aca="false">IF(MONTH($A181)=MONTH($A180),SUM(I181-I180),I181)</f>
        <v>9534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15604326</v>
      </c>
      <c r="N181" s="112" t="n">
        <f aca="false">SUM(J$6:J181)</f>
        <v>24215610</v>
      </c>
      <c r="P181" s="112" t="n">
        <f aca="false">D181/P$3</f>
        <v>0.183094</v>
      </c>
      <c r="Q181" s="112" t="n">
        <f aca="false">E181/P$3</f>
        <v>0.045920296993052</v>
      </c>
      <c r="R181" s="112" t="n">
        <f aca="false">F181/R$3</f>
        <v>0</v>
      </c>
      <c r="S181" s="114" t="n">
        <f aca="false">J181/$R$3</f>
        <v>9.534</v>
      </c>
      <c r="T181" s="114" t="n">
        <f aca="false">L181/$R$3</f>
        <v>0</v>
      </c>
      <c r="U181" s="114" t="n">
        <f aca="false">I181/$R$3</f>
        <v>982.781</v>
      </c>
      <c r="V181" s="114" t="n">
        <f aca="false">M181/$R$3</f>
        <v>15604.326</v>
      </c>
      <c r="W181" s="114" t="n">
        <f aca="false">N181/$R$3</f>
        <v>24215.61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Data'!$A$2:$B$8,MATCH(WEEKDAY('BRA Power'!A182,3),'Master Data'!$A$2:$A$8,0),2)</f>
        <v>T</v>
      </c>
      <c r="D182" s="112" t="n">
        <v>183197</v>
      </c>
      <c r="E182" s="112" t="n">
        <v>45944.2886479293</v>
      </c>
      <c r="F182" s="112" t="n">
        <v>0</v>
      </c>
      <c r="G182" s="112" t="n">
        <v>985962</v>
      </c>
      <c r="I182" s="112" t="n">
        <f aca="false">IF(MONTH($A182)=MONTH($A181),IF(G182=0,I181,G182),G182)</f>
        <v>985962</v>
      </c>
      <c r="J182" s="112" t="n">
        <f aca="false">IF(MONTH($A182)=MONTH($A181),SUM(I182-I181),I182)</f>
        <v>3181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15607507</v>
      </c>
      <c r="N182" s="112" t="n">
        <f aca="false">SUM(J$6:J182)</f>
        <v>24218791</v>
      </c>
      <c r="P182" s="112" t="n">
        <f aca="false">D182/P$3</f>
        <v>0.183197</v>
      </c>
      <c r="Q182" s="112" t="n">
        <f aca="false">E182/P$3</f>
        <v>0.0459442886479293</v>
      </c>
      <c r="R182" s="112" t="n">
        <f aca="false">F182/R$3</f>
        <v>0</v>
      </c>
      <c r="S182" s="114" t="n">
        <f aca="false">J182/$R$3</f>
        <v>3.181</v>
      </c>
      <c r="T182" s="114" t="n">
        <f aca="false">L182/$R$3</f>
        <v>0</v>
      </c>
      <c r="U182" s="114" t="n">
        <f aca="false">I182/$R$3</f>
        <v>985.962</v>
      </c>
      <c r="V182" s="114" t="n">
        <f aca="false">M182/$R$3</f>
        <v>15607.507</v>
      </c>
      <c r="W182" s="114" t="n">
        <f aca="false">N182/$R$3</f>
        <v>24218.791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Data'!$A$2:$B$8,MATCH(WEEKDAY('BRA Power'!A183,3),'Master Data'!$A$2:$A$8,0),2)</f>
        <v>W</v>
      </c>
      <c r="D183" s="112" t="n">
        <v>183299.933161724</v>
      </c>
      <c r="E183" s="112" t="n">
        <v>45968.2929165823</v>
      </c>
      <c r="F183" s="112" t="n">
        <v>0</v>
      </c>
      <c r="G183" s="112" t="n">
        <v>989144</v>
      </c>
      <c r="I183" s="112" t="n">
        <f aca="false">IF(MONTH($A183)=MONTH($A182),IF(G183=0,I182,G183),G183)</f>
        <v>989144</v>
      </c>
      <c r="J183" s="112" t="n">
        <f aca="false">IF(MONTH($A183)=MONTH($A182),SUM(I183-I182),I183)</f>
        <v>3182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15610689</v>
      </c>
      <c r="N183" s="112" t="n">
        <f aca="false">SUM(J$6:J183)</f>
        <v>24221973</v>
      </c>
      <c r="P183" s="112" t="n">
        <f aca="false">D183/P$3</f>
        <v>0.183299933161724</v>
      </c>
      <c r="Q183" s="114" t="n">
        <f aca="false">E183/P$3</f>
        <v>0.0459682929165823</v>
      </c>
      <c r="R183" s="112" t="n">
        <f aca="false">F183/R$3</f>
        <v>0</v>
      </c>
      <c r="S183" s="114" t="n">
        <f aca="false">J183/$R$3</f>
        <v>3.182</v>
      </c>
      <c r="T183" s="114" t="n">
        <f aca="false">L183/$R$3</f>
        <v>0</v>
      </c>
      <c r="U183" s="114" t="n">
        <f aca="false">I183/$R$3</f>
        <v>989.144</v>
      </c>
      <c r="V183" s="114" t="n">
        <f aca="false">M183/$R$3</f>
        <v>15610.689</v>
      </c>
      <c r="W183" s="114" t="n">
        <f aca="false">N183/$R$3</f>
        <v>24221.973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Data'!$A$2:$B$8,MATCH(WEEKDAY('BRA Power'!A184,3),'Master Data'!$A$2:$A$8,0),2)</f>
        <v>Th</v>
      </c>
      <c r="D184" s="112" t="n">
        <v>183403.034993738</v>
      </c>
      <c r="E184" s="112" t="n">
        <v>45992.3098056829</v>
      </c>
      <c r="F184" s="112" t="n">
        <v>0</v>
      </c>
      <c r="G184" s="112" t="n">
        <v>992329</v>
      </c>
      <c r="I184" s="112" t="n">
        <f aca="false">IF(MONTH($A184)=MONTH($A183),IF(G184=0,I183,G184),G184)</f>
        <v>992329</v>
      </c>
      <c r="J184" s="112" t="n">
        <f aca="false">IF(MONTH($A184)=MONTH($A183),SUM(I184-I183),I184)</f>
        <v>3185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15613874</v>
      </c>
      <c r="N184" s="112" t="n">
        <f aca="false">SUM(J$6:J184)</f>
        <v>24225158</v>
      </c>
      <c r="P184" s="112" t="n">
        <f aca="false">D184/P$3</f>
        <v>0.183403034993738</v>
      </c>
      <c r="Q184" s="112" t="n">
        <f aca="false">E184/P$3</f>
        <v>0.0459923098056829</v>
      </c>
      <c r="R184" s="112" t="n">
        <f aca="false">F184/R$3</f>
        <v>0</v>
      </c>
      <c r="S184" s="114" t="n">
        <f aca="false">J184/$R$3</f>
        <v>3.185</v>
      </c>
      <c r="T184" s="114" t="n">
        <f aca="false">L184/$R$3</f>
        <v>0</v>
      </c>
      <c r="U184" s="114" t="n">
        <f aca="false">I184/$R$3</f>
        <v>992.329</v>
      </c>
      <c r="V184" s="114" t="n">
        <f aca="false">M184/$R$3</f>
        <v>15613.874</v>
      </c>
      <c r="W184" s="114" t="n">
        <f aca="false">N184/$R$3</f>
        <v>24225.158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Data'!$A$2:$B$8,MATCH(WEEKDAY('BRA Power'!A185,3),'Master Data'!$A$2:$A$8,0),2)</f>
        <v>F</v>
      </c>
      <c r="D185" s="112" t="n">
        <v>183506</v>
      </c>
      <c r="E185" s="112" t="n">
        <v>45832.3884970817</v>
      </c>
      <c r="F185" s="112" t="n">
        <v>0</v>
      </c>
      <c r="G185" s="112" t="n">
        <v>1210509</v>
      </c>
      <c r="I185" s="112" t="n">
        <f aca="false">IF(MONTH($A185)=MONTH($A184),IF(G185=0,I184,G185),G185)</f>
        <v>1210509</v>
      </c>
      <c r="J185" s="112" t="n">
        <f aca="false">IF(MONTH($A185)=MONTH($A184),SUM(I185-I184),I185)</f>
        <v>218180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15832054</v>
      </c>
      <c r="N185" s="112" t="n">
        <f aca="false">SUM(J$6:J185)</f>
        <v>24443338</v>
      </c>
      <c r="P185" s="112" t="n">
        <f aca="false">D185/P$3</f>
        <v>0.183506</v>
      </c>
      <c r="Q185" s="112" t="n">
        <f aca="false">E185/P$3</f>
        <v>0.0458323884970817</v>
      </c>
      <c r="R185" s="112" t="n">
        <f aca="false">F185/R$3</f>
        <v>0</v>
      </c>
      <c r="S185" s="114" t="n">
        <f aca="false">J185/$R$3</f>
        <v>218.18</v>
      </c>
      <c r="T185" s="114" t="n">
        <f aca="false">L185/$R$3</f>
        <v>0</v>
      </c>
      <c r="U185" s="114" t="n">
        <f aca="false">I185/$R$3</f>
        <v>1210.509</v>
      </c>
      <c r="V185" s="114" t="n">
        <f aca="false">M185/$R$3</f>
        <v>15832.054</v>
      </c>
      <c r="W185" s="114" t="n">
        <f aca="false">N185/$R$3</f>
        <v>24443.338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Data'!$A$2:$B$8,MATCH(WEEKDAY('BRA Power'!A186,3),'Master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1210509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15832054</v>
      </c>
      <c r="N186" s="112" t="n">
        <f aca="false">SUM(J$6:J186)</f>
        <v>24443338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1210.509</v>
      </c>
      <c r="V186" s="114" t="n">
        <f aca="false">M186/$R$3</f>
        <v>15832.054</v>
      </c>
      <c r="W186" s="114" t="n">
        <f aca="false">N186/$R$3</f>
        <v>24443.338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Data'!$A$2:$B$8,MATCH(WEEKDAY('BRA Power'!A187,3),'Master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15832054</v>
      </c>
      <c r="N187" s="112" t="n">
        <f aca="false">SUM(J$6:J187)</f>
        <v>24443338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15832.054</v>
      </c>
      <c r="W187" s="114" t="n">
        <f aca="false">N187/$R$3</f>
        <v>24443.338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Data'!$A$2:$B$8,MATCH(WEEKDAY('BRA Power'!A188,3),'Master Data'!$A$2:$A$8,0),2)</f>
        <v>M</v>
      </c>
      <c r="D188" s="112" t="n">
        <v>168461</v>
      </c>
      <c r="E188" s="112" t="n">
        <v>45907.2515989431</v>
      </c>
      <c r="F188" s="112" t="n">
        <v>0</v>
      </c>
      <c r="G188" s="112" t="n">
        <v>9176</v>
      </c>
      <c r="I188" s="112" t="n">
        <f aca="false">IF(MONTH($A188)=MONTH($A187),IF(G188=0,I187,G188),G188)</f>
        <v>9176</v>
      </c>
      <c r="J188" s="112" t="n">
        <f aca="false">IF(MONTH($A188)=MONTH($A187),SUM(I188-I187),I188)</f>
        <v>9176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9176</v>
      </c>
      <c r="N188" s="112" t="n">
        <f aca="false">SUM(J$6:J188)</f>
        <v>24452514</v>
      </c>
      <c r="P188" s="112" t="n">
        <f aca="false">D188/P$3</f>
        <v>0.168461</v>
      </c>
      <c r="Q188" s="112" t="n">
        <f aca="false">E188/P$3</f>
        <v>0.045907251598943</v>
      </c>
      <c r="R188" s="112" t="n">
        <f aca="false">F188/R$3</f>
        <v>0</v>
      </c>
      <c r="S188" s="114" t="n">
        <f aca="false">J188/$R$3</f>
        <v>9.176</v>
      </c>
      <c r="T188" s="114" t="n">
        <f aca="false">L188/$R$3</f>
        <v>0</v>
      </c>
      <c r="U188" s="114" t="n">
        <f aca="false">I188/$R$3</f>
        <v>9.176</v>
      </c>
      <c r="V188" s="114" t="n">
        <f aca="false">M188/$R$3</f>
        <v>9.176</v>
      </c>
      <c r="W188" s="114" t="n">
        <f aca="false">N188/$R$3</f>
        <v>24452.514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Data'!$A$2:$B$8,MATCH(WEEKDAY('BRA Power'!A189,3),'Master Data'!$A$2:$A$8,0),2)</f>
        <v>T</v>
      </c>
      <c r="D189" s="112" t="n">
        <v>168563.764091484</v>
      </c>
      <c r="E189" s="112" t="n">
        <v>45932.2332764187</v>
      </c>
      <c r="F189" s="112" t="n">
        <v>0</v>
      </c>
      <c r="G189" s="112" t="n">
        <v>12237</v>
      </c>
      <c r="I189" s="112" t="n">
        <f aca="false">IF(MONTH($A189)=MONTH($A188),IF(G189=0,I188,G189),G189)</f>
        <v>12237</v>
      </c>
      <c r="J189" s="112" t="n">
        <f aca="false">IF(MONTH($A189)=MONTH($A188),SUM(I189-I188),I189)</f>
        <v>3061</v>
      </c>
      <c r="K189" s="112" t="n">
        <f aca="false">IF(WEEKDAY(A189,3)&gt;4,0,(IF(A189&lt;K$2,0,IF(A189&lt;=K$3,1,0))))</f>
        <v>1</v>
      </c>
      <c r="L189" s="112" t="n">
        <f aca="false">J189*K189</f>
        <v>3061</v>
      </c>
      <c r="M189" s="112" t="n">
        <f aca="false">SUM(J$188:J189)</f>
        <v>12237</v>
      </c>
      <c r="N189" s="112" t="n">
        <f aca="false">SUM(J$6:J189)</f>
        <v>24455575</v>
      </c>
      <c r="P189" s="112" t="n">
        <f aca="false">D189/P$3</f>
        <v>0.168563764091484</v>
      </c>
      <c r="Q189" s="112" t="n">
        <f aca="false">E189/P$3</f>
        <v>0.0459322332764187</v>
      </c>
      <c r="R189" s="112" t="n">
        <f aca="false">F189/R$3</f>
        <v>0</v>
      </c>
      <c r="S189" s="114" t="n">
        <f aca="false">J189/$R$3</f>
        <v>3.061</v>
      </c>
      <c r="T189" s="114" t="n">
        <f aca="false">L189/$R$3</f>
        <v>3.061</v>
      </c>
      <c r="U189" s="114" t="n">
        <f aca="false">I189/$R$3</f>
        <v>12.237</v>
      </c>
      <c r="V189" s="114" t="n">
        <f aca="false">M189/$R$3</f>
        <v>12.237</v>
      </c>
      <c r="W189" s="114" t="n">
        <f aca="false">N189/$R$3</f>
        <v>24455.575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Data'!$A$2:$B$8,MATCH(WEEKDAY('BRA Power'!A190,3),'Master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12237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12237</v>
      </c>
      <c r="N190" s="112" t="n">
        <f aca="false">SUM(J$6:J190)</f>
        <v>24455575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12.237</v>
      </c>
      <c r="V190" s="114" t="n">
        <f aca="false">M190/$R$3</f>
        <v>12.237</v>
      </c>
      <c r="W190" s="114" t="n">
        <f aca="false">N190/$R$3</f>
        <v>24455.575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Data'!$A$2:$B$8,MATCH(WEEKDAY('BRA Power'!A191,3),'Master Data'!$A$2:$A$8,0),2)</f>
        <v>Th</v>
      </c>
      <c r="D191" s="112" t="n">
        <v>177803</v>
      </c>
      <c r="E191" s="112" t="n">
        <v>50002.6441440177</v>
      </c>
      <c r="F191" s="112" t="n">
        <v>0</v>
      </c>
      <c r="G191" s="112" t="n">
        <v>-1078319</v>
      </c>
      <c r="I191" s="112" t="n">
        <f aca="false">IF(MONTH($A191)=MONTH($A190),IF(G191=0,I190,G191),G191)</f>
        <v>-1078319</v>
      </c>
      <c r="J191" s="112" t="n">
        <f aca="false">IF(MONTH($A191)=MONTH($A190),SUM(I191-I190),I191)</f>
        <v>-1090556</v>
      </c>
      <c r="K191" s="112" t="n">
        <f aca="false">IF(WEEKDAY(A191,3)&gt;4,0,(IF(A191&lt;K$2,0,IF(A191&lt;=K$3,1,0))))</f>
        <v>1</v>
      </c>
      <c r="L191" s="112" t="n">
        <f aca="false">J191*K191</f>
        <v>-1090556</v>
      </c>
      <c r="M191" s="112" t="n">
        <f aca="false">SUM(J$188:J191)</f>
        <v>-1078319</v>
      </c>
      <c r="N191" s="112" t="n">
        <f aca="false">SUM(J$6:J191)</f>
        <v>23365019</v>
      </c>
      <c r="P191" s="112" t="n">
        <f aca="false">D191/P$3</f>
        <v>0.177803</v>
      </c>
      <c r="Q191" s="112" t="n">
        <f aca="false">E191/P$3</f>
        <v>0.0500026441440177</v>
      </c>
      <c r="R191" s="112" t="n">
        <f aca="false">F191/R$3</f>
        <v>0</v>
      </c>
      <c r="S191" s="114" t="n">
        <f aca="false">J191/$R$3</f>
        <v>-1090.556</v>
      </c>
      <c r="T191" s="114" t="n">
        <f aca="false">L191/$R$3</f>
        <v>-1090.556</v>
      </c>
      <c r="U191" s="114" t="n">
        <f aca="false">I191/$R$3</f>
        <v>-1078.319</v>
      </c>
      <c r="V191" s="114" t="n">
        <f aca="false">M191/$R$3</f>
        <v>-1078.319</v>
      </c>
      <c r="W191" s="114" t="n">
        <f aca="false">N191/$R$3</f>
        <v>23365.019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Data'!$A$2:$B$8,MATCH(WEEKDAY('BRA Power'!A192,3),'Master Data'!$A$2:$A$8,0),2)</f>
        <v>F</v>
      </c>
      <c r="D192" s="112" t="n">
        <v>177909.410813809</v>
      </c>
      <c r="E192" s="112" t="n">
        <v>50032.0118869657</v>
      </c>
      <c r="F192" s="112" t="n">
        <v>0</v>
      </c>
      <c r="G192" s="112" t="n">
        <v>-1076103</v>
      </c>
      <c r="I192" s="112" t="n">
        <f aca="false">IF(MONTH($A192)=MONTH($A191),IF(G192=0,I191,G192),G192)</f>
        <v>-1076103</v>
      </c>
      <c r="J192" s="112" t="n">
        <f aca="false">IF(MONTH($A192)=MONTH($A191),SUM(I192-I191),I192)</f>
        <v>2216</v>
      </c>
      <c r="K192" s="112" t="n">
        <f aca="false">IF(WEEKDAY(A192,3)&gt;4,0,(IF(A192&lt;K$2,0,IF(A192&lt;=K$3,1,0))))</f>
        <v>1</v>
      </c>
      <c r="L192" s="112" t="n">
        <f aca="false">J192*K192</f>
        <v>2216</v>
      </c>
      <c r="M192" s="112" t="n">
        <f aca="false">SUM(J$188:J192)</f>
        <v>-1076103</v>
      </c>
      <c r="N192" s="112" t="n">
        <f aca="false">SUM(J$6:J192)</f>
        <v>23367235</v>
      </c>
      <c r="P192" s="112" t="n">
        <f aca="false">D192/P$3</f>
        <v>0.177909410813809</v>
      </c>
      <c r="Q192" s="112" t="n">
        <f aca="false">E192/P$3</f>
        <v>0.0500320118869657</v>
      </c>
      <c r="R192" s="112" t="n">
        <f aca="false">F192/R$3</f>
        <v>0</v>
      </c>
      <c r="S192" s="114" t="n">
        <f aca="false">J192/$R$3</f>
        <v>2.216</v>
      </c>
      <c r="T192" s="114" t="n">
        <f aca="false">L192/$R$3</f>
        <v>2.216</v>
      </c>
      <c r="U192" s="114" t="n">
        <f aca="false">I192/$R$3</f>
        <v>-1076.103</v>
      </c>
      <c r="V192" s="114" t="n">
        <f aca="false">M192/$R$3</f>
        <v>-1076.103</v>
      </c>
      <c r="W192" s="114" t="n">
        <f aca="false">N192/$R$3</f>
        <v>23367.235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Data'!$A$2:$B$8,MATCH(WEEKDAY('BRA Power'!A193,3),'Master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-1076103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-1076103</v>
      </c>
      <c r="N193" s="112" t="n">
        <f aca="false">SUM(J$6:J193)</f>
        <v>23367235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-1076.103</v>
      </c>
      <c r="V193" s="114" t="n">
        <f aca="false">M193/$R$3</f>
        <v>-1076.103</v>
      </c>
      <c r="W193" s="114" t="n">
        <f aca="false">N193/$R$3</f>
        <v>23367.235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Data'!$A$2:$B$8,MATCH(WEEKDAY('BRA Power'!A194,3),'Master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-1076103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-1076103</v>
      </c>
      <c r="N194" s="112" t="n">
        <f aca="false">SUM(J$6:J194)</f>
        <v>23367235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-1076.103</v>
      </c>
      <c r="V194" s="114" t="n">
        <f aca="false">M194/$R$3</f>
        <v>-1076.103</v>
      </c>
      <c r="W194" s="114" t="n">
        <f aca="false">N194/$R$3</f>
        <v>23367.235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Data'!$A$2:$B$8,MATCH(WEEKDAY('BRA Power'!A195,3),'Master Data'!$A$2:$A$8,0),2)</f>
        <v>M</v>
      </c>
      <c r="D195" s="112" t="n">
        <v>178228</v>
      </c>
      <c r="E195" s="112" t="n">
        <v>50120.2187449956</v>
      </c>
      <c r="F195" s="112" t="n">
        <v>0</v>
      </c>
      <c r="G195" s="112" t="n">
        <v>-1069449</v>
      </c>
      <c r="I195" s="112" t="n">
        <f aca="false">IF(MONTH($A195)=MONTH($A194),IF(G195=0,I194,G195),G195)</f>
        <v>-1069449</v>
      </c>
      <c r="J195" s="112" t="n">
        <f aca="false">IF(MONTH($A195)=MONTH($A194),SUM(I195-I194),I195)</f>
        <v>6654</v>
      </c>
      <c r="K195" s="112" t="n">
        <f aca="false">IF(WEEKDAY(A195,3)&gt;4,0,(IF(A195&lt;K$2,0,IF(A195&lt;=K$3,1,0))))</f>
        <v>1</v>
      </c>
      <c r="L195" s="112" t="n">
        <f aca="false">J195*K195</f>
        <v>6654</v>
      </c>
      <c r="M195" s="112" t="n">
        <f aca="false">SUM(J$188:J195)</f>
        <v>-1069449</v>
      </c>
      <c r="N195" s="112" t="n">
        <f aca="false">SUM(J$6:J195)</f>
        <v>23373889</v>
      </c>
      <c r="P195" s="112" t="n">
        <f aca="false">D195/P$3</f>
        <v>0.178228</v>
      </c>
      <c r="Q195" s="112" t="n">
        <f aca="false">E195/P$3</f>
        <v>0.0501202187449956</v>
      </c>
      <c r="R195" s="112" t="n">
        <f aca="false">F195/R$3</f>
        <v>0</v>
      </c>
      <c r="S195" s="114" t="n">
        <f aca="false">J195/$R$3</f>
        <v>6.654</v>
      </c>
      <c r="T195" s="114" t="n">
        <f aca="false">L195/$R$3</f>
        <v>6.654</v>
      </c>
      <c r="U195" s="114" t="n">
        <f aca="false">I195/$R$3</f>
        <v>-1069.449</v>
      </c>
      <c r="V195" s="114" t="n">
        <f aca="false">M195/$R$3</f>
        <v>-1069.449</v>
      </c>
      <c r="W195" s="114" t="n">
        <f aca="false">N195/$R$3</f>
        <v>23373.889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Data'!$A$2:$B$8,MATCH(WEEKDAY('BRA Power'!A196,3),'Master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-1069449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-1069449</v>
      </c>
      <c r="N196" s="112" t="n">
        <f aca="false">SUM(J$6:J196)</f>
        <v>23373889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-1069.449</v>
      </c>
      <c r="V196" s="114" t="n">
        <f aca="false">M196/$R$3</f>
        <v>-1069.449</v>
      </c>
      <c r="W196" s="114" t="n">
        <f aca="false">N196/$R$3</f>
        <v>23373.889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Data'!$A$2:$B$8,MATCH(WEEKDAY('BRA Power'!A197,3),'Master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-1069449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-1069449</v>
      </c>
      <c r="N197" s="112" t="n">
        <f aca="false">SUM(J$6:J197)</f>
        <v>23373889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-1069.449</v>
      </c>
      <c r="V197" s="114" t="n">
        <f aca="false">M197/$R$3</f>
        <v>-1069.449</v>
      </c>
      <c r="W197" s="114" t="n">
        <f aca="false">N197/$R$3</f>
        <v>23373.889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Data'!$A$2:$B$8,MATCH(WEEKDAY('BRA Power'!A198,3),'Master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-1069449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-1069449</v>
      </c>
      <c r="N198" s="112" t="n">
        <f aca="false">SUM(J$6:J198)</f>
        <v>23373889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-1069.449</v>
      </c>
      <c r="V198" s="114" t="n">
        <f aca="false">M198/$R$3</f>
        <v>-1069.449</v>
      </c>
      <c r="W198" s="114" t="n">
        <f aca="false">N198/$R$3</f>
        <v>23373.889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Data'!$A$2:$B$8,MATCH(WEEKDAY('BRA Power'!A199,3),'Master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-1069449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-1069449</v>
      </c>
      <c r="N199" s="112" t="n">
        <f aca="false">SUM(J$6:J199)</f>
        <v>23373889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-1069.449</v>
      </c>
      <c r="V199" s="114" t="n">
        <f aca="false">M199/$R$3</f>
        <v>-1069.449</v>
      </c>
      <c r="W199" s="114" t="n">
        <f aca="false">N199/$R$3</f>
        <v>23373.889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Data'!$A$2:$B$8,MATCH(WEEKDAY('BRA Power'!A200,3),'Master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-1069449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-1069449</v>
      </c>
      <c r="N200" s="112" t="n">
        <f aca="false">SUM(J$6:J200)</f>
        <v>23373889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-1069.449</v>
      </c>
      <c r="V200" s="114" t="n">
        <f aca="false">M200/$R$3</f>
        <v>-1069.449</v>
      </c>
      <c r="W200" s="114" t="n">
        <f aca="false">N200/$R$3</f>
        <v>23373.889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Data'!$A$2:$B$8,MATCH(WEEKDAY('BRA Power'!A201,3),'Master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-1069449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-1069449</v>
      </c>
      <c r="N201" s="112" t="n">
        <f aca="false">SUM(J$6:J201)</f>
        <v>23373889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-1069.449</v>
      </c>
      <c r="V201" s="114" t="n">
        <f aca="false">M201/$R$3</f>
        <v>-1069.449</v>
      </c>
      <c r="W201" s="114" t="n">
        <f aca="false">N201/$R$3</f>
        <v>23373.889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Data'!$A$2:$B$8,MATCH(WEEKDAY('BRA Power'!A202,3),'Master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-1069449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-1069449</v>
      </c>
      <c r="N202" s="112" t="n">
        <f aca="false">SUM(J$6:J202)</f>
        <v>23373889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-1069.449</v>
      </c>
      <c r="V202" s="114" t="n">
        <f aca="false">M202/$R$3</f>
        <v>-1069.449</v>
      </c>
      <c r="W202" s="114" t="n">
        <f aca="false">N202/$R$3</f>
        <v>23373.889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Data'!$A$2:$B$8,MATCH(WEEKDAY('BRA Power'!A203,3),'Master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-1069449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-1069449</v>
      </c>
      <c r="N203" s="112" t="n">
        <f aca="false">SUM(J$6:J203)</f>
        <v>23373889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-1069.449</v>
      </c>
      <c r="V203" s="114" t="n">
        <f aca="false">M203/$R$3</f>
        <v>-1069.449</v>
      </c>
      <c r="W203" s="114" t="n">
        <f aca="false">N203/$R$3</f>
        <v>23373.889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Data'!$A$2:$B$8,MATCH(WEEKDAY('BRA Power'!A204,3),'Master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-1069449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-1069449</v>
      </c>
      <c r="N204" s="112" t="n">
        <f aca="false">SUM(J$6:J204)</f>
        <v>23373889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-1069.449</v>
      </c>
      <c r="V204" s="114" t="n">
        <f aca="false">M204/$R$3</f>
        <v>-1069.449</v>
      </c>
      <c r="W204" s="114" t="n">
        <f aca="false">N204/$R$3</f>
        <v>23373.889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Data'!$A$2:$B$8,MATCH(WEEKDAY('BRA Power'!A205,3),'Master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-1069449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-1069449</v>
      </c>
      <c r="N205" s="112" t="n">
        <f aca="false">SUM(J$6:J205)</f>
        <v>23373889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-1069.449</v>
      </c>
      <c r="V205" s="114" t="n">
        <f aca="false">M205/$R$3</f>
        <v>-1069.449</v>
      </c>
      <c r="W205" s="114" t="n">
        <f aca="false">N205/$R$3</f>
        <v>23373.889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Data'!$A$2:$B$8,MATCH(WEEKDAY('BRA Power'!A206,3),'Master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-1069449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-1069449</v>
      </c>
      <c r="N206" s="112" t="n">
        <f aca="false">SUM(J$6:J206)</f>
        <v>23373889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-1069.449</v>
      </c>
      <c r="V206" s="114" t="n">
        <f aca="false">M206/$R$3</f>
        <v>-1069.449</v>
      </c>
      <c r="W206" s="114" t="n">
        <f aca="false">N206/$R$3</f>
        <v>23373.889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Data'!$A$2:$B$8,MATCH(WEEKDAY('BRA Power'!A207,3),'Master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-1069449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-1069449</v>
      </c>
      <c r="N207" s="112" t="n">
        <f aca="false">SUM(J$6:J207)</f>
        <v>23373889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-1069.449</v>
      </c>
      <c r="V207" s="114" t="n">
        <f aca="false">M207/$R$3</f>
        <v>-1069.449</v>
      </c>
      <c r="W207" s="114" t="n">
        <f aca="false">N207/$R$3</f>
        <v>23373.889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Data'!$A$2:$B$8,MATCH(WEEKDAY('BRA Power'!A208,3),'Master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-1069449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-1069449</v>
      </c>
      <c r="N208" s="112" t="n">
        <f aca="false">SUM(J$6:J208)</f>
        <v>23373889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-1069.449</v>
      </c>
      <c r="V208" s="114" t="n">
        <f aca="false">M208/$R$3</f>
        <v>-1069.449</v>
      </c>
      <c r="W208" s="114" t="n">
        <f aca="false">N208/$R$3</f>
        <v>23373.889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Data'!$A$2:$B$8,MATCH(WEEKDAY('BRA Power'!A209,3),'Master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-1069449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-1069449</v>
      </c>
      <c r="N209" s="112" t="n">
        <f aca="false">SUM(J$6:J209)</f>
        <v>23373889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-1069.449</v>
      </c>
      <c r="V209" s="114" t="n">
        <f aca="false">M209/$R$3</f>
        <v>-1069.449</v>
      </c>
      <c r="W209" s="114" t="n">
        <f aca="false">N209/$R$3</f>
        <v>23373.889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Data'!$A$2:$B$8,MATCH(WEEKDAY('BRA Power'!A210,3),'Master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-1069449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-1069449</v>
      </c>
      <c r="N210" s="112" t="n">
        <f aca="false">SUM(J$6:J210)</f>
        <v>23373889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-1069.449</v>
      </c>
      <c r="V210" s="114" t="n">
        <f aca="false">M210/$R$3</f>
        <v>-1069.449</v>
      </c>
      <c r="W210" s="114" t="n">
        <f aca="false">N210/$R$3</f>
        <v>23373.889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Data'!$A$2:$B$8,MATCH(WEEKDAY('BRA Power'!A211,3),'Master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-1069449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-1069449</v>
      </c>
      <c r="N211" s="112" t="n">
        <f aca="false">SUM(J$6:J211)</f>
        <v>23373889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-1069.449</v>
      </c>
      <c r="V211" s="114" t="n">
        <f aca="false">M211/$R$3</f>
        <v>-1069.449</v>
      </c>
      <c r="W211" s="114" t="n">
        <f aca="false">N211/$R$3</f>
        <v>23373.889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Data'!$A$2:$B$8,MATCH(WEEKDAY('BRA Power'!A212,3),'Master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-1069449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-1069449</v>
      </c>
      <c r="N212" s="112" t="n">
        <f aca="false">SUM(J$6:J212)</f>
        <v>23373889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-1069.449</v>
      </c>
      <c r="V212" s="114" t="n">
        <f aca="false">M212/$R$3</f>
        <v>-1069.449</v>
      </c>
      <c r="W212" s="114" t="n">
        <f aca="false">N212/$R$3</f>
        <v>23373.889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Data'!$A$2:$B$8,MATCH(WEEKDAY('BRA Power'!A213,3),'Master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-1069449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-1069449</v>
      </c>
      <c r="N213" s="112" t="n">
        <f aca="false">SUM(J$6:J213)</f>
        <v>23373889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-1069.449</v>
      </c>
      <c r="V213" s="114" t="n">
        <f aca="false">M213/$R$3</f>
        <v>-1069.449</v>
      </c>
      <c r="W213" s="114" t="n">
        <f aca="false">N213/$R$3</f>
        <v>23373.889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Data'!$A$2:$B$8,MATCH(WEEKDAY('BRA Power'!A214,3),'Master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-1069449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-1069449</v>
      </c>
      <c r="N214" s="112" t="n">
        <f aca="false">SUM(J$6:J214)</f>
        <v>23373889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-1069.449</v>
      </c>
      <c r="V214" s="114" t="n">
        <f aca="false">M214/$R$3</f>
        <v>-1069.449</v>
      </c>
      <c r="W214" s="114" t="n">
        <f aca="false">N214/$R$3</f>
        <v>23373.889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Data'!$A$2:$B$8,MATCH(WEEKDAY('BRA Power'!A215,3),'Master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-1069449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-1069449</v>
      </c>
      <c r="N215" s="112" t="n">
        <f aca="false">SUM(J$6:J215)</f>
        <v>23373889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-1069.449</v>
      </c>
      <c r="V215" s="114" t="n">
        <f aca="false">M215/$R$3</f>
        <v>-1069.449</v>
      </c>
      <c r="W215" s="114" t="n">
        <f aca="false">N215/$R$3</f>
        <v>23373.889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Data'!$A$2:$B$8,MATCH(WEEKDAY('BRA Power'!A216,3),'Master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-1069449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-1069449</v>
      </c>
      <c r="N216" s="112" t="n">
        <f aca="false">SUM(J$6:J216)</f>
        <v>23373889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-1069.449</v>
      </c>
      <c r="V216" s="114" t="n">
        <f aca="false">M216/$R$3</f>
        <v>-1069.449</v>
      </c>
      <c r="W216" s="114" t="n">
        <f aca="false">N216/$R$3</f>
        <v>23373.889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Data'!$A$2:$B$8,MATCH(WEEKDAY('BRA Power'!A217,3),'Master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-1069449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-1069449</v>
      </c>
      <c r="N217" s="112" t="n">
        <f aca="false">SUM(J$6:J217)</f>
        <v>23373889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-1069.449</v>
      </c>
      <c r="V217" s="114" t="n">
        <f aca="false">M217/$R$3</f>
        <v>-1069.449</v>
      </c>
      <c r="W217" s="114" t="n">
        <f aca="false">N217/$R$3</f>
        <v>23373.889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Data'!$A$2:$B$8,MATCH(WEEKDAY('BRA Power'!A218,3),'Master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-1069449</v>
      </c>
      <c r="N218" s="112" t="n">
        <f aca="false">SUM(J$6:J218)</f>
        <v>23373889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-1069.449</v>
      </c>
      <c r="W218" s="114" t="n">
        <f aca="false">N218/$R$3</f>
        <v>23373.889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Data'!$A$2:$B$8,MATCH(WEEKDAY('BRA Power'!A219,3),'Master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-1069449</v>
      </c>
      <c r="N219" s="112" t="n">
        <f aca="false">SUM(J$6:J219)</f>
        <v>23373889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-1069.449</v>
      </c>
      <c r="W219" s="114" t="n">
        <f aca="false">N219/$R$3</f>
        <v>23373.889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Data'!$A$2:$B$8,MATCH(WEEKDAY('BRA Power'!A220,3),'Master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-1069449</v>
      </c>
      <c r="N220" s="112" t="n">
        <f aca="false">SUM(J$6:J220)</f>
        <v>23373889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-1069.449</v>
      </c>
      <c r="W220" s="114" t="n">
        <f aca="false">N220/$R$3</f>
        <v>23373.889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Data'!$A$2:$B$8,MATCH(WEEKDAY('BRA Power'!A221,3),'Master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-1069449</v>
      </c>
      <c r="N221" s="112" t="n">
        <f aca="false">SUM(J$6:J221)</f>
        <v>23373889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-1069.449</v>
      </c>
      <c r="W221" s="114" t="n">
        <f aca="false">N221/$R$3</f>
        <v>23373.889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Data'!$A$2:$B$8,MATCH(WEEKDAY('BRA Power'!A222,3),'Master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-1069449</v>
      </c>
      <c r="N222" s="112" t="n">
        <f aca="false">SUM(J$6:J222)</f>
        <v>23373889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-1069.449</v>
      </c>
      <c r="W222" s="114" t="n">
        <f aca="false">N222/$R$3</f>
        <v>23373.889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Data'!$A$2:$B$8,MATCH(WEEKDAY('BRA Power'!A223,3),'Master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-1069449</v>
      </c>
      <c r="N223" s="112" t="n">
        <f aca="false">SUM(J$6:J223)</f>
        <v>23373889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-1069.449</v>
      </c>
      <c r="W223" s="114" t="n">
        <f aca="false">N223/$R$3</f>
        <v>23373.889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Data'!$A$2:$B$8,MATCH(WEEKDAY('BRA Power'!A224,3),'Master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-1069449</v>
      </c>
      <c r="N224" s="112" t="n">
        <f aca="false">SUM(J$6:J224)</f>
        <v>23373889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-1069.449</v>
      </c>
      <c r="W224" s="114" t="n">
        <f aca="false">N224/$R$3</f>
        <v>23373.889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Data'!$A$2:$B$8,MATCH(WEEKDAY('BRA Power'!A225,3),'Master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-1069449</v>
      </c>
      <c r="N225" s="112" t="n">
        <f aca="false">SUM(J$6:J225)</f>
        <v>23373889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-1069.449</v>
      </c>
      <c r="W225" s="114" t="n">
        <f aca="false">N225/$R$3</f>
        <v>23373.889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Data'!$A$2:$B$8,MATCH(WEEKDAY('BRA Power'!A226,3),'Master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-1069449</v>
      </c>
      <c r="N226" s="112" t="n">
        <f aca="false">SUM(J$6:J226)</f>
        <v>23373889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-1069.449</v>
      </c>
      <c r="W226" s="114" t="n">
        <f aca="false">N226/$R$3</f>
        <v>23373.889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Data'!$A$2:$B$8,MATCH(WEEKDAY('BRA Power'!A227,3),'Master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-1069449</v>
      </c>
      <c r="N227" s="112" t="n">
        <f aca="false">SUM(J$6:J227)</f>
        <v>23373889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-1069.449</v>
      </c>
      <c r="W227" s="114" t="n">
        <f aca="false">N227/$R$3</f>
        <v>23373.889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Data'!$A$2:$B$8,MATCH(WEEKDAY('BRA Power'!A228,3),'Master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-1069449</v>
      </c>
      <c r="N228" s="112" t="n">
        <f aca="false">SUM(J$6:J228)</f>
        <v>23373889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-1069.449</v>
      </c>
      <c r="W228" s="114" t="n">
        <f aca="false">N228/$R$3</f>
        <v>23373.889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Data'!$A$2:$B$8,MATCH(WEEKDAY('BRA Power'!A229,3),'Master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-1069449</v>
      </c>
      <c r="N229" s="112" t="n">
        <f aca="false">SUM(J$6:J229)</f>
        <v>23373889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-1069.449</v>
      </c>
      <c r="W229" s="114" t="n">
        <f aca="false">N229/$R$3</f>
        <v>23373.889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Data'!$A$2:$B$8,MATCH(WEEKDAY('BRA Power'!A230,3),'Master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-1069449</v>
      </c>
      <c r="N230" s="112" t="n">
        <f aca="false">SUM(J$6:J230)</f>
        <v>23373889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-1069.449</v>
      </c>
      <c r="W230" s="114" t="n">
        <f aca="false">N230/$R$3</f>
        <v>23373.889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Data'!$A$2:$B$8,MATCH(WEEKDAY('BRA Power'!A231,3),'Master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-1069449</v>
      </c>
      <c r="N231" s="112" t="n">
        <f aca="false">SUM(J$6:J231)</f>
        <v>23373889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-1069.449</v>
      </c>
      <c r="W231" s="114" t="n">
        <f aca="false">N231/$R$3</f>
        <v>23373.889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Data'!$A$2:$B$8,MATCH(WEEKDAY('BRA Power'!A232,3),'Master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-1069449</v>
      </c>
      <c r="N232" s="112" t="n">
        <f aca="false">SUM(J$6:J232)</f>
        <v>23373889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-1069.449</v>
      </c>
      <c r="W232" s="114" t="n">
        <f aca="false">N232/$R$3</f>
        <v>23373.889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Data'!$A$2:$B$8,MATCH(WEEKDAY('BRA Power'!A233,3),'Master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-1069449</v>
      </c>
      <c r="N233" s="112" t="n">
        <f aca="false">SUM(J$6:J233)</f>
        <v>23373889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-1069.449</v>
      </c>
      <c r="W233" s="114" t="n">
        <f aca="false">N233/$R$3</f>
        <v>23373.889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Data'!$A$2:$B$8,MATCH(WEEKDAY('BRA Power'!A234,3),'Master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-1069449</v>
      </c>
      <c r="N234" s="112" t="n">
        <f aca="false">SUM(J$6:J234)</f>
        <v>23373889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-1069.449</v>
      </c>
      <c r="W234" s="114" t="n">
        <f aca="false">N234/$R$3</f>
        <v>23373.889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Data'!$A$2:$B$8,MATCH(WEEKDAY('BRA Power'!A235,3),'Master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-1069449</v>
      </c>
      <c r="N235" s="112" t="n">
        <f aca="false">SUM(J$6:J235)</f>
        <v>23373889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-1069.449</v>
      </c>
      <c r="W235" s="114" t="n">
        <f aca="false">N235/$R$3</f>
        <v>23373.889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Data'!$A$2:$B$8,MATCH(WEEKDAY('BRA Power'!A236,3),'Master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-1069449</v>
      </c>
      <c r="N236" s="112" t="n">
        <f aca="false">SUM(J$6:J236)</f>
        <v>23373889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-1069.449</v>
      </c>
      <c r="W236" s="114" t="n">
        <f aca="false">N236/$R$3</f>
        <v>23373.889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Data'!$A$2:$B$8,MATCH(WEEKDAY('BRA Power'!A237,3),'Master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-1069449</v>
      </c>
      <c r="N237" s="112" t="n">
        <f aca="false">SUM(J$6:J237)</f>
        <v>23373889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-1069.449</v>
      </c>
      <c r="W237" s="114" t="n">
        <f aca="false">N237/$R$3</f>
        <v>23373.889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Data'!$A$2:$B$8,MATCH(WEEKDAY('BRA Power'!A238,3),'Master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-1069449</v>
      </c>
      <c r="N238" s="112" t="n">
        <f aca="false">SUM(J$6:J238)</f>
        <v>23373889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-1069.449</v>
      </c>
      <c r="W238" s="114" t="n">
        <f aca="false">N238/$R$3</f>
        <v>23373.889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Data'!$A$2:$B$8,MATCH(WEEKDAY('BRA Power'!A239,3),'Master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-1069449</v>
      </c>
      <c r="N239" s="112" t="n">
        <f aca="false">SUM(J$6:J239)</f>
        <v>23373889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-1069.449</v>
      </c>
      <c r="W239" s="114" t="n">
        <f aca="false">N239/$R$3</f>
        <v>23373.889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Data'!$A$2:$B$8,MATCH(WEEKDAY('BRA Power'!A240,3),'Master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-1069449</v>
      </c>
      <c r="N240" s="112" t="n">
        <f aca="false">SUM(J$6:J240)</f>
        <v>23373889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-1069.449</v>
      </c>
      <c r="W240" s="114" t="n">
        <f aca="false">N240/$R$3</f>
        <v>23373.889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Data'!$A$2:$B$8,MATCH(WEEKDAY('BRA Power'!A241,3),'Master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-1069449</v>
      </c>
      <c r="N241" s="112" t="n">
        <f aca="false">SUM(J$6:J241)</f>
        <v>23373889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-1069.449</v>
      </c>
      <c r="W241" s="114" t="n">
        <f aca="false">N241/$R$3</f>
        <v>23373.889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Data'!$A$2:$B$8,MATCH(WEEKDAY('BRA Power'!A242,3),'Master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-1069449</v>
      </c>
      <c r="N242" s="112" t="n">
        <f aca="false">SUM(J$6:J242)</f>
        <v>23373889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-1069.449</v>
      </c>
      <c r="W242" s="114" t="n">
        <f aca="false">N242/$R$3</f>
        <v>23373.889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Data'!$A$2:$B$8,MATCH(WEEKDAY('BRA Power'!A243,3),'Master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-1069449</v>
      </c>
      <c r="N243" s="112" t="n">
        <f aca="false">SUM(J$6:J243)</f>
        <v>23373889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-1069.449</v>
      </c>
      <c r="W243" s="114" t="n">
        <f aca="false">N243/$R$3</f>
        <v>23373.889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Data'!$A$2:$B$8,MATCH(WEEKDAY('BRA Power'!A244,3),'Master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-1069449</v>
      </c>
      <c r="N244" s="112" t="n">
        <f aca="false">SUM(J$6:J244)</f>
        <v>23373889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-1069.449</v>
      </c>
      <c r="W244" s="114" t="n">
        <f aca="false">N244/$R$3</f>
        <v>23373.889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Data'!$A$2:$B$8,MATCH(WEEKDAY('BRA Power'!A245,3),'Master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-1069449</v>
      </c>
      <c r="N245" s="112" t="n">
        <f aca="false">SUM(J$6:J245)</f>
        <v>23373889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-1069.449</v>
      </c>
      <c r="W245" s="114" t="n">
        <f aca="false">N245/$R$3</f>
        <v>23373.889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Data'!$A$2:$B$8,MATCH(WEEKDAY('BRA Power'!A246,3),'Master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-1069449</v>
      </c>
      <c r="N246" s="112" t="n">
        <f aca="false">SUM(J$6:J246)</f>
        <v>23373889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-1069.449</v>
      </c>
      <c r="W246" s="114" t="n">
        <f aca="false">N246/$R$3</f>
        <v>23373.889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Data'!$A$2:$B$8,MATCH(WEEKDAY('BRA Power'!A247,3),'Master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-1069449</v>
      </c>
      <c r="N247" s="112" t="n">
        <f aca="false">SUM(J$6:J247)</f>
        <v>23373889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-1069.449</v>
      </c>
      <c r="W247" s="114" t="n">
        <f aca="false">N247/$R$3</f>
        <v>23373.889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Data'!$A$2:$B$8,MATCH(WEEKDAY('BRA Power'!A248,3),'Master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-1069449</v>
      </c>
      <c r="N248" s="112" t="n">
        <f aca="false">SUM(J$6:J248)</f>
        <v>23373889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-1069.449</v>
      </c>
      <c r="W248" s="114" t="n">
        <f aca="false">N248/$R$3</f>
        <v>23373.889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Data'!$A$2:$B$8,MATCH(WEEKDAY('BRA Power'!A249,3),'Master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-1069449</v>
      </c>
      <c r="N249" s="112" t="n">
        <f aca="false">SUM(J$6:J249)</f>
        <v>23373889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-1069.449</v>
      </c>
      <c r="W249" s="114" t="n">
        <f aca="false">N249/$R$3</f>
        <v>23373.889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Data'!$A$2:$B$8,MATCH(WEEKDAY('BRA Power'!A250,3),'Master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-1069449</v>
      </c>
      <c r="N250" s="112" t="n">
        <f aca="false">SUM(J$6:J250)</f>
        <v>23373889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-1069.449</v>
      </c>
      <c r="W250" s="114" t="n">
        <f aca="false">N250/$R$3</f>
        <v>23373.889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Data'!$A$2:$B$8,MATCH(WEEKDAY('BRA Power'!A251,3),'Master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-1069449</v>
      </c>
      <c r="N251" s="112" t="n">
        <f aca="false">SUM(J$6:J251)</f>
        <v>23373889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-1069.449</v>
      </c>
      <c r="W251" s="114" t="n">
        <f aca="false">N251/$R$3</f>
        <v>23373.889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Data'!$A$2:$B$8,MATCH(WEEKDAY('BRA Power'!A252,3),'Master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-1069449</v>
      </c>
      <c r="N252" s="112" t="n">
        <f aca="false">SUM(J$6:J252)</f>
        <v>23373889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-1069.449</v>
      </c>
      <c r="W252" s="114" t="n">
        <f aca="false">N252/$R$3</f>
        <v>23373.889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Data'!$A$2:$B$8,MATCH(WEEKDAY('BRA Power'!A253,3),'Master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-1069449</v>
      </c>
      <c r="N253" s="112" t="n">
        <f aca="false">SUM(J$6:J253)</f>
        <v>23373889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-1069.449</v>
      </c>
      <c r="W253" s="114" t="n">
        <f aca="false">N253/$R$3</f>
        <v>23373.889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Data'!$A$2:$B$8,MATCH(WEEKDAY('BRA Power'!A254,3),'Master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-1069449</v>
      </c>
      <c r="N254" s="112" t="n">
        <f aca="false">SUM(J$6:J254)</f>
        <v>23373889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-1069.449</v>
      </c>
      <c r="W254" s="114" t="n">
        <f aca="false">N254/$R$3</f>
        <v>23373.889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Data'!$A$2:$B$8,MATCH(WEEKDAY('BRA Power'!A255,3),'Master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-1069449</v>
      </c>
      <c r="N255" s="112" t="n">
        <f aca="false">SUM(J$6:J255)</f>
        <v>23373889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-1069.449</v>
      </c>
      <c r="W255" s="114" t="n">
        <f aca="false">N255/$R$3</f>
        <v>23373.889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Data'!$A$2:$B$8,MATCH(WEEKDAY('BRA Power'!A256,3),'Master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-1069449</v>
      </c>
      <c r="N256" s="112" t="n">
        <f aca="false">SUM(J$6:J256)</f>
        <v>23373889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-1069.449</v>
      </c>
      <c r="W256" s="114" t="n">
        <f aca="false">N256/$R$3</f>
        <v>23373.889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Data'!$A$2:$B$8,MATCH(WEEKDAY('BRA Power'!A257,3),'Master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-1069449</v>
      </c>
      <c r="N257" s="112" t="n">
        <f aca="false">SUM(J$6:J257)</f>
        <v>23373889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-1069.449</v>
      </c>
      <c r="W257" s="114" t="n">
        <f aca="false">N257/$R$3</f>
        <v>23373.889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Data'!$A$2:$B$8,MATCH(WEEKDAY('BRA Power'!A258,3),'Master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-1069449</v>
      </c>
      <c r="N258" s="112" t="n">
        <f aca="false">SUM(J$6:J258)</f>
        <v>23373889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-1069.449</v>
      </c>
      <c r="W258" s="114" t="n">
        <f aca="false">N258/$R$3</f>
        <v>23373.889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Data'!$A$2:$B$8,MATCH(WEEKDAY('BRA Power'!A259,3),'Master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-1069449</v>
      </c>
      <c r="N259" s="112" t="n">
        <f aca="false">SUM(J$6:J259)</f>
        <v>23373889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-1069.449</v>
      </c>
      <c r="W259" s="114" t="n">
        <f aca="false">N259/$R$3</f>
        <v>23373.889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Data'!$A$2:$B$8,MATCH(WEEKDAY('BRA Power'!A260,3),'Master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-1069449</v>
      </c>
      <c r="N260" s="112" t="n">
        <f aca="false">SUM(J$6:J260)</f>
        <v>23373889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-1069.449</v>
      </c>
      <c r="W260" s="114" t="n">
        <f aca="false">N260/$R$3</f>
        <v>23373.889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Data'!$A$2:$B$8,MATCH(WEEKDAY('BRA Power'!A261,3),'Master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-1069449</v>
      </c>
      <c r="N261" s="112" t="n">
        <f aca="false">SUM(J$6:J261)</f>
        <v>23373889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-1069.449</v>
      </c>
      <c r="W261" s="114" t="n">
        <f aca="false">N261/$R$3</f>
        <v>23373.889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Data'!$A$2:$B$8,MATCH(WEEKDAY('BRA Power'!A262,3),'Master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-1069449</v>
      </c>
      <c r="N262" s="112" t="n">
        <f aca="false">SUM(J$6:J262)</f>
        <v>23373889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-1069.449</v>
      </c>
      <c r="W262" s="114" t="n">
        <f aca="false">N262/$R$3</f>
        <v>23373.889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Data'!$A$2:$B$8,MATCH(WEEKDAY('BRA Power'!A263,3),'Master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-1069449</v>
      </c>
      <c r="N263" s="112" t="n">
        <f aca="false">SUM(J$6:J263)</f>
        <v>23373889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-1069.449</v>
      </c>
      <c r="W263" s="114" t="n">
        <f aca="false">N263/$R$3</f>
        <v>23373.889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Data'!$A$2:$B$8,MATCH(WEEKDAY('BRA Power'!A264,3),'Master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-1069449</v>
      </c>
      <c r="N264" s="112" t="n">
        <f aca="false">SUM(J$6:J264)</f>
        <v>23373889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-1069.449</v>
      </c>
      <c r="W264" s="114" t="n">
        <f aca="false">N264/$R$3</f>
        <v>23373.889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Data'!$A$2:$B$8,MATCH(WEEKDAY('BRA Power'!A265,3),'Master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-1069449</v>
      </c>
      <c r="N265" s="112" t="n">
        <f aca="false">SUM(J$6:J265)</f>
        <v>23373889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-1069.449</v>
      </c>
      <c r="W265" s="114" t="n">
        <f aca="false">N265/$R$3</f>
        <v>23373.889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Data'!$A$2:$B$8,MATCH(WEEKDAY('BRA Power'!A266,3),'Master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-1069449</v>
      </c>
      <c r="N266" s="112" t="n">
        <f aca="false">SUM(J$6:J266)</f>
        <v>23373889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-1069.449</v>
      </c>
      <c r="W266" s="114" t="n">
        <f aca="false">N266/$R$3</f>
        <v>23373.889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Data'!$A$2:$B$8,MATCH(WEEKDAY('BRA Power'!A267,3),'Master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-1069449</v>
      </c>
      <c r="N267" s="112" t="n">
        <f aca="false">SUM(J$6:J267)</f>
        <v>23373889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-1069.449</v>
      </c>
      <c r="W267" s="114" t="n">
        <f aca="false">N267/$R$3</f>
        <v>23373.889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Data'!$A$2:$B$8,MATCH(WEEKDAY('BRA Power'!A268,3),'Master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-1069449</v>
      </c>
      <c r="N268" s="112" t="n">
        <f aca="false">SUM(J$6:J268)</f>
        <v>23373889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-1069.449</v>
      </c>
      <c r="W268" s="114" t="n">
        <f aca="false">N268/$R$3</f>
        <v>23373.889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Data'!$A$2:$B$8,MATCH(WEEKDAY('BRA Power'!A269,3),'Master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-1069449</v>
      </c>
      <c r="N269" s="112" t="n">
        <f aca="false">SUM(J$6:J269)</f>
        <v>23373889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-1069.449</v>
      </c>
      <c r="W269" s="114" t="n">
        <f aca="false">N269/$R$3</f>
        <v>23373.889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Data'!$A$2:$B$8,MATCH(WEEKDAY('BRA Power'!A270,3),'Master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-1069449</v>
      </c>
      <c r="N270" s="112" t="n">
        <f aca="false">SUM(J$6:J270)</f>
        <v>23373889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-1069.449</v>
      </c>
      <c r="W270" s="114" t="n">
        <f aca="false">N270/$R$3</f>
        <v>23373.889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Data'!$A$2:$B$8,MATCH(WEEKDAY('BRA Power'!A271,3),'Master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-1069449</v>
      </c>
      <c r="N271" s="112" t="n">
        <f aca="false">SUM(J$6:J271)</f>
        <v>23373889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-1069.449</v>
      </c>
      <c r="W271" s="114" t="n">
        <f aca="false">N271/$R$3</f>
        <v>23373.889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Data'!$A$2:$B$8,MATCH(WEEKDAY('BRA Power'!A272,3),'Master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-1069449</v>
      </c>
      <c r="N272" s="112" t="n">
        <f aca="false">SUM(J$6:J272)</f>
        <v>23373889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-1069.449</v>
      </c>
      <c r="W272" s="114" t="n">
        <f aca="false">N272/$R$3</f>
        <v>23373.889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Data'!$A$2:$B$8,MATCH(WEEKDAY('BRA Power'!A273,3),'Master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-1069449</v>
      </c>
      <c r="N273" s="112" t="n">
        <f aca="false">SUM(J$6:J273)</f>
        <v>23373889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-1069.449</v>
      </c>
      <c r="W273" s="114" t="n">
        <f aca="false">N273/$R$3</f>
        <v>23373.889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Data'!$A$2:$B$8,MATCH(WEEKDAY('BRA Power'!A274,3),'Master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-1069449</v>
      </c>
      <c r="N274" s="112" t="n">
        <f aca="false">SUM(J$6:J274)</f>
        <v>23373889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-1069.449</v>
      </c>
      <c r="W274" s="114" t="n">
        <f aca="false">N274/$R$3</f>
        <v>23373.889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Data'!$A$2:$B$8,MATCH(WEEKDAY('BRA Power'!A275,3),'Master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-1069449</v>
      </c>
      <c r="N275" s="112" t="n">
        <f aca="false">SUM(J$6:J275)</f>
        <v>23373889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-1069.449</v>
      </c>
      <c r="W275" s="114" t="n">
        <f aca="false">N275/$R$3</f>
        <v>23373.889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Data'!$A$2:$B$8,MATCH(WEEKDAY('BRA Power'!A276,3),'Master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-1069449</v>
      </c>
      <c r="N276" s="112" t="n">
        <f aca="false">SUM(J$6:J276)</f>
        <v>23373889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-1069.449</v>
      </c>
      <c r="W276" s="114" t="n">
        <f aca="false">N276/$R$3</f>
        <v>23373.889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Data'!$A$2:$B$8,MATCH(WEEKDAY('BRA Power'!A277,3),'Master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-1069449</v>
      </c>
      <c r="N277" s="112" t="n">
        <f aca="false">SUM(J$6:J277)</f>
        <v>23373889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-1069.449</v>
      </c>
      <c r="W277" s="114" t="n">
        <f aca="false">N277/$R$3</f>
        <v>23373.889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Data'!$A$2:$B$8,MATCH(WEEKDAY('BRA Power'!A278,3),'Master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-1069449</v>
      </c>
      <c r="N278" s="112" t="n">
        <f aca="false">SUM(J$6:J278)</f>
        <v>23373889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-1069.449</v>
      </c>
      <c r="W278" s="114" t="n">
        <f aca="false">N278/$R$3</f>
        <v>23373.889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Data'!$A$2:$B$8,MATCH(WEEKDAY('BRA Power'!A279,3),'Master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-1069449</v>
      </c>
      <c r="N279" s="112" t="n">
        <f aca="false">SUM(J$6:J279)</f>
        <v>23373889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-1069.449</v>
      </c>
      <c r="W279" s="114" t="n">
        <f aca="false">N279/$R$3</f>
        <v>23373.889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Data'!$A$2:$B$8,MATCH(WEEKDAY('BRA Power'!A280,3),'Master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23373889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23373.889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Data'!$A$2:$B$8,MATCH(WEEKDAY('BRA Power'!A281,3),'Master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23373889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23373.889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Data'!$A$2:$B$8,MATCH(WEEKDAY('BRA Power'!A282,3),'Master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23373889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23373.889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Data'!$A$2:$B$8,MATCH(WEEKDAY('BRA Power'!A283,3),'Master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23373889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23373.889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Data'!$A$2:$B$8,MATCH(WEEKDAY('BRA Power'!A284,3),'Master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23373889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23373.889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Data'!$A$2:$B$8,MATCH(WEEKDAY('BRA Power'!A285,3),'Master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23373889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23373.889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Data'!$A$2:$B$8,MATCH(WEEKDAY('BRA Power'!A286,3),'Master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23373889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23373.889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Data'!$A$2:$B$8,MATCH(WEEKDAY('BRA Power'!A287,3),'Master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23373889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23373.889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Data'!$A$2:$B$8,MATCH(WEEKDAY('BRA Power'!A288,3),'Master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23373889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23373.889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Data'!$A$2:$B$8,MATCH(WEEKDAY('BRA Power'!A289,3),'Master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23373889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23373.889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Data'!$A$2:$B$8,MATCH(WEEKDAY('BRA Power'!A290,3),'Master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23373889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23373.889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Data'!$A$2:$B$8,MATCH(WEEKDAY('BRA Power'!A291,3),'Master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23373889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23373.889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Data'!$A$2:$B$8,MATCH(WEEKDAY('BRA Power'!A292,3),'Master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23373889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23373.889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Data'!$A$2:$B$8,MATCH(WEEKDAY('BRA Power'!A293,3),'Master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23373889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23373.889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Data'!$A$2:$B$8,MATCH(WEEKDAY('BRA Power'!A294,3),'Master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23373889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23373.889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Data'!$A$2:$B$8,MATCH(WEEKDAY('BRA Power'!A295,3),'Master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23373889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23373.889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Data'!$A$2:$B$8,MATCH(WEEKDAY('BRA Power'!A296,3),'Master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23373889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23373.889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Data'!$A$2:$B$8,MATCH(WEEKDAY('BRA Power'!A297,3),'Master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23373889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23373.889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Data'!$A$2:$B$8,MATCH(WEEKDAY('BRA Power'!A298,3),'Master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23373889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23373.889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Data'!$A$2:$B$8,MATCH(WEEKDAY('BRA Power'!A299,3),'Master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23373889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23373.889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Data'!$A$2:$B$8,MATCH(WEEKDAY('BRA Power'!A300,3),'Master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23373889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23373.889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Data'!$A$2:$B$8,MATCH(WEEKDAY('BRA Power'!A301,3),'Master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23373889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23373.889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Data'!$A$2:$B$8,MATCH(WEEKDAY('BRA Power'!A302,3),'Master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23373889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23373.889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Data'!$A$2:$B$8,MATCH(WEEKDAY('BRA Power'!A303,3),'Master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23373889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23373.889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Data'!$A$2:$B$8,MATCH(WEEKDAY('BRA Power'!A304,3),'Master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23373889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23373.889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Data'!$A$2:$B$8,MATCH(WEEKDAY('BRA Power'!A305,3),'Master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23373889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23373.889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Data'!$A$2:$B$8,MATCH(WEEKDAY('BRA Power'!A306,3),'Master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23373889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23373.889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Data'!$A$2:$B$8,MATCH(WEEKDAY('BRA Power'!A307,3),'Master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23373889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23373.889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Data'!$A$2:$B$8,MATCH(WEEKDAY('BRA Power'!A308,3),'Master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23373889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23373.889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Data'!$A$2:$B$8,MATCH(WEEKDAY('BRA Power'!A309,3),'Master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23373889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23373.889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Data'!$A$2:$B$8,MATCH(WEEKDAY('BRA Power'!A310,3),'Master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23373889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23373.889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Data'!$A$2:$B$8,MATCH(WEEKDAY('BRA Power'!A311,3),'Master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23373889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23373.889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Data'!$A$2:$B$8,MATCH(WEEKDAY('BRA Power'!A312,3),'Master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23373889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23373.889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Data'!$A$2:$B$8,MATCH(WEEKDAY('BRA Power'!A313,3),'Master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23373889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23373.889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Data'!$A$2:$B$8,MATCH(WEEKDAY('BRA Power'!A314,3),'Master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23373889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23373.889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Data'!$A$2:$B$8,MATCH(WEEKDAY('BRA Power'!A315,3),'Master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23373889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23373.889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Data'!$A$2:$B$8,MATCH(WEEKDAY('BRA Power'!A316,3),'Master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23373889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23373.889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Data'!$A$2:$B$8,MATCH(WEEKDAY('BRA Power'!A317,3),'Master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23373889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23373.889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Data'!$A$2:$B$8,MATCH(WEEKDAY('BRA Power'!A318,3),'Master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23373889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23373.889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Data'!$A$2:$B$8,MATCH(WEEKDAY('BRA Power'!A319,3),'Master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23373889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23373.889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Data'!$A$2:$B$8,MATCH(WEEKDAY('BRA Power'!A320,3),'Master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23373889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23373.889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Data'!$A$2:$B$8,MATCH(WEEKDAY('BRA Power'!A321,3),'Master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23373889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23373.889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Data'!$A$2:$B$8,MATCH(WEEKDAY('BRA Power'!A322,3),'Master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23373889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23373.889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Data'!$A$2:$B$8,MATCH(WEEKDAY('BRA Power'!A323,3),'Master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23373889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23373.889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Data'!$A$2:$B$8,MATCH(WEEKDAY('BRA Power'!A324,3),'Master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23373889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23373.889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Data'!$A$2:$B$8,MATCH(WEEKDAY('BRA Power'!A325,3),'Master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23373889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23373.889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Data'!$A$2:$B$8,MATCH(WEEKDAY('BRA Power'!A326,3),'Master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23373889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23373.889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Data'!$A$2:$B$8,MATCH(WEEKDAY('BRA Power'!A327,3),'Master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23373889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23373.889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Data'!$A$2:$B$8,MATCH(WEEKDAY('BRA Power'!A328,3),'Master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23373889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23373.889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Data'!$A$2:$B$8,MATCH(WEEKDAY('BRA Power'!A329,3),'Master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23373889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23373.889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Data'!$A$2:$B$8,MATCH(WEEKDAY('BRA Power'!A330,3),'Master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23373889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23373.889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Data'!$A$2:$B$8,MATCH(WEEKDAY('BRA Power'!A331,3),'Master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23373889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23373.889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Data'!$A$2:$B$8,MATCH(WEEKDAY('BRA Power'!A332,3),'Master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23373889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23373.889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Data'!$A$2:$B$8,MATCH(WEEKDAY('BRA Power'!A333,3),'Master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23373889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23373.889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Data'!$A$2:$B$8,MATCH(WEEKDAY('BRA Power'!A334,3),'Master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23373889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23373.889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Data'!$A$2:$B$8,MATCH(WEEKDAY('BRA Power'!A335,3),'Master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23373889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23373.889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Data'!$A$2:$B$8,MATCH(WEEKDAY('BRA Power'!A336,3),'Master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23373889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23373.889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Data'!$A$2:$B$8,MATCH(WEEKDAY('BRA Power'!A337,3),'Master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23373889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23373.889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Data'!$A$2:$B$8,MATCH(WEEKDAY('BRA Power'!A338,3),'Master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23373889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23373.889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Data'!$A$2:$B$8,MATCH(WEEKDAY('BRA Power'!A339,3),'Master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23373889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23373.889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Data'!$A$2:$B$8,MATCH(WEEKDAY('BRA Power'!A340,3),'Master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23373889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23373.889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Data'!$A$2:$B$8,MATCH(WEEKDAY('BRA Power'!A341,3),'Master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23373889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23373.889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Data'!$A$2:$B$8,MATCH(WEEKDAY('BRA Power'!A342,3),'Master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23373889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23373.889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Data'!$A$2:$B$8,MATCH(WEEKDAY('BRA Power'!A343,3),'Master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23373889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23373.889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Data'!$A$2:$B$8,MATCH(WEEKDAY('BRA Power'!A344,3),'Master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23373889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23373.889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Data'!$A$2:$B$8,MATCH(WEEKDAY('BRA Power'!A345,3),'Master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23373889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23373.889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Data'!$A$2:$B$8,MATCH(WEEKDAY('BRA Power'!A346,3),'Master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23373889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23373.889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Data'!$A$2:$B$8,MATCH(WEEKDAY('BRA Power'!A347,3),'Master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23373889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23373.889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Data'!$A$2:$B$8,MATCH(WEEKDAY('BRA Power'!A348,3),'Master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23373889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23373.889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Data'!$A$2:$B$8,MATCH(WEEKDAY('BRA Power'!A349,3),'Master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23373889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23373.889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Data'!$A$2:$B$8,MATCH(WEEKDAY('BRA Power'!A350,3),'Master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23373889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23373.889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Data'!$A$2:$B$8,MATCH(WEEKDAY('BRA Power'!A351,3),'Master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23373889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23373.889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Data'!$A$2:$B$8,MATCH(WEEKDAY('BRA Power'!A352,3),'Master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23373889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23373.889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Data'!$A$2:$B$8,MATCH(WEEKDAY('BRA Power'!A353,3),'Master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23373889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23373.889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Data'!$A$2:$B$8,MATCH(WEEKDAY('BRA Power'!A354,3),'Master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23373889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23373.889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Data'!$A$2:$B$8,MATCH(WEEKDAY('BRA Power'!A355,3),'Master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23373889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23373.889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Data'!$A$2:$B$8,MATCH(WEEKDAY('BRA Power'!A356,3),'Master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23373889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23373.889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Data'!$A$2:$B$8,MATCH(WEEKDAY('BRA Power'!A357,3),'Master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23373889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23373.889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Data'!$A$2:$B$8,MATCH(WEEKDAY('BRA Power'!A358,3),'Master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23373889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23373.889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Data'!$A$2:$B$8,MATCH(WEEKDAY('BRA Power'!A359,3),'Master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23373889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23373.889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Data'!$A$2:$B$8,MATCH(WEEKDAY('BRA Power'!A360,3),'Master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23373889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23373.889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Data'!$A$2:$B$8,MATCH(WEEKDAY('BRA Power'!A361,3),'Master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23373889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23373.889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Data'!$A$2:$B$8,MATCH(WEEKDAY('BRA Power'!A362,3),'Master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23373889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23373.889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Data'!$A$2:$B$8,MATCH(WEEKDAY('BRA Power'!A363,3),'Master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23373889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23373.889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Data'!$A$2:$B$8,MATCH(WEEKDAY('BRA Power'!A364,3),'Master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23373889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23373.889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Data'!$A$2:$B$8,MATCH(WEEKDAY('BRA Power'!A365,3),'Master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23373889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23373.889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Data'!$A$2:$B$8,MATCH(WEEKDAY('BRA Power'!A366,3),'Master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23373889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23373.889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Data'!$A$2:$B$8,MATCH(WEEKDAY('BRA Power'!A367,3),'Master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23373889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23373.889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Data'!$A$2:$B$8,MATCH(WEEKDAY('BRA Power'!A368,3),'Master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23373889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23373.889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Data'!$A$2:$B$8,MATCH(WEEKDAY('BRA Power'!A369,3),'Master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23373889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23373.889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Data'!$A$2:$B$8,MATCH(WEEKDAY('BRA Power'!A370,3),'Master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23373889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23373.889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Data'!$A$2:$B$8,MATCH(WEEKDAY('BRA Power'!A371,3),'Master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23373889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23373.889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0" activeCellId="0" sqref="A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36966</v>
      </c>
    </row>
    <row r="3" customFormat="false" ht="12.75" hidden="false" customHeight="false" outlineLevel="0" collapsed="false">
      <c r="K3" s="116" t="n">
        <f aca="false">[4]Summary!B8</f>
        <v>36972</v>
      </c>
      <c r="L3" s="117" t="n">
        <f aca="false">SUM(L6:L371)</f>
        <v>0</v>
      </c>
      <c r="P3" s="112" t="n">
        <v>1000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82</v>
      </c>
      <c r="E4" s="119" t="s">
        <v>82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83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false" customHeight="false" outlineLevel="0" collapsed="false">
      <c r="A6" s="108" t="n">
        <v>36892</v>
      </c>
      <c r="B6" s="119" t="str">
        <f aca="false">INDEX('[4]Master Data'!$A$2:$B$8,MATCH(WEEKDAY('CRD Hedge'!A6,3),'[4]Master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false" customHeight="false" outlineLevel="0" collapsed="false">
      <c r="A7" s="108" t="n">
        <f aca="false">A6+1</f>
        <v>36893</v>
      </c>
      <c r="B7" s="119" t="str">
        <f aca="false">INDEX('[4]Master Data'!$A$2:$B$8,MATCH(WEEKDAY('CRD Hedge'!A7,3),'[4]Master Data'!$A$2:$A$8,0),2)</f>
        <v>T</v>
      </c>
      <c r="D7" s="112" t="n">
        <v>0</v>
      </c>
      <c r="E7" s="112" t="n">
        <v>0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0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false" customHeight="false" outlineLevel="0" collapsed="false">
      <c r="A8" s="108" t="n">
        <f aca="false">A7+1</f>
        <v>36894</v>
      </c>
      <c r="B8" s="119" t="str">
        <f aca="false">INDEX('[4]Master Data'!$A$2:$B$8,MATCH(WEEKDAY('CRD Hedge'!A8,3),'[4]Master Data'!$A$2:$A$8,0),2)</f>
        <v>W</v>
      </c>
      <c r="D8" s="112" t="n">
        <v>0</v>
      </c>
      <c r="E8" s="112" t="n">
        <v>0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false" customHeight="false" outlineLevel="0" collapsed="false">
      <c r="A9" s="108" t="n">
        <f aca="false">A8+1</f>
        <v>36895</v>
      </c>
      <c r="B9" s="119" t="str">
        <f aca="false">INDEX('[4]Master Data'!$A$2:$B$8,MATCH(WEEKDAY('CRD Hedge'!A9,3),'[4]Master Data'!$A$2:$A$8,0),2)</f>
        <v>Th</v>
      </c>
      <c r="D9" s="112" t="n">
        <v>0</v>
      </c>
      <c r="E9" s="112" t="n">
        <v>0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0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false" customHeight="false" outlineLevel="0" collapsed="false">
      <c r="A10" s="108" t="n">
        <f aca="false">A9+1</f>
        <v>36896</v>
      </c>
      <c r="B10" s="119" t="str">
        <f aca="false">INDEX('[4]Master Data'!$A$2:$B$8,MATCH(WEEKDAY('CRD Hedge'!A10,3),'[4]Master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false" customHeight="false" outlineLevel="0" collapsed="false">
      <c r="A11" s="108" t="n">
        <f aca="false">A10+1</f>
        <v>36897</v>
      </c>
      <c r="B11" s="119" t="str">
        <f aca="false">INDEX('[4]Master Data'!$A$2:$B$8,MATCH(WEEKDAY('CRD Hedge'!A11,3),'[4]Master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false" customHeight="false" outlineLevel="0" collapsed="false">
      <c r="A12" s="108" t="n">
        <f aca="false">A11+1</f>
        <v>36898</v>
      </c>
      <c r="B12" s="119" t="str">
        <f aca="false">INDEX('[4]Master Data'!$A$2:$B$8,MATCH(WEEKDAY('CRD Hedge'!A12,3),'[4]Master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false" customHeight="false" outlineLevel="0" collapsed="false">
      <c r="A13" s="108" t="n">
        <f aca="false">A12+1</f>
        <v>36899</v>
      </c>
      <c r="B13" s="119" t="str">
        <f aca="false">INDEX('[4]Master Data'!$A$2:$B$8,MATCH(WEEKDAY('CRD Hedge'!A13,3),'[4]Master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false" customHeight="false" outlineLevel="0" collapsed="false">
      <c r="A14" s="108" t="n">
        <f aca="false">A13+1</f>
        <v>36900</v>
      </c>
      <c r="B14" s="119" t="str">
        <f aca="false">INDEX('[4]Master Data'!$A$2:$B$8,MATCH(WEEKDAY('CRD Hedge'!A14,3),'[4]Master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false" customHeight="false" outlineLevel="0" collapsed="false">
      <c r="A15" s="108" t="n">
        <f aca="false">A14+1</f>
        <v>36901</v>
      </c>
      <c r="B15" s="119" t="str">
        <f aca="false">INDEX('[4]Master Data'!$A$2:$B$8,MATCH(WEEKDAY('CRD Hedge'!A15,3),'[4]Master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false" customHeight="false" outlineLevel="0" collapsed="false">
      <c r="A16" s="108" t="n">
        <f aca="false">A15+1</f>
        <v>36902</v>
      </c>
      <c r="B16" s="119" t="str">
        <f aca="false">INDEX('[4]Master Data'!$A$2:$B$8,MATCH(WEEKDAY('CRD Hedge'!A16,3),'[4]Master Data'!$A$2:$A$8,0),2)</f>
        <v>Th</v>
      </c>
      <c r="D16" s="112" t="n">
        <v>0</v>
      </c>
      <c r="E16" s="112" t="n">
        <v>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false" customHeight="false" outlineLevel="0" collapsed="false">
      <c r="A17" s="108" t="n">
        <f aca="false">A16+1</f>
        <v>36903</v>
      </c>
      <c r="B17" s="119" t="str">
        <f aca="false">INDEX('[4]Master Data'!$A$2:$B$8,MATCH(WEEKDAY('CRD Hedge'!A17,3),'[4]Master Data'!$A$2:$A$8,0),2)</f>
        <v>F</v>
      </c>
      <c r="D17" s="112" t="n">
        <v>0</v>
      </c>
      <c r="E17" s="112" t="n">
        <v>0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false" customHeight="false" outlineLevel="0" collapsed="false">
      <c r="A18" s="108" t="n">
        <f aca="false">A17+1</f>
        <v>36904</v>
      </c>
      <c r="B18" s="119" t="str">
        <f aca="false">INDEX('[4]Master Data'!$A$2:$B$8,MATCH(WEEKDAY('CRD Hedge'!A18,3),'[4]Master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false" customHeight="false" outlineLevel="0" collapsed="false">
      <c r="A19" s="108" t="n">
        <f aca="false">A18+1</f>
        <v>36905</v>
      </c>
      <c r="B19" s="119" t="str">
        <f aca="false">INDEX('[4]Master Data'!$A$2:$B$8,MATCH(WEEKDAY('CRD Hedge'!A19,3),'[4]Master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false" customHeight="false" outlineLevel="0" collapsed="false">
      <c r="A20" s="108" t="n">
        <f aca="false">A19+1</f>
        <v>36906</v>
      </c>
      <c r="B20" s="119" t="str">
        <f aca="false">INDEX('[4]Master Data'!$A$2:$B$8,MATCH(WEEKDAY('CRD Hedge'!A20,3),'[4]Master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false" customHeight="false" outlineLevel="0" collapsed="false">
      <c r="A21" s="108" t="n">
        <f aca="false">A20+1</f>
        <v>36907</v>
      </c>
      <c r="B21" s="119" t="str">
        <f aca="false">INDEX('[4]Master Data'!$A$2:$B$8,MATCH(WEEKDAY('CRD Hedge'!A21,3),'[4]Master Data'!$A$2:$A$8,0),2)</f>
        <v>T</v>
      </c>
      <c r="D21" s="112" t="n">
        <v>0</v>
      </c>
      <c r="E21" s="112" t="n">
        <v>0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false" customHeight="false" outlineLevel="0" collapsed="false">
      <c r="A22" s="108" t="n">
        <f aca="false">A21+1</f>
        <v>36908</v>
      </c>
      <c r="B22" s="119" t="str">
        <f aca="false">INDEX('[4]Master Data'!$A$2:$B$8,MATCH(WEEKDAY('CRD Hedge'!A22,3),'[4]Master Data'!$A$2:$A$8,0),2)</f>
        <v>W</v>
      </c>
      <c r="D22" s="112" t="n">
        <v>0</v>
      </c>
      <c r="E22" s="112" t="n">
        <v>0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false" customHeight="false" outlineLevel="0" collapsed="false">
      <c r="A23" s="108" t="n">
        <f aca="false">A22+1</f>
        <v>36909</v>
      </c>
      <c r="B23" s="119" t="str">
        <f aca="false">INDEX('[4]Master Data'!$A$2:$B$8,MATCH(WEEKDAY('CRD Hedge'!A23,3),'[4]Master Data'!$A$2:$A$8,0),2)</f>
        <v>Th</v>
      </c>
      <c r="D23" s="112" t="n">
        <v>0</v>
      </c>
      <c r="E23" s="112" t="n">
        <v>0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false" customHeight="false" outlineLevel="0" collapsed="false">
      <c r="A24" s="108" t="n">
        <f aca="false">A23+1</f>
        <v>36910</v>
      </c>
      <c r="B24" s="119" t="str">
        <f aca="false">INDEX('[4]Master Data'!$A$2:$B$8,MATCH(WEEKDAY('CRD Hedge'!A24,3),'[4]Master Data'!$A$2:$A$8,0),2)</f>
        <v>F</v>
      </c>
      <c r="D24" s="112" t="n">
        <v>0</v>
      </c>
      <c r="E24" s="112" t="n">
        <v>0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false" customHeight="false" outlineLevel="0" collapsed="false">
      <c r="A25" s="108" t="n">
        <f aca="false">A24+1</f>
        <v>36911</v>
      </c>
      <c r="B25" s="119" t="str">
        <f aca="false">INDEX('[4]Master Data'!$A$2:$B$8,MATCH(WEEKDAY('CRD Hedge'!A25,3),'[4]Master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false" customHeight="false" outlineLevel="0" collapsed="false">
      <c r="A26" s="108" t="n">
        <f aca="false">A25+1</f>
        <v>36912</v>
      </c>
      <c r="B26" s="119" t="str">
        <f aca="false">INDEX('[4]Master Data'!$A$2:$B$8,MATCH(WEEKDAY('CRD Hedge'!A26,3),'[4]Master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false" customHeight="false" outlineLevel="0" collapsed="false">
      <c r="A27" s="108" t="n">
        <f aca="false">A26+1</f>
        <v>36913</v>
      </c>
      <c r="B27" s="119" t="str">
        <f aca="false">INDEX('[4]Master Data'!$A$2:$B$8,MATCH(WEEKDAY('CRD Hedge'!A27,3),'[4]Master Data'!$A$2:$A$8,0),2)</f>
        <v>M</v>
      </c>
      <c r="D27" s="112" t="n">
        <v>0</v>
      </c>
      <c r="E27" s="112" t="n">
        <v>0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false" customHeight="false" outlineLevel="0" collapsed="false">
      <c r="A28" s="108" t="n">
        <f aca="false">A27+1</f>
        <v>36914</v>
      </c>
      <c r="B28" s="119" t="str">
        <f aca="false">INDEX('[4]Master Data'!$A$2:$B$8,MATCH(WEEKDAY('CRD Hedge'!A28,3),'[4]Master Data'!$A$2:$A$8,0),2)</f>
        <v>T</v>
      </c>
      <c r="D28" s="112" t="n">
        <v>0</v>
      </c>
      <c r="E28" s="112" t="n">
        <v>0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false" customHeight="false" outlineLevel="0" collapsed="false">
      <c r="A29" s="108" t="n">
        <f aca="false">A28+1</f>
        <v>36915</v>
      </c>
      <c r="B29" s="119" t="str">
        <f aca="false">INDEX('[4]Master Data'!$A$2:$B$8,MATCH(WEEKDAY('CRD Hedge'!A29,3),'[4]Master Data'!$A$2:$A$8,0),2)</f>
        <v>W</v>
      </c>
      <c r="D29" s="112" t="n">
        <v>0</v>
      </c>
      <c r="E29" s="112" t="n">
        <v>0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false" customHeight="false" outlineLevel="0" collapsed="false">
      <c r="A30" s="108" t="n">
        <f aca="false">A29+1</f>
        <v>36916</v>
      </c>
      <c r="B30" s="119" t="str">
        <f aca="false">INDEX('[4]Master Data'!$A$2:$B$8,MATCH(WEEKDAY('CRD Hedge'!A30,3),'[4]Master Data'!$A$2:$A$8,0),2)</f>
        <v>Th</v>
      </c>
      <c r="D30" s="112" t="n">
        <v>0</v>
      </c>
      <c r="E30" s="112" t="n">
        <v>0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false" customHeight="false" outlineLevel="0" collapsed="false">
      <c r="A31" s="108" t="n">
        <f aca="false">A30+1</f>
        <v>36917</v>
      </c>
      <c r="B31" s="119" t="str">
        <f aca="false">INDEX('[4]Master Data'!$A$2:$B$8,MATCH(WEEKDAY('CRD Hedge'!A31,3),'[4]Master Data'!$A$2:$A$8,0),2)</f>
        <v>F</v>
      </c>
      <c r="D31" s="112" t="n">
        <v>0</v>
      </c>
      <c r="E31" s="112" t="n">
        <v>0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false" customHeight="false" outlineLevel="0" collapsed="false">
      <c r="A32" s="108" t="n">
        <f aca="false">A31+1</f>
        <v>36918</v>
      </c>
      <c r="B32" s="119" t="str">
        <f aca="false">INDEX('[4]Master Data'!$A$2:$B$8,MATCH(WEEKDAY('CRD Hedge'!A32,3),'[4]Master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false" customHeight="false" outlineLevel="0" collapsed="false">
      <c r="A33" s="108" t="n">
        <f aca="false">A32+1</f>
        <v>36919</v>
      </c>
      <c r="B33" s="119" t="str">
        <f aca="false">INDEX('[4]Master Data'!$A$2:$B$8,MATCH(WEEKDAY('CRD Hedge'!A33,3),'[4]Master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false" customHeight="false" outlineLevel="0" collapsed="false">
      <c r="A34" s="108" t="n">
        <f aca="false">A33+1</f>
        <v>36920</v>
      </c>
      <c r="B34" s="119" t="str">
        <f aca="false">INDEX('[4]Master Data'!$A$2:$B$8,MATCH(WEEKDAY('CRD Hedge'!A34,3),'[4]Master Data'!$A$2:$A$8,0),2)</f>
        <v>M</v>
      </c>
      <c r="D34" s="112" t="n">
        <v>0</v>
      </c>
      <c r="E34" s="112" t="n">
        <v>0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false" customHeight="false" outlineLevel="0" collapsed="false">
      <c r="A35" s="108" t="n">
        <f aca="false">A34+1</f>
        <v>36921</v>
      </c>
      <c r="B35" s="119" t="str">
        <f aca="false">INDEX('[4]Master Data'!$A$2:$B$8,MATCH(WEEKDAY('CRD Hedge'!A35,3),'[4]Master Data'!$A$2:$A$8,0),2)</f>
        <v>T</v>
      </c>
      <c r="D35" s="112" t="n">
        <v>0</v>
      </c>
      <c r="E35" s="112" t="n">
        <v>0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INDEX('[4]Master Data'!$A$2:$B$8,MATCH(WEEKDAY('CRD Hedge'!A36,3),'[4]Master Data'!$A$2:$A$8,0),2)</f>
        <v>W</v>
      </c>
      <c r="D36" s="112" t="n">
        <v>0</v>
      </c>
      <c r="E36" s="112" t="n">
        <v>0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36" t="n">
        <f aca="false">D36/P$3</f>
        <v>0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false" customHeight="false" outlineLevel="0" collapsed="false">
      <c r="A37" s="108" t="n">
        <f aca="false">A36+1</f>
        <v>36923</v>
      </c>
      <c r="B37" s="119" t="str">
        <f aca="false">INDEX('[4]Master Data'!$A$2:$B$8,MATCH(WEEKDAY('CRD Hedge'!A37,3),'[4]Master Data'!$A$2:$A$8,0),2)</f>
        <v>Th</v>
      </c>
      <c r="D37" s="112" t="n">
        <v>0</v>
      </c>
      <c r="E37" s="112" t="n">
        <v>0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36" t="n">
        <f aca="false">D37/P$3</f>
        <v>0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false" customHeight="false" outlineLevel="0" collapsed="false">
      <c r="A38" s="108" t="n">
        <f aca="false">A37+1</f>
        <v>36924</v>
      </c>
      <c r="B38" s="119" t="str">
        <f aca="false">INDEX('[4]Master Data'!$A$2:$B$8,MATCH(WEEKDAY('CRD Hedge'!A38,3),'[4]Master Data'!$A$2:$A$8,0),2)</f>
        <v>F</v>
      </c>
      <c r="D38" s="112" t="n">
        <v>0</v>
      </c>
      <c r="E38" s="112" t="n">
        <v>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36" t="n">
        <f aca="false">D38/P$3</f>
        <v>0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false" customHeight="false" outlineLevel="0" collapsed="false">
      <c r="A39" s="108" t="n">
        <f aca="false">A38+1</f>
        <v>36925</v>
      </c>
      <c r="B39" s="119" t="str">
        <f aca="false">INDEX('[4]Master Data'!$A$2:$B$8,MATCH(WEEKDAY('CRD Hedge'!A39,3),'[4]Master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36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false" customHeight="false" outlineLevel="0" collapsed="false">
      <c r="A40" s="108" t="n">
        <f aca="false">A39+1</f>
        <v>36926</v>
      </c>
      <c r="B40" s="119" t="str">
        <f aca="false">INDEX('[4]Master Data'!$A$2:$B$8,MATCH(WEEKDAY('CRD Hedge'!A40,3),'[4]Master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36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false" customHeight="false" outlineLevel="0" collapsed="false">
      <c r="A41" s="108" t="n">
        <f aca="false">A40+1</f>
        <v>36927</v>
      </c>
      <c r="B41" s="119" t="str">
        <f aca="false">INDEX('[4]Master Data'!$A$2:$B$8,MATCH(WEEKDAY('CRD Hedge'!A41,3),'[4]Master Data'!$A$2:$A$8,0),2)</f>
        <v>M</v>
      </c>
      <c r="D41" s="112" t="n">
        <v>0</v>
      </c>
      <c r="E41" s="112" t="n">
        <v>0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36" t="n">
        <f aca="false">D41/P$3</f>
        <v>0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false" customHeight="false" outlineLevel="0" collapsed="false">
      <c r="A42" s="108" t="n">
        <f aca="false">A41+1</f>
        <v>36928</v>
      </c>
      <c r="B42" s="119" t="str">
        <f aca="false">INDEX('[4]Master Data'!$A$2:$B$8,MATCH(WEEKDAY('CRD Hedge'!A42,3),'[4]Master Data'!$A$2:$A$8,0),2)</f>
        <v>T</v>
      </c>
      <c r="D42" s="112" t="n">
        <v>0</v>
      </c>
      <c r="E42" s="112" t="n">
        <v>0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36" t="n">
        <f aca="false">D42/P$3</f>
        <v>0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false" customHeight="false" outlineLevel="0" collapsed="false">
      <c r="A43" s="108" t="n">
        <f aca="false">A42+1</f>
        <v>36929</v>
      </c>
      <c r="B43" s="119" t="str">
        <f aca="false">INDEX('[4]Master Data'!$A$2:$B$8,MATCH(WEEKDAY('CRD Hedge'!A43,3),'[4]Master Data'!$A$2:$A$8,0),2)</f>
        <v>W</v>
      </c>
      <c r="D43" s="112" t="n">
        <v>0</v>
      </c>
      <c r="E43" s="112" t="n">
        <v>0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36" t="n">
        <f aca="false">D43/P$3</f>
        <v>0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false" customHeight="false" outlineLevel="0" collapsed="false">
      <c r="A44" s="108" t="n">
        <f aca="false">A43+1</f>
        <v>36930</v>
      </c>
      <c r="B44" s="119" t="str">
        <f aca="false">INDEX('[4]Master Data'!$A$2:$B$8,MATCH(WEEKDAY('CRD Hedge'!A44,3),'[4]Master Data'!$A$2:$A$8,0),2)</f>
        <v>Th</v>
      </c>
      <c r="D44" s="112" t="n">
        <v>0</v>
      </c>
      <c r="E44" s="112" t="n">
        <v>0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36" t="n">
        <f aca="false">D44/P$3</f>
        <v>0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false" customHeight="false" outlineLevel="0" collapsed="false">
      <c r="A45" s="108" t="n">
        <f aca="false">A44+1</f>
        <v>36931</v>
      </c>
      <c r="B45" s="119" t="str">
        <f aca="false">INDEX('[4]Master Data'!$A$2:$B$8,MATCH(WEEKDAY('CRD Hedge'!A45,3),'[4]Master Data'!$A$2:$A$8,0),2)</f>
        <v>F</v>
      </c>
      <c r="D45" s="112" t="n">
        <v>0</v>
      </c>
      <c r="E45" s="112" t="n">
        <v>0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36" t="n">
        <f aca="false">D45/P$3</f>
        <v>0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false" customHeight="false" outlineLevel="0" collapsed="false">
      <c r="A46" s="108" t="n">
        <f aca="false">A45+1</f>
        <v>36932</v>
      </c>
      <c r="B46" s="119" t="str">
        <f aca="false">INDEX('[4]Master Data'!$A$2:$B$8,MATCH(WEEKDAY('CRD Hedge'!A46,3),'[4]Master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36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false" customHeight="false" outlineLevel="0" collapsed="false">
      <c r="A47" s="108" t="n">
        <f aca="false">A46+1</f>
        <v>36933</v>
      </c>
      <c r="B47" s="119" t="str">
        <f aca="false">INDEX('[4]Master Data'!$A$2:$B$8,MATCH(WEEKDAY('CRD Hedge'!A47,3),'[4]Master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36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false" customHeight="false" outlineLevel="0" collapsed="false">
      <c r="A48" s="108" t="n">
        <f aca="false">A47+1</f>
        <v>36934</v>
      </c>
      <c r="B48" s="119" t="str">
        <f aca="false">INDEX('[4]Master Data'!$A$2:$B$8,MATCH(WEEKDAY('CRD Hedge'!A48,3),'[4]Master Data'!$A$2:$A$8,0),2)</f>
        <v>M</v>
      </c>
      <c r="D48" s="112" t="n">
        <v>0</v>
      </c>
      <c r="E48" s="112" t="n">
        <v>0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36" t="n">
        <f aca="false">D48/P$3</f>
        <v>0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false" customHeight="false" outlineLevel="0" collapsed="false">
      <c r="A49" s="108" t="n">
        <f aca="false">A48+1</f>
        <v>36935</v>
      </c>
      <c r="B49" s="119" t="str">
        <f aca="false">INDEX('[4]Master Data'!$A$2:$B$8,MATCH(WEEKDAY('CRD Hedge'!A49,3),'[4]Master Data'!$A$2:$A$8,0),2)</f>
        <v>T</v>
      </c>
      <c r="D49" s="112" t="n">
        <v>0</v>
      </c>
      <c r="E49" s="112" t="n">
        <v>0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36" t="n">
        <f aca="false">D49/P$3</f>
        <v>0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false" customHeight="false" outlineLevel="0" collapsed="false">
      <c r="A50" s="108" t="n">
        <f aca="false">A49+1</f>
        <v>36936</v>
      </c>
      <c r="B50" s="119" t="str">
        <f aca="false">INDEX('[4]Master Data'!$A$2:$B$8,MATCH(WEEKDAY('CRD Hedge'!A50,3),'[4]Master Data'!$A$2:$A$8,0),2)</f>
        <v>W</v>
      </c>
      <c r="D50" s="112" t="n">
        <v>0</v>
      </c>
      <c r="E50" s="112" t="n">
        <v>0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36" t="n">
        <f aca="false">D50/P$3</f>
        <v>0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false" customHeight="false" outlineLevel="0" collapsed="false">
      <c r="A51" s="108" t="n">
        <f aca="false">A50+1</f>
        <v>36937</v>
      </c>
      <c r="B51" s="119" t="str">
        <f aca="false">INDEX('[4]Master Data'!$A$2:$B$8,MATCH(WEEKDAY('CRD Hedge'!A51,3),'[4]Master Data'!$A$2:$A$8,0),2)</f>
        <v>Th</v>
      </c>
      <c r="D51" s="112" t="n">
        <v>0</v>
      </c>
      <c r="E51" s="112" t="n">
        <v>0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36" t="n">
        <f aca="false">D51/P$3</f>
        <v>0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false" customHeight="false" outlineLevel="0" collapsed="false">
      <c r="A52" s="108" t="n">
        <f aca="false">A51+1</f>
        <v>36938</v>
      </c>
      <c r="B52" s="119" t="str">
        <f aca="false">INDEX('[4]Master Data'!$A$2:$B$8,MATCH(WEEKDAY('CRD Hedge'!A52,3),'[4]Master Data'!$A$2:$A$8,0),2)</f>
        <v>F</v>
      </c>
      <c r="D52" s="112" t="n">
        <v>0</v>
      </c>
      <c r="E52" s="112" t="n">
        <v>0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36" t="n">
        <f aca="false">D52/P$3</f>
        <v>0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false" customHeight="false" outlineLevel="0" collapsed="false">
      <c r="A53" s="108" t="n">
        <f aca="false">A52+1</f>
        <v>36939</v>
      </c>
      <c r="B53" s="119" t="str">
        <f aca="false">INDEX('[4]Master Data'!$A$2:$B$8,MATCH(WEEKDAY('CRD Hedge'!A53,3),'[4]Master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36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false" customHeight="false" outlineLevel="0" collapsed="false">
      <c r="A54" s="108" t="n">
        <f aca="false">A53+1</f>
        <v>36940</v>
      </c>
      <c r="B54" s="119" t="str">
        <f aca="false">INDEX('[4]Master Data'!$A$2:$B$8,MATCH(WEEKDAY('CRD Hedge'!A54,3),'[4]Master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36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false" customHeight="false" outlineLevel="0" collapsed="false">
      <c r="A55" s="108" t="n">
        <f aca="false">A54+1</f>
        <v>36941</v>
      </c>
      <c r="B55" s="119" t="str">
        <f aca="false">INDEX('[4]Master Data'!$A$2:$B$8,MATCH(WEEKDAY('CRD Hedge'!A55,3),'[4]Master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36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false" customHeight="false" outlineLevel="0" collapsed="false">
      <c r="A56" s="108" t="n">
        <f aca="false">A55+1</f>
        <v>36942</v>
      </c>
      <c r="B56" s="119" t="str">
        <f aca="false">INDEX('[4]Master Data'!$A$2:$B$8,MATCH(WEEKDAY('CRD Hedge'!A56,3),'[4]Master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36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false" customHeight="false" outlineLevel="0" collapsed="false">
      <c r="A57" s="108" t="n">
        <f aca="false">A56+1</f>
        <v>36943</v>
      </c>
      <c r="B57" s="119" t="str">
        <f aca="false">INDEX('[4]Master Data'!$A$2:$B$8,MATCH(WEEKDAY('CRD Hedge'!A57,3),'[4]Master Data'!$A$2:$A$8,0),2)</f>
        <v>W</v>
      </c>
      <c r="D57" s="112" t="n">
        <v>0</v>
      </c>
      <c r="E57" s="112" t="n">
        <v>0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36" t="n">
        <f aca="false">D57/P$3</f>
        <v>0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false" customHeight="false" outlineLevel="0" collapsed="false">
      <c r="A58" s="108" t="n">
        <f aca="false">A57+1</f>
        <v>36944</v>
      </c>
      <c r="B58" s="119" t="str">
        <f aca="false">INDEX('[4]Master Data'!$A$2:$B$8,MATCH(WEEKDAY('CRD Hedge'!A58,3),'[4]Master Data'!$A$2:$A$8,0),2)</f>
        <v>Th</v>
      </c>
      <c r="D58" s="112" t="n">
        <v>0</v>
      </c>
      <c r="E58" s="112" t="n">
        <v>0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36" t="n">
        <f aca="false">D58/P$3</f>
        <v>0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false" customHeight="false" outlineLevel="0" collapsed="false">
      <c r="A59" s="108" t="n">
        <f aca="false">A58+1</f>
        <v>36945</v>
      </c>
      <c r="B59" s="119" t="str">
        <f aca="false">INDEX('[4]Master Data'!$A$2:$B$8,MATCH(WEEKDAY('CRD Hedge'!A59,3),'[4]Master Data'!$A$2:$A$8,0),2)</f>
        <v>F</v>
      </c>
      <c r="D59" s="112" t="n">
        <v>0</v>
      </c>
      <c r="E59" s="112" t="n">
        <v>0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36" t="n">
        <f aca="false">D59/P$3</f>
        <v>0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false" customHeight="false" outlineLevel="0" collapsed="false">
      <c r="A60" s="108" t="n">
        <f aca="false">A59+1</f>
        <v>36946</v>
      </c>
      <c r="B60" s="119" t="str">
        <f aca="false">INDEX('[4]Master Data'!$A$2:$B$8,MATCH(WEEKDAY('CRD Hedge'!A60,3),'[4]Master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36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false" customHeight="false" outlineLevel="0" collapsed="false">
      <c r="A61" s="108" t="n">
        <f aca="false">A60+1</f>
        <v>36947</v>
      </c>
      <c r="B61" s="119" t="str">
        <f aca="false">INDEX('[4]Master Data'!$A$2:$B$8,MATCH(WEEKDAY('CRD Hedge'!A61,3),'[4]Master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36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false" customHeight="false" outlineLevel="0" collapsed="false">
      <c r="A62" s="108" t="n">
        <f aca="false">A61+1</f>
        <v>36948</v>
      </c>
      <c r="B62" s="119" t="str">
        <f aca="false">INDEX('[4]Master Data'!$A$2:$B$8,MATCH(WEEKDAY('CRD Hedge'!A62,3),'[4]Master Data'!$A$2:$A$8,0),2)</f>
        <v>M</v>
      </c>
      <c r="D62" s="112" t="n">
        <v>0</v>
      </c>
      <c r="E62" s="112" t="n">
        <v>0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36" t="n">
        <f aca="false">D62/P$3</f>
        <v>0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false" customHeight="false" outlineLevel="0" collapsed="false">
      <c r="A63" s="108" t="n">
        <f aca="false">A62+1</f>
        <v>36949</v>
      </c>
      <c r="B63" s="119" t="str">
        <f aca="false">INDEX('[4]Master Data'!$A$2:$B$8,MATCH(WEEKDAY('CRD Hedge'!A63,3),'[4]Master Data'!$A$2:$A$8,0),2)</f>
        <v>T</v>
      </c>
      <c r="D63" s="112" t="n">
        <v>0</v>
      </c>
      <c r="E63" s="112" t="n">
        <v>0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36" t="n">
        <f aca="false">D63/P$3</f>
        <v>0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INDEX('[4]Master Data'!$A$2:$B$8,MATCH(WEEKDAY('CRD Hedge'!A64,3),'[4]Master Data'!$A$2:$A$8,0),2)</f>
        <v>W</v>
      </c>
      <c r="D64" s="112" t="n">
        <v>0</v>
      </c>
      <c r="E64" s="112" t="n">
        <v>0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36" t="n">
        <f aca="false">D64/P$3</f>
        <v>0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false" customHeight="false" outlineLevel="0" collapsed="false">
      <c r="A65" s="108" t="n">
        <f aca="false">A64+1</f>
        <v>36951</v>
      </c>
      <c r="B65" s="119" t="str">
        <f aca="false">INDEX('[4]Master Data'!$A$2:$B$8,MATCH(WEEKDAY('CRD Hedge'!A65,3),'[4]Master Data'!$A$2:$A$8,0),2)</f>
        <v>Th</v>
      </c>
      <c r="D65" s="112" t="n">
        <v>0</v>
      </c>
      <c r="E65" s="112" t="n">
        <v>0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36" t="n">
        <f aca="false">D65/P$3</f>
        <v>0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false" customHeight="false" outlineLevel="0" collapsed="false">
      <c r="A66" s="108" t="n">
        <f aca="false">A65+1</f>
        <v>36952</v>
      </c>
      <c r="B66" s="119" t="str">
        <f aca="false">INDEX('[4]Master Data'!$A$2:$B$8,MATCH(WEEKDAY('CRD Hedge'!A66,3),'[4]Master Data'!$A$2:$A$8,0),2)</f>
        <v>F</v>
      </c>
      <c r="D66" s="112" t="n">
        <v>0</v>
      </c>
      <c r="E66" s="112" t="n">
        <v>0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36" t="n">
        <f aca="false">D66/P$3</f>
        <v>0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false" customHeight="false" outlineLevel="0" collapsed="false">
      <c r="A67" s="108" t="n">
        <f aca="false">A66+1</f>
        <v>36953</v>
      </c>
      <c r="B67" s="119" t="str">
        <f aca="false">INDEX('[4]Master Data'!$A$2:$B$8,MATCH(WEEKDAY('CRD Hedge'!A67,3),'[4]Master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36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false" customHeight="false" outlineLevel="0" collapsed="false">
      <c r="A68" s="108" t="n">
        <f aca="false">A67+1</f>
        <v>36954</v>
      </c>
      <c r="B68" s="119" t="str">
        <f aca="false">INDEX('[4]Master Data'!$A$2:$B$8,MATCH(WEEKDAY('CRD Hedge'!A68,3),'[4]Master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36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false" customHeight="false" outlineLevel="0" collapsed="false">
      <c r="A69" s="108" t="n">
        <f aca="false">A68+1</f>
        <v>36955</v>
      </c>
      <c r="B69" s="119" t="str">
        <f aca="false">INDEX('[4]Master Data'!$A$2:$B$8,MATCH(WEEKDAY('CRD Hedge'!A69,3),'[4]Master Data'!$A$2:$A$8,0),2)</f>
        <v>M</v>
      </c>
      <c r="D69" s="112" t="n">
        <v>0</v>
      </c>
      <c r="E69" s="112" t="n">
        <v>0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36" t="n">
        <f aca="false">D69/P$3</f>
        <v>0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false" customHeight="false" outlineLevel="0" collapsed="false">
      <c r="A70" s="108" t="n">
        <f aca="false">A69+1</f>
        <v>36956</v>
      </c>
      <c r="B70" s="119" t="str">
        <f aca="false">INDEX('[4]Master Data'!$A$2:$B$8,MATCH(WEEKDAY('CRD Hedge'!A70,3),'[4]Master Data'!$A$2:$A$8,0),2)</f>
        <v>T</v>
      </c>
      <c r="D70" s="112" t="n">
        <v>0</v>
      </c>
      <c r="E70" s="112" t="n">
        <v>0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36" t="n">
        <f aca="false">D70/P$3</f>
        <v>0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false" customHeight="false" outlineLevel="0" collapsed="false">
      <c r="A71" s="108" t="n">
        <f aca="false">A70+1</f>
        <v>36957</v>
      </c>
      <c r="B71" s="119" t="str">
        <f aca="false">INDEX('[4]Master Data'!$A$2:$B$8,MATCH(WEEKDAY('CRD Hedge'!A71,3),'[4]Master Data'!$A$2:$A$8,0),2)</f>
        <v>W</v>
      </c>
      <c r="D71" s="112" t="n">
        <v>0</v>
      </c>
      <c r="E71" s="112" t="n">
        <v>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36" t="n">
        <f aca="false">D71/P$3</f>
        <v>0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false" customHeight="false" outlineLevel="0" collapsed="false">
      <c r="A72" s="108" t="n">
        <f aca="false">A71+1</f>
        <v>36958</v>
      </c>
      <c r="B72" s="119" t="str">
        <f aca="false">INDEX('[4]Master Data'!$A$2:$B$8,MATCH(WEEKDAY('CRD Hedge'!A72,3),'[4]Master Data'!$A$2:$A$8,0),2)</f>
        <v>Th</v>
      </c>
      <c r="D72" s="112" t="n">
        <v>0</v>
      </c>
      <c r="E72" s="112" t="n">
        <v>0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36" t="n">
        <f aca="false">D72/P$3</f>
        <v>0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false" customHeight="false" outlineLevel="0" collapsed="false">
      <c r="A73" s="108" t="n">
        <f aca="false">A72+1</f>
        <v>36959</v>
      </c>
      <c r="B73" s="119" t="str">
        <f aca="false">INDEX('[4]Master Data'!$A$2:$B$8,MATCH(WEEKDAY('CRD Hedge'!A73,3),'[4]Master Data'!$A$2:$A$8,0),2)</f>
        <v>F</v>
      </c>
      <c r="D73" s="112" t="n">
        <v>0</v>
      </c>
      <c r="E73" s="112" t="n">
        <v>0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36" t="n">
        <f aca="false">D73/P$3</f>
        <v>0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false" customHeight="false" outlineLevel="0" collapsed="false">
      <c r="A74" s="108" t="n">
        <f aca="false">A73+1</f>
        <v>36960</v>
      </c>
      <c r="B74" s="119" t="str">
        <f aca="false">INDEX('[4]Master Data'!$A$2:$B$8,MATCH(WEEKDAY('CRD Hedge'!A74,3),'[4]Master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36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false" customHeight="false" outlineLevel="0" collapsed="false">
      <c r="A75" s="108" t="n">
        <f aca="false">A74+1</f>
        <v>36961</v>
      </c>
      <c r="B75" s="119" t="str">
        <f aca="false">INDEX('[4]Master Data'!$A$2:$B$8,MATCH(WEEKDAY('CRD Hedge'!A75,3),'[4]Master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36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false" customHeight="false" outlineLevel="0" collapsed="false">
      <c r="A76" s="108" t="n">
        <f aca="false">A75+1</f>
        <v>36962</v>
      </c>
      <c r="B76" s="119" t="str">
        <f aca="false">INDEX('[4]Master Data'!$A$2:$B$8,MATCH(WEEKDAY('CRD Hedge'!A76,3),'[4]Master Data'!$A$2:$A$8,0),2)</f>
        <v>M</v>
      </c>
      <c r="D76" s="112" t="n">
        <v>0</v>
      </c>
      <c r="E76" s="112" t="n">
        <v>0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36" t="n">
        <f aca="false">D76/P$3</f>
        <v>0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false" customHeight="false" outlineLevel="0" collapsed="false">
      <c r="A77" s="108" t="n">
        <f aca="false">A76+1</f>
        <v>36963</v>
      </c>
      <c r="B77" s="119" t="str">
        <f aca="false">INDEX('[4]Master Data'!$A$2:$B$8,MATCH(WEEKDAY('CRD Hedge'!A77,3),'[4]Master Data'!$A$2:$A$8,0),2)</f>
        <v>T</v>
      </c>
      <c r="D77" s="112" t="n">
        <v>300000</v>
      </c>
      <c r="E77" s="112" t="n">
        <v>0</v>
      </c>
      <c r="F77" s="112" t="n">
        <v>0</v>
      </c>
      <c r="G77" s="112" t="n">
        <v>895909</v>
      </c>
      <c r="I77" s="112" t="n">
        <f aca="false">IF(MONTH($A77)=MONTH($A76),IF(G77=0,I76,G77),G77)</f>
        <v>895909</v>
      </c>
      <c r="J77" s="112" t="n">
        <f aca="false">IF(MONTH($A77)=MONTH($A76),SUM(I77-I76),I77)</f>
        <v>895909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895909</v>
      </c>
      <c r="N77" s="112" t="n">
        <f aca="false">SUM(J$6:J77)</f>
        <v>895909</v>
      </c>
      <c r="P77" s="136" t="n">
        <f aca="false">D77/P$3</f>
        <v>300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895.909</v>
      </c>
      <c r="T77" s="114" t="n">
        <f aca="false">L77/$R$3</f>
        <v>0</v>
      </c>
      <c r="U77" s="114" t="n">
        <f aca="false">I77/$R$3</f>
        <v>895.909</v>
      </c>
      <c r="V77" s="114" t="n">
        <f aca="false">M77/$R$3</f>
        <v>895.909</v>
      </c>
      <c r="W77" s="114" t="n">
        <f aca="false">N77/$R$3</f>
        <v>895.909</v>
      </c>
    </row>
    <row r="78" customFormat="false" ht="12.75" hidden="false" customHeight="false" outlineLevel="0" collapsed="false">
      <c r="A78" s="108" t="n">
        <f aca="false">A77+1</f>
        <v>36964</v>
      </c>
      <c r="B78" s="119" t="str">
        <f aca="false">INDEX('[4]Master Data'!$A$2:$B$8,MATCH(WEEKDAY('CRD Hedge'!A78,3),'[4]Master Data'!$A$2:$A$8,0),2)</f>
        <v>W</v>
      </c>
      <c r="D78" s="112" t="n">
        <v>-300000</v>
      </c>
      <c r="E78" s="112" t="n">
        <v>0</v>
      </c>
      <c r="F78" s="112" t="n">
        <v>0</v>
      </c>
      <c r="G78" s="112" t="n">
        <f aca="false">-895909+860000</f>
        <v>-35909</v>
      </c>
      <c r="I78" s="112" t="n">
        <f aca="false">IF(MONTH($A78)=MONTH($A77),IF(G78=0,I77,G78),G78)</f>
        <v>-35909</v>
      </c>
      <c r="J78" s="112" t="n">
        <f aca="false">IF(MONTH($A78)=MONTH($A77),SUM(I78-I77),I78)</f>
        <v>-931818</v>
      </c>
      <c r="K78" s="112" t="n">
        <f aca="false">IF(WEEKDAY(A78,3)&gt;4,0,(IF(A78&lt;K$2,0,IF(A78&lt;=K$3,1,0))))</f>
        <v>0</v>
      </c>
      <c r="L78" s="112" t="n">
        <f aca="false">J78*K78</f>
        <v>-0</v>
      </c>
      <c r="M78" s="112" t="n">
        <f aca="false">SUM(J$6:J78)</f>
        <v>-35909</v>
      </c>
      <c r="N78" s="112" t="n">
        <f aca="false">SUM(J$6:J78)</f>
        <v>-35909</v>
      </c>
      <c r="P78" s="136" t="n">
        <f aca="false">D78/P$3</f>
        <v>-300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-931.818</v>
      </c>
      <c r="T78" s="114" t="n">
        <f aca="false">L78/$R$3</f>
        <v>-0</v>
      </c>
      <c r="U78" s="114" t="n">
        <f aca="false">I78/$R$3</f>
        <v>-35.909</v>
      </c>
      <c r="V78" s="114" t="n">
        <f aca="false">M78/$R$3</f>
        <v>-35.909</v>
      </c>
      <c r="W78" s="114" t="n">
        <f aca="false">N78/$R$3</f>
        <v>-35.909</v>
      </c>
    </row>
    <row r="79" customFormat="false" ht="12.75" hidden="false" customHeight="false" outlineLevel="0" collapsed="false">
      <c r="A79" s="108" t="n">
        <f aca="false">A78+1</f>
        <v>36965</v>
      </c>
      <c r="B79" s="119" t="str">
        <f aca="false">INDEX('[4]Master Data'!$A$2:$B$8,MATCH(WEEKDAY('CRD Hedge'!A79,3),'[4]Master Data'!$A$2:$A$8,0),2)</f>
        <v>Th</v>
      </c>
      <c r="D79" s="112" t="n">
        <v>0</v>
      </c>
      <c r="E79" s="112" t="n">
        <v>0</v>
      </c>
      <c r="F79" s="112" t="n">
        <v>0</v>
      </c>
      <c r="G79" s="112" t="n">
        <v>0</v>
      </c>
      <c r="I79" s="112" t="n">
        <f aca="false">IF(MONTH($A79)=MONTH($A78),IF(G79=0,I78,G79),G79)</f>
        <v>-35909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-35909</v>
      </c>
      <c r="N79" s="112" t="n">
        <f aca="false">SUM(J$6:J79)</f>
        <v>-35909</v>
      </c>
      <c r="P79" s="136" t="n">
        <f aca="false">D79/P$3</f>
        <v>0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-35.909</v>
      </c>
      <c r="V79" s="114" t="n">
        <f aca="false">M79/$R$3</f>
        <v>-35.909</v>
      </c>
      <c r="W79" s="114" t="n">
        <f aca="false">N79/$R$3</f>
        <v>-35.909</v>
      </c>
    </row>
    <row r="80" customFormat="false" ht="12.75" hidden="false" customHeight="false" outlineLevel="0" collapsed="false">
      <c r="A80" s="108" t="n">
        <f aca="false">A79+1</f>
        <v>36966</v>
      </c>
      <c r="B80" s="119" t="str">
        <f aca="false">INDEX('[4]Master Data'!$A$2:$B$8,MATCH(WEEKDAY('CRD Hedge'!A80,3),'[4]Master Data'!$A$2:$A$8,0),2)</f>
        <v>F</v>
      </c>
      <c r="D80" s="112" t="n">
        <v>0</v>
      </c>
      <c r="E80" s="112" t="n">
        <v>0</v>
      </c>
      <c r="F80" s="112" t="n">
        <v>0</v>
      </c>
      <c r="G80" s="112" t="n">
        <v>0</v>
      </c>
      <c r="I80" s="112" t="n">
        <f aca="false">IF(MONTH($A80)=MONTH($A79),IF(G80=0,I79,G80),G80)</f>
        <v>-35909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1</v>
      </c>
      <c r="L80" s="112" t="n">
        <f aca="false">J80*K80</f>
        <v>0</v>
      </c>
      <c r="M80" s="112" t="n">
        <f aca="false">SUM(J$6:J80)</f>
        <v>-35909</v>
      </c>
      <c r="N80" s="112" t="n">
        <f aca="false">SUM(J$6:J80)</f>
        <v>-35909</v>
      </c>
      <c r="P80" s="136" t="n">
        <f aca="false">D80/P$3</f>
        <v>0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-35.909</v>
      </c>
      <c r="V80" s="114" t="n">
        <f aca="false">M80/$R$3</f>
        <v>-35.909</v>
      </c>
      <c r="W80" s="114" t="n">
        <f aca="false">N80/$R$3</f>
        <v>-35.909</v>
      </c>
    </row>
    <row r="81" customFormat="false" ht="12.75" hidden="false" customHeight="false" outlineLevel="0" collapsed="false">
      <c r="A81" s="108" t="n">
        <f aca="false">A80+1</f>
        <v>36967</v>
      </c>
      <c r="B81" s="119" t="str">
        <f aca="false">INDEX('[4]Master Data'!$A$2:$B$8,MATCH(WEEKDAY('CRD Hedge'!A81,3),'[4]Master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-35909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-35909</v>
      </c>
      <c r="N81" s="112" t="n">
        <f aca="false">SUM(J$6:J81)</f>
        <v>-35909</v>
      </c>
      <c r="P81" s="136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-35.909</v>
      </c>
      <c r="V81" s="114" t="n">
        <f aca="false">M81/$R$3</f>
        <v>-35.909</v>
      </c>
      <c r="W81" s="114" t="n">
        <f aca="false">N81/$R$3</f>
        <v>-35.909</v>
      </c>
    </row>
    <row r="82" customFormat="false" ht="12.75" hidden="false" customHeight="false" outlineLevel="0" collapsed="false">
      <c r="A82" s="108" t="n">
        <f aca="false">A81+1</f>
        <v>36968</v>
      </c>
      <c r="B82" s="119" t="str">
        <f aca="false">INDEX('[4]Master Data'!$A$2:$B$8,MATCH(WEEKDAY('CRD Hedge'!A82,3),'[4]Master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-35909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-35909</v>
      </c>
      <c r="N82" s="112" t="n">
        <f aca="false">SUM(J$6:J82)</f>
        <v>-35909</v>
      </c>
      <c r="P82" s="136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-35.909</v>
      </c>
      <c r="V82" s="114" t="n">
        <f aca="false">M82/$R$3</f>
        <v>-35.909</v>
      </c>
      <c r="W82" s="114" t="n">
        <f aca="false">N82/$R$3</f>
        <v>-35.909</v>
      </c>
    </row>
    <row r="83" customFormat="false" ht="12.75" hidden="false" customHeight="false" outlineLevel="0" collapsed="false">
      <c r="A83" s="108" t="n">
        <f aca="false">A82+1</f>
        <v>36969</v>
      </c>
      <c r="B83" s="119" t="str">
        <f aca="false">INDEX('[4]Master Data'!$A$2:$B$8,MATCH(WEEKDAY('CRD Hedge'!A83,3),'[4]Master Data'!$A$2:$A$8,0),2)</f>
        <v>M</v>
      </c>
      <c r="D83" s="112" t="n">
        <v>0</v>
      </c>
      <c r="E83" s="112" t="n">
        <v>0</v>
      </c>
      <c r="F83" s="112" t="n">
        <v>0</v>
      </c>
      <c r="G83" s="112" t="n">
        <v>0</v>
      </c>
      <c r="I83" s="112" t="n">
        <f aca="false">IF(MONTH($A83)=MONTH($A82),IF(G83=0,I82,G83),G83)</f>
        <v>-35909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1</v>
      </c>
      <c r="L83" s="112" t="n">
        <f aca="false">J83*K83</f>
        <v>0</v>
      </c>
      <c r="M83" s="112" t="n">
        <f aca="false">SUM(J$6:J83)</f>
        <v>-35909</v>
      </c>
      <c r="N83" s="112" t="n">
        <f aca="false">SUM(J$6:J83)</f>
        <v>-35909</v>
      </c>
      <c r="P83" s="136" t="n">
        <f aca="false">D83/P$3</f>
        <v>0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-35.909</v>
      </c>
      <c r="V83" s="114" t="n">
        <f aca="false">M83/$R$3</f>
        <v>-35.909</v>
      </c>
      <c r="W83" s="114" t="n">
        <f aca="false">N83/$R$3</f>
        <v>-35.909</v>
      </c>
    </row>
    <row r="84" customFormat="false" ht="12.75" hidden="false" customHeight="false" outlineLevel="0" collapsed="false">
      <c r="A84" s="108" t="n">
        <f aca="false">A83+1</f>
        <v>36970</v>
      </c>
      <c r="B84" s="119" t="str">
        <f aca="false">INDEX('[4]Master Data'!$A$2:$B$8,MATCH(WEEKDAY('CRD Hedge'!A84,3),'[4]Master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-35909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1</v>
      </c>
      <c r="L84" s="112" t="n">
        <f aca="false">J84*K84</f>
        <v>0</v>
      </c>
      <c r="M84" s="112" t="n">
        <f aca="false">SUM(J$6:J84)</f>
        <v>-35909</v>
      </c>
      <c r="N84" s="112" t="n">
        <f aca="false">SUM(J$6:J84)</f>
        <v>-35909</v>
      </c>
      <c r="P84" s="136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-35.909</v>
      </c>
      <c r="V84" s="114" t="n">
        <f aca="false">M84/$R$3</f>
        <v>-35.909</v>
      </c>
      <c r="W84" s="114" t="n">
        <f aca="false">N84/$R$3</f>
        <v>-35.909</v>
      </c>
    </row>
    <row r="85" customFormat="false" ht="12.75" hidden="false" customHeight="false" outlineLevel="0" collapsed="false">
      <c r="A85" s="108" t="n">
        <f aca="false">A84+1</f>
        <v>36971</v>
      </c>
      <c r="B85" s="119" t="str">
        <f aca="false">INDEX('[4]Master Data'!$A$2:$B$8,MATCH(WEEKDAY('CRD Hedge'!A85,3),'[4]Master Data'!$A$2:$A$8,0),2)</f>
        <v>W</v>
      </c>
      <c r="D85" s="112" t="n">
        <v>0</v>
      </c>
      <c r="E85" s="112" t="n">
        <v>0</v>
      </c>
      <c r="F85" s="112" t="n">
        <v>0</v>
      </c>
      <c r="G85" s="112" t="n">
        <v>0</v>
      </c>
      <c r="I85" s="112" t="n">
        <f aca="false">IF(MONTH($A85)=MONTH($A84),IF(G85=0,I84,G85),G85)</f>
        <v>-35909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1</v>
      </c>
      <c r="L85" s="112" t="n">
        <f aca="false">J85*K85</f>
        <v>0</v>
      </c>
      <c r="M85" s="112" t="n">
        <f aca="false">SUM(J$6:J85)</f>
        <v>-35909</v>
      </c>
      <c r="N85" s="112" t="n">
        <f aca="false">SUM(J$6:J85)</f>
        <v>-35909</v>
      </c>
      <c r="P85" s="136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-35.909</v>
      </c>
      <c r="V85" s="114" t="n">
        <f aca="false">M85/$R$3</f>
        <v>-35.909</v>
      </c>
      <c r="W85" s="114" t="n">
        <f aca="false">N85/$R$3</f>
        <v>-35.909</v>
      </c>
    </row>
    <row r="86" customFormat="false" ht="12.75" hidden="false" customHeight="false" outlineLevel="0" collapsed="false">
      <c r="A86" s="108" t="n">
        <f aca="false">A85+1</f>
        <v>36972</v>
      </c>
      <c r="B86" s="119" t="str">
        <f aca="false">INDEX('[4]Master Data'!$A$2:$B$8,MATCH(WEEKDAY('CRD Hedge'!A86,3),'[4]Master Data'!$A$2:$A$8,0),2)</f>
        <v>Th</v>
      </c>
      <c r="D86" s="112" t="n">
        <v>0</v>
      </c>
      <c r="E86" s="112" t="n">
        <v>0</v>
      </c>
      <c r="F86" s="112" t="n">
        <v>0</v>
      </c>
      <c r="G86" s="112" t="n">
        <v>0</v>
      </c>
      <c r="I86" s="112" t="n">
        <f aca="false">IF(MONTH($A86)=MONTH($A85),IF(G86=0,I85,G86),G86)</f>
        <v>-35909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1</v>
      </c>
      <c r="L86" s="112" t="n">
        <f aca="false">J86*K86</f>
        <v>0</v>
      </c>
      <c r="M86" s="112" t="n">
        <f aca="false">SUM(J$6:J86)</f>
        <v>-35909</v>
      </c>
      <c r="N86" s="112" t="n">
        <f aca="false">SUM(J$6:J86)</f>
        <v>-35909</v>
      </c>
      <c r="P86" s="136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-35.909</v>
      </c>
      <c r="V86" s="114" t="n">
        <f aca="false">M86/$R$3</f>
        <v>-35.909</v>
      </c>
      <c r="W86" s="114" t="n">
        <f aca="false">N86/$R$3</f>
        <v>-35.909</v>
      </c>
    </row>
    <row r="87" customFormat="false" ht="12.75" hidden="false" customHeight="false" outlineLevel="0" collapsed="false">
      <c r="A87" s="108" t="n">
        <f aca="false">A86+1</f>
        <v>36973</v>
      </c>
      <c r="B87" s="119" t="str">
        <f aca="false">INDEX('[4]Master Data'!$A$2:$B$8,MATCH(WEEKDAY('CRD Hedge'!A87,3),'[4]Master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-35909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-35909</v>
      </c>
      <c r="N87" s="112" t="n">
        <f aca="false">SUM(J$6:J87)</f>
        <v>-35909</v>
      </c>
      <c r="P87" s="136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-35.909</v>
      </c>
      <c r="V87" s="114" t="n">
        <f aca="false">M87/$R$3</f>
        <v>-35.909</v>
      </c>
      <c r="W87" s="114" t="n">
        <f aca="false">N87/$R$3</f>
        <v>-35.909</v>
      </c>
    </row>
    <row r="88" customFormat="false" ht="12.75" hidden="false" customHeight="false" outlineLevel="0" collapsed="false">
      <c r="A88" s="108" t="n">
        <f aca="false">A87+1</f>
        <v>36974</v>
      </c>
      <c r="B88" s="119" t="str">
        <f aca="false">INDEX('[4]Master Data'!$A$2:$B$8,MATCH(WEEKDAY('CRD Hedge'!A88,3),'[4]Master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-35909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-35909</v>
      </c>
      <c r="N88" s="112" t="n">
        <f aca="false">SUM(J$6:J88)</f>
        <v>-35909</v>
      </c>
      <c r="P88" s="136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-35.909</v>
      </c>
      <c r="V88" s="114" t="n">
        <f aca="false">M88/$R$3</f>
        <v>-35.909</v>
      </c>
      <c r="W88" s="114" t="n">
        <f aca="false">N88/$R$3</f>
        <v>-35.909</v>
      </c>
    </row>
    <row r="89" customFormat="false" ht="12.75" hidden="false" customHeight="false" outlineLevel="0" collapsed="false">
      <c r="A89" s="108" t="n">
        <f aca="false">A88+1</f>
        <v>36975</v>
      </c>
      <c r="B89" s="119" t="str">
        <f aca="false">INDEX('[4]Master Data'!$A$2:$B$8,MATCH(WEEKDAY('CRD Hedge'!A89,3),'[4]Master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-35909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-35909</v>
      </c>
      <c r="N89" s="112" t="n">
        <f aca="false">SUM(J$6:J89)</f>
        <v>-35909</v>
      </c>
      <c r="P89" s="136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-35.909</v>
      </c>
      <c r="V89" s="114" t="n">
        <f aca="false">M89/$R$3</f>
        <v>-35.909</v>
      </c>
      <c r="W89" s="114" t="n">
        <f aca="false">N89/$R$3</f>
        <v>-35.909</v>
      </c>
    </row>
    <row r="90" customFormat="false" ht="12.75" hidden="false" customHeight="false" outlineLevel="0" collapsed="false">
      <c r="A90" s="108" t="n">
        <f aca="false">A89+1</f>
        <v>36976</v>
      </c>
      <c r="B90" s="119" t="str">
        <f aca="false">INDEX('[4]Master Data'!$A$2:$B$8,MATCH(WEEKDAY('CRD Hedge'!A90,3),'[4]Master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-35909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-35909</v>
      </c>
      <c r="N90" s="112" t="n">
        <f aca="false">SUM(J$6:J90)</f>
        <v>-35909</v>
      </c>
      <c r="P90" s="136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-35.909</v>
      </c>
      <c r="V90" s="114" t="n">
        <f aca="false">M90/$R$3</f>
        <v>-35.909</v>
      </c>
      <c r="W90" s="114" t="n">
        <f aca="false">N90/$R$3</f>
        <v>-35.909</v>
      </c>
    </row>
    <row r="91" customFormat="false" ht="12.75" hidden="false" customHeight="false" outlineLevel="0" collapsed="false">
      <c r="A91" s="108" t="n">
        <f aca="false">A90+1</f>
        <v>36977</v>
      </c>
      <c r="B91" s="119" t="str">
        <f aca="false">INDEX('[4]Master Data'!$A$2:$B$8,MATCH(WEEKDAY('CRD Hedge'!A91,3),'[4]Master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-35909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-35909</v>
      </c>
      <c r="N91" s="112" t="n">
        <f aca="false">SUM(J$6:J91)</f>
        <v>-35909</v>
      </c>
      <c r="P91" s="136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-35.909</v>
      </c>
      <c r="V91" s="114" t="n">
        <f aca="false">M91/$R$3</f>
        <v>-35.909</v>
      </c>
      <c r="W91" s="114" t="n">
        <f aca="false">N91/$R$3</f>
        <v>-35.909</v>
      </c>
    </row>
    <row r="92" customFormat="false" ht="12.75" hidden="false" customHeight="false" outlineLevel="0" collapsed="false">
      <c r="A92" s="108" t="n">
        <f aca="false">A91+1</f>
        <v>36978</v>
      </c>
      <c r="B92" s="119" t="str">
        <f aca="false">INDEX('[4]Master Data'!$A$2:$B$8,MATCH(WEEKDAY('CRD Hedge'!A92,3),'[4]Master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-35909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-35909</v>
      </c>
      <c r="N92" s="112" t="n">
        <f aca="false">SUM(J$6:J92)</f>
        <v>-35909</v>
      </c>
      <c r="P92" s="136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-35.909</v>
      </c>
      <c r="V92" s="114" t="n">
        <f aca="false">M92/$R$3</f>
        <v>-35.909</v>
      </c>
      <c r="W92" s="114" t="n">
        <f aca="false">N92/$R$3</f>
        <v>-35.909</v>
      </c>
    </row>
    <row r="93" customFormat="false" ht="12.75" hidden="false" customHeight="false" outlineLevel="0" collapsed="false">
      <c r="A93" s="108" t="n">
        <f aca="false">A92+1</f>
        <v>36979</v>
      </c>
      <c r="B93" s="119" t="str">
        <f aca="false">INDEX('[4]Master Data'!$A$2:$B$8,MATCH(WEEKDAY('CRD Hedge'!A93,3),'[4]Master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-35909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-35909</v>
      </c>
      <c r="N93" s="112" t="n">
        <f aca="false">SUM(J$6:J93)</f>
        <v>-35909</v>
      </c>
      <c r="P93" s="136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-35.909</v>
      </c>
      <c r="V93" s="114" t="n">
        <f aca="false">M93/$R$3</f>
        <v>-35.909</v>
      </c>
      <c r="W93" s="114" t="n">
        <f aca="false">N93/$R$3</f>
        <v>-35.909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INDEX('[4]Master Data'!$A$2:$B$8,MATCH(WEEKDAY('CRD Hedge'!A94,3),'[4]Master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-35909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-35909</v>
      </c>
      <c r="N94" s="112" t="n">
        <f aca="false">SUM(J$6:J94)</f>
        <v>-35909</v>
      </c>
      <c r="P94" s="136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-35.909</v>
      </c>
      <c r="V94" s="114" t="n">
        <f aca="false">M94/$R$3</f>
        <v>-35.909</v>
      </c>
      <c r="W94" s="114" t="n">
        <f aca="false">N94/$R$3</f>
        <v>-35.909</v>
      </c>
    </row>
    <row r="95" customFormat="false" ht="12.75" hidden="false" customHeight="false" outlineLevel="0" collapsed="false">
      <c r="A95" s="108" t="n">
        <f aca="false">A94+1</f>
        <v>36981</v>
      </c>
      <c r="B95" s="119" t="str">
        <f aca="false">INDEX('[4]Master Data'!$A$2:$B$8,MATCH(WEEKDAY('CRD Hedge'!A95,3),'[4]Master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-35909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-35909</v>
      </c>
      <c r="N95" s="112" t="n">
        <f aca="false">SUM(J$6:J95)</f>
        <v>-35909</v>
      </c>
      <c r="P95" s="136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-35.909</v>
      </c>
      <c r="V95" s="114" t="n">
        <f aca="false">M95/$R$3</f>
        <v>-35.909</v>
      </c>
      <c r="W95" s="114" t="n">
        <f aca="false">N95/$R$3</f>
        <v>-35.909</v>
      </c>
    </row>
    <row r="96" customFormat="false" ht="12.75" hidden="false" customHeight="false" outlineLevel="0" collapsed="false">
      <c r="A96" s="108" t="n">
        <f aca="false">A95+1</f>
        <v>36982</v>
      </c>
      <c r="B96" s="119" t="str">
        <f aca="false">INDEX('[4]Master Data'!$A$2:$B$8,MATCH(WEEKDAY('CRD Hedge'!A96,3),'[4]Master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-35909</v>
      </c>
      <c r="N96" s="112" t="n">
        <f aca="false">SUM(J$6:J96)</f>
        <v>-35909</v>
      </c>
      <c r="P96" s="136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-35.909</v>
      </c>
      <c r="W96" s="114" t="n">
        <f aca="false">N96/$R$3</f>
        <v>-35.909</v>
      </c>
    </row>
    <row r="97" customFormat="false" ht="12.75" hidden="false" customHeight="false" outlineLevel="0" collapsed="false">
      <c r="A97" s="108" t="n">
        <f aca="false">A96+1</f>
        <v>36983</v>
      </c>
      <c r="B97" s="119" t="str">
        <f aca="false">INDEX('[4]Master Data'!$A$2:$B$8,MATCH(WEEKDAY('CRD Hedge'!A97,3),'[4]Master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-35909</v>
      </c>
      <c r="P97" s="136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-35.909</v>
      </c>
    </row>
    <row r="98" customFormat="false" ht="12.75" hidden="false" customHeight="false" outlineLevel="0" collapsed="false">
      <c r="A98" s="108" t="n">
        <f aca="false">A97+1</f>
        <v>36984</v>
      </c>
      <c r="B98" s="119" t="str">
        <f aca="false">INDEX('[4]Master Data'!$A$2:$B$8,MATCH(WEEKDAY('CRD Hedge'!A98,3),'[4]Master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-35909</v>
      </c>
      <c r="P98" s="136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-35.909</v>
      </c>
    </row>
    <row r="99" customFormat="false" ht="12.75" hidden="false" customHeight="false" outlineLevel="0" collapsed="false">
      <c r="A99" s="108" t="n">
        <f aca="false">A98+1</f>
        <v>36985</v>
      </c>
      <c r="B99" s="119" t="str">
        <f aca="false">INDEX('[4]Master Data'!$A$2:$B$8,MATCH(WEEKDAY('CRD Hedge'!A99,3),'[4]Master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-35909</v>
      </c>
      <c r="P99" s="136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-35.909</v>
      </c>
    </row>
    <row r="100" customFormat="false" ht="12.75" hidden="false" customHeight="false" outlineLevel="0" collapsed="false">
      <c r="A100" s="108" t="n">
        <f aca="false">A99+1</f>
        <v>36986</v>
      </c>
      <c r="B100" s="119" t="str">
        <f aca="false">INDEX('[4]Master Data'!$A$2:$B$8,MATCH(WEEKDAY('CRD Hedge'!A100,3),'[4]Master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-35909</v>
      </c>
      <c r="P100" s="136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-35.909</v>
      </c>
    </row>
    <row r="101" customFormat="false" ht="12.75" hidden="false" customHeight="false" outlineLevel="0" collapsed="false">
      <c r="A101" s="108" t="n">
        <f aca="false">A100+1</f>
        <v>36987</v>
      </c>
      <c r="B101" s="119" t="str">
        <f aca="false">INDEX('[4]Master Data'!$A$2:$B$8,MATCH(WEEKDAY('CRD Hedge'!A101,3),'[4]Master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-35909</v>
      </c>
      <c r="P101" s="136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-35.909</v>
      </c>
    </row>
    <row r="102" customFormat="false" ht="12.75" hidden="false" customHeight="false" outlineLevel="0" collapsed="false">
      <c r="A102" s="108" t="n">
        <f aca="false">A101+1</f>
        <v>36988</v>
      </c>
      <c r="B102" s="119" t="str">
        <f aca="false">INDEX('[4]Master Data'!$A$2:$B$8,MATCH(WEEKDAY('CRD Hedge'!A102,3),'[4]Master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-35909</v>
      </c>
      <c r="P102" s="136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-35.909</v>
      </c>
    </row>
    <row r="103" customFormat="false" ht="12.75" hidden="false" customHeight="false" outlineLevel="0" collapsed="false">
      <c r="A103" s="108" t="n">
        <f aca="false">A102+1</f>
        <v>36989</v>
      </c>
      <c r="B103" s="119" t="str">
        <f aca="false">INDEX('[4]Master Data'!$A$2:$B$8,MATCH(WEEKDAY('CRD Hedge'!A103,3),'[4]Master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-35909</v>
      </c>
      <c r="P103" s="136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-35.909</v>
      </c>
    </row>
    <row r="104" customFormat="false" ht="12.75" hidden="false" customHeight="false" outlineLevel="0" collapsed="false">
      <c r="A104" s="108" t="n">
        <f aca="false">A103+1</f>
        <v>36990</v>
      </c>
      <c r="B104" s="119" t="str">
        <f aca="false">INDEX('[4]Master Data'!$A$2:$B$8,MATCH(WEEKDAY('CRD Hedge'!A104,3),'[4]Master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-35909</v>
      </c>
      <c r="P104" s="136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-35.909</v>
      </c>
    </row>
    <row r="105" customFormat="false" ht="12.75" hidden="false" customHeight="false" outlineLevel="0" collapsed="false">
      <c r="A105" s="108" t="n">
        <f aca="false">A104+1</f>
        <v>36991</v>
      </c>
      <c r="B105" s="119" t="str">
        <f aca="false">INDEX('[4]Master Data'!$A$2:$B$8,MATCH(WEEKDAY('CRD Hedge'!A105,3),'[4]Master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-35909</v>
      </c>
      <c r="P105" s="136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-35.909</v>
      </c>
    </row>
    <row r="106" customFormat="false" ht="12.75" hidden="false" customHeight="false" outlineLevel="0" collapsed="false">
      <c r="A106" s="108" t="n">
        <f aca="false">A105+1</f>
        <v>36992</v>
      </c>
      <c r="B106" s="119" t="str">
        <f aca="false">INDEX('[4]Master Data'!$A$2:$B$8,MATCH(WEEKDAY('CRD Hedge'!A106,3),'[4]Master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-35909</v>
      </c>
      <c r="P106" s="136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-35.909</v>
      </c>
    </row>
    <row r="107" customFormat="false" ht="12.75" hidden="false" customHeight="false" outlineLevel="0" collapsed="false">
      <c r="A107" s="108" t="n">
        <f aca="false">A106+1</f>
        <v>36993</v>
      </c>
      <c r="B107" s="119" t="str">
        <f aca="false">INDEX('[4]Master Data'!$A$2:$B$8,MATCH(WEEKDAY('CRD Hedge'!A107,3),'[4]Master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-35909</v>
      </c>
      <c r="P107" s="136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-35.909</v>
      </c>
    </row>
    <row r="108" customFormat="false" ht="12.75" hidden="false" customHeight="false" outlineLevel="0" collapsed="false">
      <c r="A108" s="108" t="n">
        <f aca="false">A107+1</f>
        <v>36994</v>
      </c>
      <c r="B108" s="119" t="str">
        <f aca="false">INDEX('[4]Master Data'!$A$2:$B$8,MATCH(WEEKDAY('CRD Hedge'!A108,3),'[4]Master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-35909</v>
      </c>
      <c r="P108" s="136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-35.909</v>
      </c>
    </row>
    <row r="109" customFormat="false" ht="12.75" hidden="false" customHeight="false" outlineLevel="0" collapsed="false">
      <c r="A109" s="108" t="n">
        <f aca="false">A108+1</f>
        <v>36995</v>
      </c>
      <c r="B109" s="119" t="str">
        <f aca="false">INDEX('[4]Master Data'!$A$2:$B$8,MATCH(WEEKDAY('CRD Hedge'!A109,3),'[4]Master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-35909</v>
      </c>
      <c r="P109" s="136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-35.909</v>
      </c>
    </row>
    <row r="110" customFormat="false" ht="12.75" hidden="false" customHeight="false" outlineLevel="0" collapsed="false">
      <c r="A110" s="108" t="n">
        <f aca="false">A109+1</f>
        <v>36996</v>
      </c>
      <c r="B110" s="119" t="str">
        <f aca="false">INDEX('[4]Master Data'!$A$2:$B$8,MATCH(WEEKDAY('CRD Hedge'!A110,3),'[4]Master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-35909</v>
      </c>
      <c r="P110" s="136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-35.909</v>
      </c>
    </row>
    <row r="111" customFormat="false" ht="12.75" hidden="false" customHeight="false" outlineLevel="0" collapsed="false">
      <c r="A111" s="108" t="n">
        <f aca="false">A110+1</f>
        <v>36997</v>
      </c>
      <c r="B111" s="119" t="str">
        <f aca="false">INDEX('[4]Master Data'!$A$2:$B$8,MATCH(WEEKDAY('CRD Hedge'!A111,3),'[4]Master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-35909</v>
      </c>
      <c r="P111" s="136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-35.909</v>
      </c>
    </row>
    <row r="112" customFormat="false" ht="12.75" hidden="false" customHeight="false" outlineLevel="0" collapsed="false">
      <c r="A112" s="108" t="n">
        <f aca="false">A111+1</f>
        <v>36998</v>
      </c>
      <c r="B112" s="119" t="str">
        <f aca="false">INDEX('[4]Master Data'!$A$2:$B$8,MATCH(WEEKDAY('CRD Hedge'!A112,3),'[4]Master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-35909</v>
      </c>
      <c r="P112" s="136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-35.909</v>
      </c>
    </row>
    <row r="113" customFormat="false" ht="12.75" hidden="false" customHeight="false" outlineLevel="0" collapsed="false">
      <c r="A113" s="108" t="n">
        <f aca="false">A112+1</f>
        <v>36999</v>
      </c>
      <c r="B113" s="119" t="str">
        <f aca="false">INDEX('[4]Master Data'!$A$2:$B$8,MATCH(WEEKDAY('CRD Hedge'!A113,3),'[4]Master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-35909</v>
      </c>
      <c r="P113" s="136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-35.909</v>
      </c>
    </row>
    <row r="114" customFormat="false" ht="12.75" hidden="false" customHeight="false" outlineLevel="0" collapsed="false">
      <c r="A114" s="108" t="n">
        <f aca="false">A113+1</f>
        <v>37000</v>
      </c>
      <c r="B114" s="119" t="str">
        <f aca="false">INDEX('[4]Master Data'!$A$2:$B$8,MATCH(WEEKDAY('CRD Hedge'!A114,3),'[4]Master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-35909</v>
      </c>
      <c r="P114" s="136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-35.909</v>
      </c>
    </row>
    <row r="115" customFormat="false" ht="12.75" hidden="false" customHeight="false" outlineLevel="0" collapsed="false">
      <c r="A115" s="108" t="n">
        <f aca="false">A114+1</f>
        <v>37001</v>
      </c>
      <c r="B115" s="119" t="str">
        <f aca="false">INDEX('[4]Master Data'!$A$2:$B$8,MATCH(WEEKDAY('CRD Hedge'!A115,3),'[4]Master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-35909</v>
      </c>
      <c r="P115" s="136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-35.909</v>
      </c>
    </row>
    <row r="116" customFormat="false" ht="12.75" hidden="false" customHeight="false" outlineLevel="0" collapsed="false">
      <c r="A116" s="108" t="n">
        <f aca="false">A115+1</f>
        <v>37002</v>
      </c>
      <c r="B116" s="119" t="str">
        <f aca="false">INDEX('[4]Master Data'!$A$2:$B$8,MATCH(WEEKDAY('CRD Hedge'!A116,3),'[4]Master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-35909</v>
      </c>
      <c r="P116" s="136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-35.909</v>
      </c>
    </row>
    <row r="117" customFormat="false" ht="12.75" hidden="false" customHeight="false" outlineLevel="0" collapsed="false">
      <c r="A117" s="108" t="n">
        <f aca="false">A116+1</f>
        <v>37003</v>
      </c>
      <c r="B117" s="119" t="str">
        <f aca="false">INDEX('[4]Master Data'!$A$2:$B$8,MATCH(WEEKDAY('CRD Hedge'!A117,3),'[4]Master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-35909</v>
      </c>
      <c r="P117" s="136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-35.909</v>
      </c>
    </row>
    <row r="118" customFormat="false" ht="12.75" hidden="false" customHeight="false" outlineLevel="0" collapsed="false">
      <c r="A118" s="108" t="n">
        <f aca="false">A117+1</f>
        <v>37004</v>
      </c>
      <c r="B118" s="119" t="str">
        <f aca="false">INDEX('[4]Master Data'!$A$2:$B$8,MATCH(WEEKDAY('CRD Hedge'!A118,3),'[4]Master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-35909</v>
      </c>
      <c r="P118" s="136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-35.909</v>
      </c>
    </row>
    <row r="119" customFormat="false" ht="12.75" hidden="false" customHeight="false" outlineLevel="0" collapsed="false">
      <c r="A119" s="108" t="n">
        <f aca="false">A118+1</f>
        <v>37005</v>
      </c>
      <c r="B119" s="119" t="str">
        <f aca="false">INDEX('[4]Master Data'!$A$2:$B$8,MATCH(WEEKDAY('CRD Hedge'!A119,3),'[4]Master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-35909</v>
      </c>
      <c r="P119" s="136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-35.909</v>
      </c>
    </row>
    <row r="120" customFormat="false" ht="12.75" hidden="false" customHeight="false" outlineLevel="0" collapsed="false">
      <c r="A120" s="108" t="n">
        <f aca="false">A119+1</f>
        <v>37006</v>
      </c>
      <c r="B120" s="119" t="str">
        <f aca="false">INDEX('[4]Master Data'!$A$2:$B$8,MATCH(WEEKDAY('CRD Hedge'!A120,3),'[4]Master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-35909</v>
      </c>
      <c r="P120" s="136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-35.909</v>
      </c>
    </row>
    <row r="121" customFormat="false" ht="12.75" hidden="false" customHeight="false" outlineLevel="0" collapsed="false">
      <c r="A121" s="108" t="n">
        <f aca="false">A120+1</f>
        <v>37007</v>
      </c>
      <c r="B121" s="119" t="str">
        <f aca="false">INDEX('[4]Master Data'!$A$2:$B$8,MATCH(WEEKDAY('CRD Hedge'!A121,3),'[4]Master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-35909</v>
      </c>
      <c r="P121" s="136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-35.909</v>
      </c>
    </row>
    <row r="122" customFormat="false" ht="12.75" hidden="false" customHeight="false" outlineLevel="0" collapsed="false">
      <c r="A122" s="108" t="n">
        <f aca="false">A121+1</f>
        <v>37008</v>
      </c>
      <c r="B122" s="119" t="str">
        <f aca="false">INDEX('[4]Master Data'!$A$2:$B$8,MATCH(WEEKDAY('CRD Hedge'!A122,3),'[4]Master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-35909</v>
      </c>
      <c r="P122" s="136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-35.909</v>
      </c>
    </row>
    <row r="123" customFormat="false" ht="12.75" hidden="false" customHeight="false" outlineLevel="0" collapsed="false">
      <c r="A123" s="108" t="n">
        <f aca="false">A122+1</f>
        <v>37009</v>
      </c>
      <c r="B123" s="119" t="str">
        <f aca="false">INDEX('[4]Master Data'!$A$2:$B$8,MATCH(WEEKDAY('CRD Hedge'!A123,3),'[4]Master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-35909</v>
      </c>
      <c r="P123" s="136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-35.909</v>
      </c>
    </row>
    <row r="124" customFormat="false" ht="12.75" hidden="false" customHeight="false" outlineLevel="0" collapsed="false">
      <c r="A124" s="108" t="n">
        <f aca="false">A123+1</f>
        <v>37010</v>
      </c>
      <c r="B124" s="119" t="str">
        <f aca="false">INDEX('[4]Master Data'!$A$2:$B$8,MATCH(WEEKDAY('CRD Hedge'!A124,3),'[4]Master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-35909</v>
      </c>
      <c r="P124" s="136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-35.909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INDEX('[4]Master Data'!$A$2:$B$8,MATCH(WEEKDAY('CRD Hedge'!A125,3),'[4]Master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-35909</v>
      </c>
      <c r="P125" s="136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-35.909</v>
      </c>
    </row>
    <row r="126" customFormat="false" ht="12.75" hidden="false" customHeight="false" outlineLevel="0" collapsed="false">
      <c r="A126" s="108" t="n">
        <f aca="false">A125+1</f>
        <v>37012</v>
      </c>
      <c r="B126" s="119" t="str">
        <f aca="false">INDEX('[4]Master Data'!$A$2:$B$8,MATCH(WEEKDAY('CRD Hedge'!A126,3),'[4]Master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-35909</v>
      </c>
      <c r="P126" s="136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-35.909</v>
      </c>
    </row>
    <row r="127" customFormat="false" ht="12.75" hidden="false" customHeight="false" outlineLevel="0" collapsed="false">
      <c r="A127" s="108" t="n">
        <f aca="false">A126+1</f>
        <v>37013</v>
      </c>
      <c r="B127" s="119" t="str">
        <f aca="false">INDEX('[4]Master Data'!$A$2:$B$8,MATCH(WEEKDAY('CRD Hedge'!A127,3),'[4]Master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-35909</v>
      </c>
      <c r="P127" s="136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-35.909</v>
      </c>
    </row>
    <row r="128" customFormat="false" ht="12.75" hidden="false" customHeight="false" outlineLevel="0" collapsed="false">
      <c r="A128" s="108" t="n">
        <f aca="false">A127+1</f>
        <v>37014</v>
      </c>
      <c r="B128" s="119" t="str">
        <f aca="false">INDEX('[4]Master Data'!$A$2:$B$8,MATCH(WEEKDAY('CRD Hedge'!A128,3),'[4]Master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-35909</v>
      </c>
      <c r="P128" s="136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-35.909</v>
      </c>
    </row>
    <row r="129" customFormat="false" ht="12.75" hidden="false" customHeight="false" outlineLevel="0" collapsed="false">
      <c r="A129" s="108" t="n">
        <f aca="false">A128+1</f>
        <v>37015</v>
      </c>
      <c r="B129" s="119" t="str">
        <f aca="false">INDEX('[4]Master Data'!$A$2:$B$8,MATCH(WEEKDAY('CRD Hedge'!A129,3),'[4]Master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-35909</v>
      </c>
      <c r="P129" s="136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-35.909</v>
      </c>
    </row>
    <row r="130" customFormat="false" ht="12.75" hidden="false" customHeight="false" outlineLevel="0" collapsed="false">
      <c r="A130" s="108" t="n">
        <f aca="false">A129+1</f>
        <v>37016</v>
      </c>
      <c r="B130" s="119" t="str">
        <f aca="false">INDEX('[4]Master Data'!$A$2:$B$8,MATCH(WEEKDAY('CRD Hedge'!A130,3),'[4]Master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-35909</v>
      </c>
      <c r="P130" s="136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-35.909</v>
      </c>
    </row>
    <row r="131" customFormat="false" ht="12.75" hidden="false" customHeight="false" outlineLevel="0" collapsed="false">
      <c r="A131" s="108" t="n">
        <f aca="false">A130+1</f>
        <v>37017</v>
      </c>
      <c r="B131" s="119" t="str">
        <f aca="false">INDEX('[4]Master Data'!$A$2:$B$8,MATCH(WEEKDAY('CRD Hedge'!A131,3),'[4]Master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-35909</v>
      </c>
      <c r="P131" s="136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-35.909</v>
      </c>
    </row>
    <row r="132" customFormat="false" ht="12.75" hidden="false" customHeight="false" outlineLevel="0" collapsed="false">
      <c r="A132" s="108" t="n">
        <f aca="false">A131+1</f>
        <v>37018</v>
      </c>
      <c r="B132" s="119" t="str">
        <f aca="false">INDEX('[4]Master Data'!$A$2:$B$8,MATCH(WEEKDAY('CRD Hedge'!A132,3),'[4]Master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-35909</v>
      </c>
      <c r="P132" s="136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-35.909</v>
      </c>
    </row>
    <row r="133" customFormat="false" ht="12.75" hidden="false" customHeight="false" outlineLevel="0" collapsed="false">
      <c r="A133" s="108" t="n">
        <f aca="false">A132+1</f>
        <v>37019</v>
      </c>
      <c r="B133" s="119" t="str">
        <f aca="false">INDEX('[4]Master Data'!$A$2:$B$8,MATCH(WEEKDAY('CRD Hedge'!A133,3),'[4]Master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-35909</v>
      </c>
      <c r="P133" s="136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-35.909</v>
      </c>
    </row>
    <row r="134" customFormat="false" ht="12.75" hidden="false" customHeight="false" outlineLevel="0" collapsed="false">
      <c r="A134" s="108" t="n">
        <f aca="false">A133+1</f>
        <v>37020</v>
      </c>
      <c r="B134" s="119" t="str">
        <f aca="false">INDEX('[4]Master Data'!$A$2:$B$8,MATCH(WEEKDAY('CRD Hedge'!A134,3),'[4]Master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-35909</v>
      </c>
      <c r="P134" s="136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-35.909</v>
      </c>
    </row>
    <row r="135" customFormat="false" ht="12.75" hidden="false" customHeight="false" outlineLevel="0" collapsed="false">
      <c r="A135" s="108" t="n">
        <f aca="false">A134+1</f>
        <v>37021</v>
      </c>
      <c r="B135" s="119" t="str">
        <f aca="false">INDEX('[4]Master Data'!$A$2:$B$8,MATCH(WEEKDAY('CRD Hedge'!A135,3),'[4]Master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-35909</v>
      </c>
      <c r="P135" s="136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-35.909</v>
      </c>
    </row>
    <row r="136" customFormat="false" ht="12.75" hidden="false" customHeight="false" outlineLevel="0" collapsed="false">
      <c r="A136" s="108" t="n">
        <f aca="false">A135+1</f>
        <v>37022</v>
      </c>
      <c r="B136" s="119" t="str">
        <f aca="false">INDEX('[4]Master Data'!$A$2:$B$8,MATCH(WEEKDAY('CRD Hedge'!A136,3),'[4]Master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-35909</v>
      </c>
      <c r="P136" s="136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-35.909</v>
      </c>
    </row>
    <row r="137" customFormat="false" ht="12.75" hidden="false" customHeight="false" outlineLevel="0" collapsed="false">
      <c r="A137" s="108" t="n">
        <f aca="false">A136+1</f>
        <v>37023</v>
      </c>
      <c r="B137" s="119" t="str">
        <f aca="false">INDEX('[4]Master Data'!$A$2:$B$8,MATCH(WEEKDAY('CRD Hedge'!A137,3),'[4]Master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-35909</v>
      </c>
      <c r="P137" s="136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-35.909</v>
      </c>
    </row>
    <row r="138" customFormat="false" ht="12.75" hidden="false" customHeight="false" outlineLevel="0" collapsed="false">
      <c r="A138" s="108" t="n">
        <f aca="false">A137+1</f>
        <v>37024</v>
      </c>
      <c r="B138" s="119" t="str">
        <f aca="false">INDEX('[4]Master Data'!$A$2:$B$8,MATCH(WEEKDAY('CRD Hedge'!A138,3),'[4]Master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-35909</v>
      </c>
      <c r="P138" s="136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-35.909</v>
      </c>
    </row>
    <row r="139" customFormat="false" ht="12.75" hidden="false" customHeight="false" outlineLevel="0" collapsed="false">
      <c r="A139" s="108" t="n">
        <f aca="false">A138+1</f>
        <v>37025</v>
      </c>
      <c r="B139" s="119" t="str">
        <f aca="false">INDEX('[4]Master Data'!$A$2:$B$8,MATCH(WEEKDAY('CRD Hedge'!A139,3),'[4]Master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-35909</v>
      </c>
      <c r="P139" s="136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-35.909</v>
      </c>
    </row>
    <row r="140" customFormat="false" ht="12.75" hidden="false" customHeight="false" outlineLevel="0" collapsed="false">
      <c r="A140" s="108" t="n">
        <f aca="false">A139+1</f>
        <v>37026</v>
      </c>
      <c r="B140" s="119" t="str">
        <f aca="false">INDEX('[4]Master Data'!$A$2:$B$8,MATCH(WEEKDAY('CRD Hedge'!A140,3),'[4]Master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-35909</v>
      </c>
      <c r="P140" s="136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-35.909</v>
      </c>
    </row>
    <row r="141" customFormat="false" ht="12.75" hidden="false" customHeight="false" outlineLevel="0" collapsed="false">
      <c r="A141" s="108" t="n">
        <f aca="false">A140+1</f>
        <v>37027</v>
      </c>
      <c r="B141" s="119" t="str">
        <f aca="false">INDEX('[4]Master Data'!$A$2:$B$8,MATCH(WEEKDAY('CRD Hedge'!A141,3),'[4]Master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-35909</v>
      </c>
      <c r="P141" s="136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-35.909</v>
      </c>
    </row>
    <row r="142" customFormat="false" ht="12.75" hidden="false" customHeight="false" outlineLevel="0" collapsed="false">
      <c r="A142" s="108" t="n">
        <f aca="false">A141+1</f>
        <v>37028</v>
      </c>
      <c r="B142" s="119" t="str">
        <f aca="false">INDEX('[4]Master Data'!$A$2:$B$8,MATCH(WEEKDAY('CRD Hedge'!A142,3),'[4]Master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-35909</v>
      </c>
      <c r="P142" s="136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-35.909</v>
      </c>
    </row>
    <row r="143" customFormat="false" ht="12.75" hidden="false" customHeight="false" outlineLevel="0" collapsed="false">
      <c r="A143" s="108" t="n">
        <f aca="false">A142+1</f>
        <v>37029</v>
      </c>
      <c r="B143" s="119" t="str">
        <f aca="false">INDEX('[4]Master Data'!$A$2:$B$8,MATCH(WEEKDAY('CRD Hedge'!A143,3),'[4]Master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-35909</v>
      </c>
      <c r="P143" s="136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-35.909</v>
      </c>
    </row>
    <row r="144" customFormat="false" ht="12.75" hidden="false" customHeight="false" outlineLevel="0" collapsed="false">
      <c r="A144" s="108" t="n">
        <f aca="false">A143+1</f>
        <v>37030</v>
      </c>
      <c r="B144" s="119" t="str">
        <f aca="false">INDEX('[4]Master Data'!$A$2:$B$8,MATCH(WEEKDAY('CRD Hedge'!A144,3),'[4]Master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-35909</v>
      </c>
      <c r="P144" s="136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-35.909</v>
      </c>
    </row>
    <row r="145" customFormat="false" ht="12.75" hidden="false" customHeight="false" outlineLevel="0" collapsed="false">
      <c r="A145" s="108" t="n">
        <f aca="false">A144+1</f>
        <v>37031</v>
      </c>
      <c r="B145" s="119" t="str">
        <f aca="false">INDEX('[4]Master Data'!$A$2:$B$8,MATCH(WEEKDAY('CRD Hedge'!A145,3),'[4]Master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-35909</v>
      </c>
      <c r="P145" s="136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-35.909</v>
      </c>
    </row>
    <row r="146" customFormat="false" ht="12.75" hidden="false" customHeight="false" outlineLevel="0" collapsed="false">
      <c r="A146" s="108" t="n">
        <f aca="false">A145+1</f>
        <v>37032</v>
      </c>
      <c r="B146" s="119" t="str">
        <f aca="false">INDEX('[4]Master Data'!$A$2:$B$8,MATCH(WEEKDAY('CRD Hedge'!A146,3),'[4]Master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-35909</v>
      </c>
      <c r="P146" s="136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-35.909</v>
      </c>
    </row>
    <row r="147" customFormat="false" ht="12.75" hidden="false" customHeight="false" outlineLevel="0" collapsed="false">
      <c r="A147" s="108" t="n">
        <f aca="false">A146+1</f>
        <v>37033</v>
      </c>
      <c r="B147" s="119" t="str">
        <f aca="false">INDEX('[4]Master Data'!$A$2:$B$8,MATCH(WEEKDAY('CRD Hedge'!A147,3),'[4]Master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-35909</v>
      </c>
      <c r="P147" s="136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-35.909</v>
      </c>
    </row>
    <row r="148" customFormat="false" ht="12.75" hidden="false" customHeight="false" outlineLevel="0" collapsed="false">
      <c r="A148" s="108" t="n">
        <f aca="false">A147+1</f>
        <v>37034</v>
      </c>
      <c r="B148" s="119" t="str">
        <f aca="false">INDEX('[4]Master Data'!$A$2:$B$8,MATCH(WEEKDAY('CRD Hedge'!A148,3),'[4]Master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-35909</v>
      </c>
      <c r="P148" s="136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-35.909</v>
      </c>
    </row>
    <row r="149" customFormat="false" ht="12.75" hidden="false" customHeight="false" outlineLevel="0" collapsed="false">
      <c r="A149" s="108" t="n">
        <f aca="false">A148+1</f>
        <v>37035</v>
      </c>
      <c r="B149" s="119" t="str">
        <f aca="false">INDEX('[4]Master Data'!$A$2:$B$8,MATCH(WEEKDAY('CRD Hedge'!A149,3),'[4]Master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-35909</v>
      </c>
      <c r="P149" s="136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-35.909</v>
      </c>
    </row>
    <row r="150" customFormat="false" ht="12.75" hidden="false" customHeight="false" outlineLevel="0" collapsed="false">
      <c r="A150" s="108" t="n">
        <f aca="false">A149+1</f>
        <v>37036</v>
      </c>
      <c r="B150" s="119" t="str">
        <f aca="false">INDEX('[4]Master Data'!$A$2:$B$8,MATCH(WEEKDAY('CRD Hedge'!A150,3),'[4]Master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-35909</v>
      </c>
      <c r="P150" s="136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-35.909</v>
      </c>
    </row>
    <row r="151" customFormat="false" ht="12.75" hidden="false" customHeight="false" outlineLevel="0" collapsed="false">
      <c r="A151" s="108" t="n">
        <f aca="false">A150+1</f>
        <v>37037</v>
      </c>
      <c r="B151" s="119" t="str">
        <f aca="false">INDEX('[4]Master Data'!$A$2:$B$8,MATCH(WEEKDAY('CRD Hedge'!A151,3),'[4]Master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-35909</v>
      </c>
      <c r="P151" s="136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-35.909</v>
      </c>
    </row>
    <row r="152" customFormat="false" ht="12.75" hidden="false" customHeight="false" outlineLevel="0" collapsed="false">
      <c r="A152" s="108" t="n">
        <f aca="false">A151+1</f>
        <v>37038</v>
      </c>
      <c r="B152" s="119" t="str">
        <f aca="false">INDEX('[4]Master Data'!$A$2:$B$8,MATCH(WEEKDAY('CRD Hedge'!A152,3),'[4]Master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-35909</v>
      </c>
      <c r="P152" s="136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-35.909</v>
      </c>
    </row>
    <row r="153" customFormat="false" ht="12.75" hidden="false" customHeight="false" outlineLevel="0" collapsed="false">
      <c r="A153" s="108" t="n">
        <f aca="false">A152+1</f>
        <v>37039</v>
      </c>
      <c r="B153" s="119" t="str">
        <f aca="false">INDEX('[4]Master Data'!$A$2:$B$8,MATCH(WEEKDAY('CRD Hedge'!A153,3),'[4]Master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-35909</v>
      </c>
      <c r="P153" s="136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-35.909</v>
      </c>
    </row>
    <row r="154" customFormat="false" ht="12.75" hidden="false" customHeight="false" outlineLevel="0" collapsed="false">
      <c r="A154" s="108" t="n">
        <f aca="false">A153+1</f>
        <v>37040</v>
      </c>
      <c r="B154" s="119" t="str">
        <f aca="false">INDEX('[4]Master Data'!$A$2:$B$8,MATCH(WEEKDAY('CRD Hedge'!A154,3),'[4]Master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-35909</v>
      </c>
      <c r="P154" s="136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-35.909</v>
      </c>
    </row>
    <row r="155" customFormat="false" ht="12.75" hidden="false" customHeight="false" outlineLevel="0" collapsed="false">
      <c r="A155" s="108" t="n">
        <f aca="false">A154+1</f>
        <v>37041</v>
      </c>
      <c r="B155" s="119" t="str">
        <f aca="false">INDEX('[4]Master Data'!$A$2:$B$8,MATCH(WEEKDAY('CRD Hedge'!A155,3),'[4]Master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-35909</v>
      </c>
      <c r="P155" s="136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-35.909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INDEX('[4]Master Data'!$A$2:$B$8,MATCH(WEEKDAY('CRD Hedge'!A156,3),'[4]Master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-35909</v>
      </c>
      <c r="P156" s="136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-35.909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INDEX('[4]Master Data'!$A$2:$B$8,MATCH(WEEKDAY('CRD Hedge'!A157,3),'[4]Master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-35909</v>
      </c>
      <c r="P157" s="136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-35.909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INDEX('[4]Master Data'!$A$2:$B$8,MATCH(WEEKDAY('CRD Hedge'!A158,3),'[4]Master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-35909</v>
      </c>
      <c r="P158" s="136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-35.909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INDEX('[4]Master Data'!$A$2:$B$8,MATCH(WEEKDAY('CRD Hedge'!A159,3),'[4]Master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-35909</v>
      </c>
      <c r="P159" s="136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-35.909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INDEX('[4]Master Data'!$A$2:$B$8,MATCH(WEEKDAY('CRD Hedge'!A160,3),'[4]Master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-35909</v>
      </c>
      <c r="P160" s="136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-35.909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INDEX('[4]Master Data'!$A$2:$B$8,MATCH(WEEKDAY('CRD Hedge'!A161,3),'[4]Master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-35909</v>
      </c>
      <c r="P161" s="136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-35.909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INDEX('[4]Master Data'!$A$2:$B$8,MATCH(WEEKDAY('CRD Hedge'!A162,3),'[4]Master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-35909</v>
      </c>
      <c r="P162" s="136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-35.909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INDEX('[4]Master Data'!$A$2:$B$8,MATCH(WEEKDAY('CRD Hedge'!A163,3),'[4]Master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-35909</v>
      </c>
      <c r="P163" s="136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-35.909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INDEX('[4]Master Data'!$A$2:$B$8,MATCH(WEEKDAY('CRD Hedge'!A164,3),'[4]Master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-35909</v>
      </c>
      <c r="P164" s="136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-35.909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INDEX('[4]Master Data'!$A$2:$B$8,MATCH(WEEKDAY('CRD Hedge'!A165,3),'[4]Master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-35909</v>
      </c>
      <c r="P165" s="136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-35.909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INDEX('[4]Master Data'!$A$2:$B$8,MATCH(WEEKDAY('CRD Hedge'!A166,3),'[4]Master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-35909</v>
      </c>
      <c r="P166" s="136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-35.909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INDEX('[4]Master Data'!$A$2:$B$8,MATCH(WEEKDAY('CRD Hedge'!A167,3),'[4]Master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-35909</v>
      </c>
      <c r="P167" s="136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-35.909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INDEX('[4]Master Data'!$A$2:$B$8,MATCH(WEEKDAY('CRD Hedge'!A168,3),'[4]Master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-35909</v>
      </c>
      <c r="P168" s="136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-35.909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INDEX('[4]Master Data'!$A$2:$B$8,MATCH(WEEKDAY('CRD Hedge'!A169,3),'[4]Master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-35909</v>
      </c>
      <c r="P169" s="136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-35.909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INDEX('[4]Master Data'!$A$2:$B$8,MATCH(WEEKDAY('CRD Hedge'!A170,3),'[4]Master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-35909</v>
      </c>
      <c r="P170" s="136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-35.909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INDEX('[4]Master Data'!$A$2:$B$8,MATCH(WEEKDAY('CRD Hedge'!A171,3),'[4]Master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-35909</v>
      </c>
      <c r="P171" s="136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-35.909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INDEX('[4]Master Data'!$A$2:$B$8,MATCH(WEEKDAY('CRD Hedge'!A172,3),'[4]Master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-35909</v>
      </c>
      <c r="P172" s="136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-35.909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INDEX('[4]Master Data'!$A$2:$B$8,MATCH(WEEKDAY('CRD Hedge'!A173,3),'[4]Master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-35909</v>
      </c>
      <c r="P173" s="136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-35.909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INDEX('[4]Master Data'!$A$2:$B$8,MATCH(WEEKDAY('CRD Hedge'!A174,3),'[4]Master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-35909</v>
      </c>
      <c r="P174" s="136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-35.909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INDEX('[4]Master Data'!$A$2:$B$8,MATCH(WEEKDAY('CRD Hedge'!A175,3),'[4]Master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-35909</v>
      </c>
      <c r="P175" s="136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-35.909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INDEX('[4]Master Data'!$A$2:$B$8,MATCH(WEEKDAY('CRD Hedge'!A176,3),'[4]Master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-35909</v>
      </c>
      <c r="P176" s="136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-35.909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INDEX('[4]Master Data'!$A$2:$B$8,MATCH(WEEKDAY('CRD Hedge'!A177,3),'[4]Master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-35909</v>
      </c>
      <c r="P177" s="136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-35.909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INDEX('[4]Master Data'!$A$2:$B$8,MATCH(WEEKDAY('CRD Hedge'!A178,3),'[4]Master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-35909</v>
      </c>
      <c r="P178" s="136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-35.909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INDEX('[4]Master Data'!$A$2:$B$8,MATCH(WEEKDAY('CRD Hedge'!A179,3),'[4]Master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-35909</v>
      </c>
      <c r="P179" s="136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-35.909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INDEX('[4]Master Data'!$A$2:$B$8,MATCH(WEEKDAY('CRD Hedge'!A180,3),'[4]Master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-35909</v>
      </c>
      <c r="P180" s="136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-35.909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INDEX('[4]Master Data'!$A$2:$B$8,MATCH(WEEKDAY('CRD Hedge'!A181,3),'[4]Master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-35909</v>
      </c>
      <c r="P181" s="136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-35.909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INDEX('[4]Master Data'!$A$2:$B$8,MATCH(WEEKDAY('CRD Hedge'!A182,3),'[4]Master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-35909</v>
      </c>
      <c r="P182" s="136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-35.909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INDEX('[4]Master Data'!$A$2:$B$8,MATCH(WEEKDAY('CRD Hedge'!A183,3),'[4]Master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-35909</v>
      </c>
      <c r="P183" s="136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-35.909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INDEX('[4]Master Data'!$A$2:$B$8,MATCH(WEEKDAY('CRD Hedge'!A184,3),'[4]Master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-35909</v>
      </c>
      <c r="P184" s="136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-35.909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INDEX('[4]Master Data'!$A$2:$B$8,MATCH(WEEKDAY('CRD Hedge'!A185,3),'[4]Master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-35909</v>
      </c>
      <c r="P185" s="136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-35.909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INDEX('[4]Master Data'!$A$2:$B$8,MATCH(WEEKDAY('CRD Hedge'!A186,3),'[4]Master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-35909</v>
      </c>
      <c r="P186" s="136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-35.909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INDEX('[4]Master Data'!$A$2:$B$8,MATCH(WEEKDAY('CRD Hedge'!A187,3),'[4]Master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-35909</v>
      </c>
      <c r="P187" s="136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-35.909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INDEX('[4]Master Data'!$A$2:$B$8,MATCH(WEEKDAY('CRD Hedge'!A188,3),'[4]Master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-35909</v>
      </c>
      <c r="P188" s="136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-35.909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INDEX('[4]Master Data'!$A$2:$B$8,MATCH(WEEKDAY('CRD Hedge'!A189,3),'[4]Master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0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-35909</v>
      </c>
      <c r="P189" s="136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-35.909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INDEX('[4]Master Data'!$A$2:$B$8,MATCH(WEEKDAY('CRD Hedge'!A190,3),'[4]Master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0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-35909</v>
      </c>
      <c r="P190" s="136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-35.909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INDEX('[4]Master Data'!$A$2:$B$8,MATCH(WEEKDAY('CRD Hedge'!A191,3),'[4]Master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0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-35909</v>
      </c>
      <c r="P191" s="136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-35.909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INDEX('[4]Master Data'!$A$2:$B$8,MATCH(WEEKDAY('CRD Hedge'!A192,3),'[4]Master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0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-35909</v>
      </c>
      <c r="P192" s="136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-35.909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INDEX('[4]Master Data'!$A$2:$B$8,MATCH(WEEKDAY('CRD Hedge'!A193,3),'[4]Master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-35909</v>
      </c>
      <c r="P193" s="136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-35.909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INDEX('[4]Master Data'!$A$2:$B$8,MATCH(WEEKDAY('CRD Hedge'!A194,3),'[4]Master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-35909</v>
      </c>
      <c r="P194" s="136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-35.909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INDEX('[4]Master Data'!$A$2:$B$8,MATCH(WEEKDAY('CRD Hedge'!A195,3),'[4]Master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0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-35909</v>
      </c>
      <c r="P195" s="136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-35.909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INDEX('[4]Master Data'!$A$2:$B$8,MATCH(WEEKDAY('CRD Hedge'!A196,3),'[4]Master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-35909</v>
      </c>
      <c r="P196" s="136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-35.909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INDEX('[4]Master Data'!$A$2:$B$8,MATCH(WEEKDAY('CRD Hedge'!A197,3),'[4]Master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-35909</v>
      </c>
      <c r="P197" s="136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-35.909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INDEX('[4]Master Data'!$A$2:$B$8,MATCH(WEEKDAY('CRD Hedge'!A198,3),'[4]Master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-35909</v>
      </c>
      <c r="P198" s="136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-35.909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INDEX('[4]Master Data'!$A$2:$B$8,MATCH(WEEKDAY('CRD Hedge'!A199,3),'[4]Master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-35909</v>
      </c>
      <c r="P199" s="136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-35.909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INDEX('[4]Master Data'!$A$2:$B$8,MATCH(WEEKDAY('CRD Hedge'!A200,3),'[4]Master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-35909</v>
      </c>
      <c r="P200" s="136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-35.909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INDEX('[4]Master Data'!$A$2:$B$8,MATCH(WEEKDAY('CRD Hedge'!A201,3),'[4]Master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-35909</v>
      </c>
      <c r="P201" s="136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-35.909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INDEX('[4]Master Data'!$A$2:$B$8,MATCH(WEEKDAY('CRD Hedge'!A202,3),'[4]Master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-35909</v>
      </c>
      <c r="P202" s="136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-35.909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INDEX('[4]Master Data'!$A$2:$B$8,MATCH(WEEKDAY('CRD Hedge'!A203,3),'[4]Master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-35909</v>
      </c>
      <c r="P203" s="136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-35.909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INDEX('[4]Master Data'!$A$2:$B$8,MATCH(WEEKDAY('CRD Hedge'!A204,3),'[4]Master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-35909</v>
      </c>
      <c r="P204" s="136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-35.909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INDEX('[4]Master Data'!$A$2:$B$8,MATCH(WEEKDAY('CRD Hedge'!A205,3),'[4]Master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-35909</v>
      </c>
      <c r="P205" s="136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-35.909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INDEX('[4]Master Data'!$A$2:$B$8,MATCH(WEEKDAY('CRD Hedge'!A206,3),'[4]Master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-35909</v>
      </c>
      <c r="P206" s="136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-35.909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INDEX('[4]Master Data'!$A$2:$B$8,MATCH(WEEKDAY('CRD Hedge'!A207,3),'[4]Master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-35909</v>
      </c>
      <c r="P207" s="136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-35.909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INDEX('[4]Master Data'!$A$2:$B$8,MATCH(WEEKDAY('CRD Hedge'!A208,3),'[4]Master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-35909</v>
      </c>
      <c r="P208" s="136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-35.909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INDEX('[4]Master Data'!$A$2:$B$8,MATCH(WEEKDAY('CRD Hedge'!A209,3),'[4]Master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-35909</v>
      </c>
      <c r="P209" s="136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-35.909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INDEX('[4]Master Data'!$A$2:$B$8,MATCH(WEEKDAY('CRD Hedge'!A210,3),'[4]Master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-35909</v>
      </c>
      <c r="P210" s="136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-35.909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INDEX('[4]Master Data'!$A$2:$B$8,MATCH(WEEKDAY('CRD Hedge'!A211,3),'[4]Master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-35909</v>
      </c>
      <c r="P211" s="136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-35.909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INDEX('[4]Master Data'!$A$2:$B$8,MATCH(WEEKDAY('CRD Hedge'!A212,3),'[4]Master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-35909</v>
      </c>
      <c r="P212" s="136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-35.909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INDEX('[4]Master Data'!$A$2:$B$8,MATCH(WEEKDAY('CRD Hedge'!A213,3),'[4]Master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-35909</v>
      </c>
      <c r="P213" s="136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-35.909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INDEX('[4]Master Data'!$A$2:$B$8,MATCH(WEEKDAY('CRD Hedge'!A214,3),'[4]Master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-35909</v>
      </c>
      <c r="P214" s="136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-35.909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INDEX('[4]Master Data'!$A$2:$B$8,MATCH(WEEKDAY('CRD Hedge'!A215,3),'[4]Master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-35909</v>
      </c>
      <c r="P215" s="136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-35.909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INDEX('[4]Master Data'!$A$2:$B$8,MATCH(WEEKDAY('CRD Hedge'!A216,3),'[4]Master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-35909</v>
      </c>
      <c r="P216" s="136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-35.909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INDEX('[4]Master Data'!$A$2:$B$8,MATCH(WEEKDAY('CRD Hedge'!A217,3),'[4]Master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-35909</v>
      </c>
      <c r="P217" s="136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-35.909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INDEX('[4]Master Data'!$A$2:$B$8,MATCH(WEEKDAY('CRD Hedge'!A218,3),'[4]Master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-35909</v>
      </c>
      <c r="P218" s="136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-35.909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INDEX('[4]Master Data'!$A$2:$B$8,MATCH(WEEKDAY('CRD Hedge'!A219,3),'[4]Master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-35909</v>
      </c>
      <c r="P219" s="136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-35.909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INDEX('[4]Master Data'!$A$2:$B$8,MATCH(WEEKDAY('CRD Hedge'!A220,3),'[4]Master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-35909</v>
      </c>
      <c r="P220" s="136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-35.909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INDEX('[4]Master Data'!$A$2:$B$8,MATCH(WEEKDAY('CRD Hedge'!A221,3),'[4]Master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-35909</v>
      </c>
      <c r="P221" s="136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-35.909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INDEX('[4]Master Data'!$A$2:$B$8,MATCH(WEEKDAY('CRD Hedge'!A222,3),'[4]Master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-35909</v>
      </c>
      <c r="P222" s="136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-35.909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INDEX('[4]Master Data'!$A$2:$B$8,MATCH(WEEKDAY('CRD Hedge'!A223,3),'[4]Master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-35909</v>
      </c>
      <c r="P223" s="136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-35.909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INDEX('[4]Master Data'!$A$2:$B$8,MATCH(WEEKDAY('CRD Hedge'!A224,3),'[4]Master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-35909</v>
      </c>
      <c r="P224" s="136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-35.909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INDEX('[4]Master Data'!$A$2:$B$8,MATCH(WEEKDAY('CRD Hedge'!A225,3),'[4]Master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-35909</v>
      </c>
      <c r="P225" s="136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-35.909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INDEX('[4]Master Data'!$A$2:$B$8,MATCH(WEEKDAY('CRD Hedge'!A226,3),'[4]Master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-35909</v>
      </c>
      <c r="P226" s="136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-35.909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INDEX('[4]Master Data'!$A$2:$B$8,MATCH(WEEKDAY('CRD Hedge'!A227,3),'[4]Master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-35909</v>
      </c>
      <c r="P227" s="136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-35.909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INDEX('[4]Master Data'!$A$2:$B$8,MATCH(WEEKDAY('CRD Hedge'!A228,3),'[4]Master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-35909</v>
      </c>
      <c r="P228" s="136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-35.909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INDEX('[4]Master Data'!$A$2:$B$8,MATCH(WEEKDAY('CRD Hedge'!A229,3),'[4]Master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-35909</v>
      </c>
      <c r="P229" s="136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-35.909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INDEX('[4]Master Data'!$A$2:$B$8,MATCH(WEEKDAY('CRD Hedge'!A230,3),'[4]Master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-35909</v>
      </c>
      <c r="P230" s="136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-35.909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INDEX('[4]Master Data'!$A$2:$B$8,MATCH(WEEKDAY('CRD Hedge'!A231,3),'[4]Master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-35909</v>
      </c>
      <c r="P231" s="136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-35.909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INDEX('[4]Master Data'!$A$2:$B$8,MATCH(WEEKDAY('CRD Hedge'!A232,3),'[4]Master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-35909</v>
      </c>
      <c r="P232" s="136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-35.909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INDEX('[4]Master Data'!$A$2:$B$8,MATCH(WEEKDAY('CRD Hedge'!A233,3),'[4]Master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-35909</v>
      </c>
      <c r="P233" s="136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-35.909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INDEX('[4]Master Data'!$A$2:$B$8,MATCH(WEEKDAY('CRD Hedge'!A234,3),'[4]Master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-35909</v>
      </c>
      <c r="P234" s="136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-35.909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INDEX('[4]Master Data'!$A$2:$B$8,MATCH(WEEKDAY('CRD Hedge'!A235,3),'[4]Master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-35909</v>
      </c>
      <c r="P235" s="136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-35.909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INDEX('[4]Master Data'!$A$2:$B$8,MATCH(WEEKDAY('CRD Hedge'!A236,3),'[4]Master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-35909</v>
      </c>
      <c r="P236" s="136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-35.909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INDEX('[4]Master Data'!$A$2:$B$8,MATCH(WEEKDAY('CRD Hedge'!A237,3),'[4]Master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-35909</v>
      </c>
      <c r="P237" s="136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-35.909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INDEX('[4]Master Data'!$A$2:$B$8,MATCH(WEEKDAY('CRD Hedge'!A238,3),'[4]Master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-35909</v>
      </c>
      <c r="P238" s="136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-35.909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INDEX('[4]Master Data'!$A$2:$B$8,MATCH(WEEKDAY('CRD Hedge'!A239,3),'[4]Master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-35909</v>
      </c>
      <c r="P239" s="136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-35.909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INDEX('[4]Master Data'!$A$2:$B$8,MATCH(WEEKDAY('CRD Hedge'!A240,3),'[4]Master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-35909</v>
      </c>
      <c r="P240" s="136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-35.909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INDEX('[4]Master Data'!$A$2:$B$8,MATCH(WEEKDAY('CRD Hedge'!A241,3),'[4]Master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-35909</v>
      </c>
      <c r="P241" s="136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-35.909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INDEX('[4]Master Data'!$A$2:$B$8,MATCH(WEEKDAY('CRD Hedge'!A242,3),'[4]Master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-35909</v>
      </c>
      <c r="P242" s="136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-35.909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INDEX('[4]Master Data'!$A$2:$B$8,MATCH(WEEKDAY('CRD Hedge'!A243,3),'[4]Master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-35909</v>
      </c>
      <c r="P243" s="136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-35.909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INDEX('[4]Master Data'!$A$2:$B$8,MATCH(WEEKDAY('CRD Hedge'!A244,3),'[4]Master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-35909</v>
      </c>
      <c r="P244" s="136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-35.909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INDEX('[4]Master Data'!$A$2:$B$8,MATCH(WEEKDAY('CRD Hedge'!A245,3),'[4]Master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-35909</v>
      </c>
      <c r="P245" s="136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-35.909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INDEX('[4]Master Data'!$A$2:$B$8,MATCH(WEEKDAY('CRD Hedge'!A246,3),'[4]Master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-35909</v>
      </c>
      <c r="P246" s="136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-35.909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INDEX('[4]Master Data'!$A$2:$B$8,MATCH(WEEKDAY('CRD Hedge'!A247,3),'[4]Master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-35909</v>
      </c>
      <c r="P247" s="136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-35.909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INDEX('[4]Master Data'!$A$2:$B$8,MATCH(WEEKDAY('CRD Hedge'!A248,3),'[4]Master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-35909</v>
      </c>
      <c r="P248" s="136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-35.909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INDEX('[4]Master Data'!$A$2:$B$8,MATCH(WEEKDAY('CRD Hedge'!A249,3),'[4]Master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-35909</v>
      </c>
      <c r="P249" s="136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-35.909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INDEX('[4]Master Data'!$A$2:$B$8,MATCH(WEEKDAY('CRD Hedge'!A250,3),'[4]Master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-35909</v>
      </c>
      <c r="P250" s="136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-35.909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INDEX('[4]Master Data'!$A$2:$B$8,MATCH(WEEKDAY('CRD Hedge'!A251,3),'[4]Master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-35909</v>
      </c>
      <c r="P251" s="136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-35.909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INDEX('[4]Master Data'!$A$2:$B$8,MATCH(WEEKDAY('CRD Hedge'!A252,3),'[4]Master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-35909</v>
      </c>
      <c r="P252" s="136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-35.909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INDEX('[4]Master Data'!$A$2:$B$8,MATCH(WEEKDAY('CRD Hedge'!A253,3),'[4]Master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-35909</v>
      </c>
      <c r="P253" s="136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-35.909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INDEX('[4]Master Data'!$A$2:$B$8,MATCH(WEEKDAY('CRD Hedge'!A254,3),'[4]Master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-35909</v>
      </c>
      <c r="P254" s="136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-35.909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INDEX('[4]Master Data'!$A$2:$B$8,MATCH(WEEKDAY('CRD Hedge'!A255,3),'[4]Master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-35909</v>
      </c>
      <c r="P255" s="136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-35.909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INDEX('[4]Master Data'!$A$2:$B$8,MATCH(WEEKDAY('CRD Hedge'!A256,3),'[4]Master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-35909</v>
      </c>
      <c r="P256" s="136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-35.909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INDEX('[4]Master Data'!$A$2:$B$8,MATCH(WEEKDAY('CRD Hedge'!A257,3),'[4]Master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-35909</v>
      </c>
      <c r="P257" s="136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-35.909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INDEX('[4]Master Data'!$A$2:$B$8,MATCH(WEEKDAY('CRD Hedge'!A258,3),'[4]Master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-35909</v>
      </c>
      <c r="P258" s="136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-35.909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INDEX('[4]Master Data'!$A$2:$B$8,MATCH(WEEKDAY('CRD Hedge'!A259,3),'[4]Master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-35909</v>
      </c>
      <c r="P259" s="136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-35.909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INDEX('[4]Master Data'!$A$2:$B$8,MATCH(WEEKDAY('CRD Hedge'!A260,3),'[4]Master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-35909</v>
      </c>
      <c r="P260" s="136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-35.909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INDEX('[4]Master Data'!$A$2:$B$8,MATCH(WEEKDAY('CRD Hedge'!A261,3),'[4]Master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-35909</v>
      </c>
      <c r="P261" s="136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-35.909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INDEX('[4]Master Data'!$A$2:$B$8,MATCH(WEEKDAY('CRD Hedge'!A262,3),'[4]Master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-35909</v>
      </c>
      <c r="P262" s="136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-35.909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INDEX('[4]Master Data'!$A$2:$B$8,MATCH(WEEKDAY('CRD Hedge'!A263,3),'[4]Master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-35909</v>
      </c>
      <c r="P263" s="136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-35.909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INDEX('[4]Master Data'!$A$2:$B$8,MATCH(WEEKDAY('CRD Hedge'!A264,3),'[4]Master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-35909</v>
      </c>
      <c r="P264" s="136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-35.909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INDEX('[4]Master Data'!$A$2:$B$8,MATCH(WEEKDAY('CRD Hedge'!A265,3),'[4]Master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-35909</v>
      </c>
      <c r="P265" s="136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-35.909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INDEX('[4]Master Data'!$A$2:$B$8,MATCH(WEEKDAY('CRD Hedge'!A266,3),'[4]Master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-35909</v>
      </c>
      <c r="P266" s="136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-35.909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INDEX('[4]Master Data'!$A$2:$B$8,MATCH(WEEKDAY('CRD Hedge'!A267,3),'[4]Master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-35909</v>
      </c>
      <c r="P267" s="136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-35.909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INDEX('[4]Master Data'!$A$2:$B$8,MATCH(WEEKDAY('CRD Hedge'!A268,3),'[4]Master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-35909</v>
      </c>
      <c r="P268" s="136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-35.909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INDEX('[4]Master Data'!$A$2:$B$8,MATCH(WEEKDAY('CRD Hedge'!A269,3),'[4]Master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-35909</v>
      </c>
      <c r="P269" s="136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-35.909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INDEX('[4]Master Data'!$A$2:$B$8,MATCH(WEEKDAY('CRD Hedge'!A270,3),'[4]Master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-35909</v>
      </c>
      <c r="P270" s="136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-35.909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INDEX('[4]Master Data'!$A$2:$B$8,MATCH(WEEKDAY('CRD Hedge'!A271,3),'[4]Master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-35909</v>
      </c>
      <c r="P271" s="136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-35.909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INDEX('[4]Master Data'!$A$2:$B$8,MATCH(WEEKDAY('CRD Hedge'!A272,3),'[4]Master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-35909</v>
      </c>
      <c r="P272" s="136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-35.909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INDEX('[4]Master Data'!$A$2:$B$8,MATCH(WEEKDAY('CRD Hedge'!A273,3),'[4]Master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-35909</v>
      </c>
      <c r="P273" s="136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-35.909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INDEX('[4]Master Data'!$A$2:$B$8,MATCH(WEEKDAY('CRD Hedge'!A274,3),'[4]Master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-35909</v>
      </c>
      <c r="P274" s="136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-35.909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INDEX('[4]Master Data'!$A$2:$B$8,MATCH(WEEKDAY('CRD Hedge'!A275,3),'[4]Master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-35909</v>
      </c>
      <c r="P275" s="136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-35.909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INDEX('[4]Master Data'!$A$2:$B$8,MATCH(WEEKDAY('CRD Hedge'!A276,3),'[4]Master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-35909</v>
      </c>
      <c r="P276" s="136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-35.909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INDEX('[4]Master Data'!$A$2:$B$8,MATCH(WEEKDAY('CRD Hedge'!A277,3),'[4]Master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-35909</v>
      </c>
      <c r="P277" s="136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-35.909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INDEX('[4]Master Data'!$A$2:$B$8,MATCH(WEEKDAY('CRD Hedge'!A278,3),'[4]Master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-35909</v>
      </c>
      <c r="P278" s="136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-35.909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INDEX('[4]Master Data'!$A$2:$B$8,MATCH(WEEKDAY('CRD Hedge'!A279,3),'[4]Master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-35909</v>
      </c>
      <c r="P279" s="136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-35.909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INDEX('[4]Master Data'!$A$2:$B$8,MATCH(WEEKDAY('CRD Hedge'!A280,3),'[4]Master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-35909</v>
      </c>
      <c r="P280" s="136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-35.909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INDEX('[4]Master Data'!$A$2:$B$8,MATCH(WEEKDAY('CRD Hedge'!A281,3),'[4]Master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-35909</v>
      </c>
      <c r="P281" s="136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-35.909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INDEX('[4]Master Data'!$A$2:$B$8,MATCH(WEEKDAY('CRD Hedge'!A282,3),'[4]Master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-35909</v>
      </c>
      <c r="P282" s="136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-35.909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INDEX('[4]Master Data'!$A$2:$B$8,MATCH(WEEKDAY('CRD Hedge'!A283,3),'[4]Master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-35909</v>
      </c>
      <c r="P283" s="136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-35.909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INDEX('[4]Master Data'!$A$2:$B$8,MATCH(WEEKDAY('CRD Hedge'!A284,3),'[4]Master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-35909</v>
      </c>
      <c r="P284" s="136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-35.909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INDEX('[4]Master Data'!$A$2:$B$8,MATCH(WEEKDAY('CRD Hedge'!A285,3),'[4]Master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-35909</v>
      </c>
      <c r="P285" s="136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-35.909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INDEX('[4]Master Data'!$A$2:$B$8,MATCH(WEEKDAY('CRD Hedge'!A286,3),'[4]Master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-35909</v>
      </c>
      <c r="P286" s="136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-35.909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INDEX('[4]Master Data'!$A$2:$B$8,MATCH(WEEKDAY('CRD Hedge'!A287,3),'[4]Master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-35909</v>
      </c>
      <c r="P287" s="136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-35.909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INDEX('[4]Master Data'!$A$2:$B$8,MATCH(WEEKDAY('CRD Hedge'!A288,3),'[4]Master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-35909</v>
      </c>
      <c r="P288" s="136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-35.909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INDEX('[4]Master Data'!$A$2:$B$8,MATCH(WEEKDAY('CRD Hedge'!A289,3),'[4]Master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-35909</v>
      </c>
      <c r="P289" s="136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-35.909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INDEX('[4]Master Data'!$A$2:$B$8,MATCH(WEEKDAY('CRD Hedge'!A290,3),'[4]Master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-35909</v>
      </c>
      <c r="P290" s="136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-35.909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INDEX('[4]Master Data'!$A$2:$B$8,MATCH(WEEKDAY('CRD Hedge'!A291,3),'[4]Master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-35909</v>
      </c>
      <c r="P291" s="136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-35.909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INDEX('[4]Master Data'!$A$2:$B$8,MATCH(WEEKDAY('CRD Hedge'!A292,3),'[4]Master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-35909</v>
      </c>
      <c r="P292" s="136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-35.909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INDEX('[4]Master Data'!$A$2:$B$8,MATCH(WEEKDAY('CRD Hedge'!A293,3),'[4]Master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-35909</v>
      </c>
      <c r="P293" s="136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-35.909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INDEX('[4]Master Data'!$A$2:$B$8,MATCH(WEEKDAY('CRD Hedge'!A294,3),'[4]Master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-35909</v>
      </c>
      <c r="P294" s="136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-35.909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INDEX('[4]Master Data'!$A$2:$B$8,MATCH(WEEKDAY('CRD Hedge'!A295,3),'[4]Master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-35909</v>
      </c>
      <c r="P295" s="136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-35.909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INDEX('[4]Master Data'!$A$2:$B$8,MATCH(WEEKDAY('CRD Hedge'!A296,3),'[4]Master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-35909</v>
      </c>
      <c r="P296" s="136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-35.909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INDEX('[4]Master Data'!$A$2:$B$8,MATCH(WEEKDAY('CRD Hedge'!A297,3),'[4]Master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-35909</v>
      </c>
      <c r="P297" s="136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-35.909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INDEX('[4]Master Data'!$A$2:$B$8,MATCH(WEEKDAY('CRD Hedge'!A298,3),'[4]Master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-35909</v>
      </c>
      <c r="P298" s="136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-35.909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INDEX('[4]Master Data'!$A$2:$B$8,MATCH(WEEKDAY('CRD Hedge'!A299,3),'[4]Master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-35909</v>
      </c>
      <c r="P299" s="136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-35.909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INDEX('[4]Master Data'!$A$2:$B$8,MATCH(WEEKDAY('CRD Hedge'!A300,3),'[4]Master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-35909</v>
      </c>
      <c r="P300" s="136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-35.909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INDEX('[4]Master Data'!$A$2:$B$8,MATCH(WEEKDAY('CRD Hedge'!A301,3),'[4]Master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-35909</v>
      </c>
      <c r="P301" s="136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-35.909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INDEX('[4]Master Data'!$A$2:$B$8,MATCH(WEEKDAY('CRD Hedge'!A302,3),'[4]Master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-35909</v>
      </c>
      <c r="P302" s="136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-35.909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INDEX('[4]Master Data'!$A$2:$B$8,MATCH(WEEKDAY('CRD Hedge'!A303,3),'[4]Master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-35909</v>
      </c>
      <c r="P303" s="136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-35.909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INDEX('[4]Master Data'!$A$2:$B$8,MATCH(WEEKDAY('CRD Hedge'!A304,3),'[4]Master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-35909</v>
      </c>
      <c r="P304" s="136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-35.909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INDEX('[4]Master Data'!$A$2:$B$8,MATCH(WEEKDAY('CRD Hedge'!A305,3),'[4]Master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-35909</v>
      </c>
      <c r="P305" s="136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-35.909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INDEX('[4]Master Data'!$A$2:$B$8,MATCH(WEEKDAY('CRD Hedge'!A306,3),'[4]Master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-35909</v>
      </c>
      <c r="P306" s="136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-35.909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INDEX('[4]Master Data'!$A$2:$B$8,MATCH(WEEKDAY('CRD Hedge'!A307,3),'[4]Master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-35909</v>
      </c>
      <c r="P307" s="136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-35.909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INDEX('[4]Master Data'!$A$2:$B$8,MATCH(WEEKDAY('CRD Hedge'!A308,3),'[4]Master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-35909</v>
      </c>
      <c r="P308" s="136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-35.909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INDEX('[4]Master Data'!$A$2:$B$8,MATCH(WEEKDAY('CRD Hedge'!A309,3),'[4]Master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-35909</v>
      </c>
      <c r="P309" s="136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-35.909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INDEX('[4]Master Data'!$A$2:$B$8,MATCH(WEEKDAY('CRD Hedge'!A310,3),'[4]Master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-35909</v>
      </c>
      <c r="P310" s="136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-35.909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INDEX('[4]Master Data'!$A$2:$B$8,MATCH(WEEKDAY('CRD Hedge'!A311,3),'[4]Master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-35909</v>
      </c>
      <c r="P311" s="136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-35.909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INDEX('[4]Master Data'!$A$2:$B$8,MATCH(WEEKDAY('CRD Hedge'!A312,3),'[4]Master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-35909</v>
      </c>
      <c r="P312" s="136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-35.909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INDEX('[4]Master Data'!$A$2:$B$8,MATCH(WEEKDAY('CRD Hedge'!A313,3),'[4]Master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-35909</v>
      </c>
      <c r="P313" s="136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-35.909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INDEX('[4]Master Data'!$A$2:$B$8,MATCH(WEEKDAY('CRD Hedge'!A314,3),'[4]Master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-35909</v>
      </c>
      <c r="P314" s="136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-35.909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INDEX('[4]Master Data'!$A$2:$B$8,MATCH(WEEKDAY('CRD Hedge'!A315,3),'[4]Master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-35909</v>
      </c>
      <c r="P315" s="136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-35.909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INDEX('[4]Master Data'!$A$2:$B$8,MATCH(WEEKDAY('CRD Hedge'!A316,3),'[4]Master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-35909</v>
      </c>
      <c r="P316" s="136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-35.909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INDEX('[4]Master Data'!$A$2:$B$8,MATCH(WEEKDAY('CRD Hedge'!A317,3),'[4]Master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-35909</v>
      </c>
      <c r="P317" s="136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-35.909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INDEX('[4]Master Data'!$A$2:$B$8,MATCH(WEEKDAY('CRD Hedge'!A318,3),'[4]Master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-35909</v>
      </c>
      <c r="P318" s="136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-35.909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INDEX('[4]Master Data'!$A$2:$B$8,MATCH(WEEKDAY('CRD Hedge'!A319,3),'[4]Master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-35909</v>
      </c>
      <c r="P319" s="136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-35.909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INDEX('[4]Master Data'!$A$2:$B$8,MATCH(WEEKDAY('CRD Hedge'!A320,3),'[4]Master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-35909</v>
      </c>
      <c r="P320" s="136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-35.909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INDEX('[4]Master Data'!$A$2:$B$8,MATCH(WEEKDAY('CRD Hedge'!A321,3),'[4]Master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-35909</v>
      </c>
      <c r="P321" s="136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-35.909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INDEX('[4]Master Data'!$A$2:$B$8,MATCH(WEEKDAY('CRD Hedge'!A322,3),'[4]Master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-35909</v>
      </c>
      <c r="P322" s="136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-35.909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INDEX('[4]Master Data'!$A$2:$B$8,MATCH(WEEKDAY('CRD Hedge'!A323,3),'[4]Master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-35909</v>
      </c>
      <c r="P323" s="136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-35.909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INDEX('[4]Master Data'!$A$2:$B$8,MATCH(WEEKDAY('CRD Hedge'!A324,3),'[4]Master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-35909</v>
      </c>
      <c r="P324" s="136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-35.909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INDEX('[4]Master Data'!$A$2:$B$8,MATCH(WEEKDAY('CRD Hedge'!A325,3),'[4]Master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-35909</v>
      </c>
      <c r="P325" s="136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-35.909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INDEX('[4]Master Data'!$A$2:$B$8,MATCH(WEEKDAY('CRD Hedge'!A326,3),'[4]Master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-35909</v>
      </c>
      <c r="P326" s="136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-35.909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INDEX('[4]Master Data'!$A$2:$B$8,MATCH(WEEKDAY('CRD Hedge'!A327,3),'[4]Master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-35909</v>
      </c>
      <c r="P327" s="136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-35.909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INDEX('[4]Master Data'!$A$2:$B$8,MATCH(WEEKDAY('CRD Hedge'!A328,3),'[4]Master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-35909</v>
      </c>
      <c r="P328" s="136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-35.909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INDEX('[4]Master Data'!$A$2:$B$8,MATCH(WEEKDAY('CRD Hedge'!A329,3),'[4]Master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-35909</v>
      </c>
      <c r="P329" s="136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-35.909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INDEX('[4]Master Data'!$A$2:$B$8,MATCH(WEEKDAY('CRD Hedge'!A330,3),'[4]Master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-35909</v>
      </c>
      <c r="P330" s="136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-35.909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INDEX('[4]Master Data'!$A$2:$B$8,MATCH(WEEKDAY('CRD Hedge'!A331,3),'[4]Master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-35909</v>
      </c>
      <c r="P331" s="136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-35.909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INDEX('[4]Master Data'!$A$2:$B$8,MATCH(WEEKDAY('CRD Hedge'!A332,3),'[4]Master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-35909</v>
      </c>
      <c r="P332" s="136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-35.909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INDEX('[4]Master Data'!$A$2:$B$8,MATCH(WEEKDAY('CRD Hedge'!A333,3),'[4]Master Data'!$A$2:$A$8,0),2)</f>
        <v>Sa</v>
      </c>
      <c r="D333" s="112"/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-35909</v>
      </c>
      <c r="P333" s="136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-35.909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INDEX('[4]Master Data'!$A$2:$B$8,MATCH(WEEKDAY('CRD Hedge'!A334,3),'[4]Master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-35909</v>
      </c>
      <c r="P334" s="136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-35.909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INDEX('[4]Master Data'!$A$2:$B$8,MATCH(WEEKDAY('CRD Hedge'!A335,3),'[4]Master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-35909</v>
      </c>
      <c r="P335" s="136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-35.909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INDEX('[4]Master Data'!$A$2:$B$8,MATCH(WEEKDAY('CRD Hedge'!A336,3),'[4]Master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-35909</v>
      </c>
      <c r="P336" s="136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-35.909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INDEX('[4]Master Data'!$A$2:$B$8,MATCH(WEEKDAY('CRD Hedge'!A337,3),'[4]Master Data'!$A$2:$A$8,0),2)</f>
        <v>W</v>
      </c>
      <c r="D337" s="112" t="n">
        <v>-376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-35909</v>
      </c>
      <c r="P337" s="136" t="n">
        <f aca="false">D337/P$3</f>
        <v>-0.376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-35.909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INDEX('[4]Master Data'!$A$2:$B$8,MATCH(WEEKDAY('CRD Hedge'!A338,3),'[4]Master Data'!$A$2:$A$8,0),2)</f>
        <v>Th</v>
      </c>
      <c r="D338" s="112" t="n">
        <v>-385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-35909</v>
      </c>
      <c r="P338" s="136" t="n">
        <f aca="false">D338/P$3</f>
        <v>-0.385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-35.909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INDEX('[4]Master Data'!$A$2:$B$8,MATCH(WEEKDAY('CRD Hedge'!A339,3),'[4]Master Data'!$A$2:$A$8,0),2)</f>
        <v>F</v>
      </c>
      <c r="D339" s="112" t="n">
        <v>-380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-35909</v>
      </c>
      <c r="P339" s="136" t="n">
        <f aca="false">D339/P$3</f>
        <v>-0.38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-35.909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INDEX('[4]Master Data'!$A$2:$B$8,MATCH(WEEKDAY('CRD Hedge'!A340,3),'[4]Master Data'!$A$2:$A$8,0),2)</f>
        <v>Sa</v>
      </c>
      <c r="D340" s="112" t="n">
        <v>-391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-35909</v>
      </c>
      <c r="P340" s="136" t="n">
        <f aca="false">D340/P$3</f>
        <v>-0.391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-35.909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INDEX('[4]Master Data'!$A$2:$B$8,MATCH(WEEKDAY('CRD Hedge'!A341,3),'[4]Master Data'!$A$2:$A$8,0),2)</f>
        <v>Su</v>
      </c>
      <c r="D341" s="112" t="n">
        <v>-421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-35909</v>
      </c>
      <c r="P341" s="136" t="n">
        <f aca="false">D341/P$3</f>
        <v>-0.421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-35.909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INDEX('[4]Master Data'!$A$2:$B$8,MATCH(WEEKDAY('CRD Hedge'!A342,3),'[4]Master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-35909</v>
      </c>
      <c r="P342" s="136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-35.909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INDEX('[4]Master Data'!$A$2:$B$8,MATCH(WEEKDAY('CRD Hedge'!A343,3),'[4]Master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-35909</v>
      </c>
      <c r="P343" s="136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-35.909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INDEX('[4]Master Data'!$A$2:$B$8,MATCH(WEEKDAY('CRD Hedge'!A344,3),'[4]Master Data'!$A$2:$A$8,0),2)</f>
        <v>W</v>
      </c>
      <c r="D344" s="112" t="n">
        <v>-337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-35909</v>
      </c>
      <c r="P344" s="136" t="n">
        <f aca="false">D344/P$3</f>
        <v>-0.337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-35.909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INDEX('[4]Master Data'!$A$2:$B$8,MATCH(WEEKDAY('CRD Hedge'!A345,3),'[4]Master Data'!$A$2:$A$8,0),2)</f>
        <v>Th</v>
      </c>
      <c r="D345" s="112" t="n">
        <v>-345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-35909</v>
      </c>
      <c r="P345" s="136" t="n">
        <f aca="false">D345/P$3</f>
        <v>-0.345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-35.909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INDEX('[4]Master Data'!$A$2:$B$8,MATCH(WEEKDAY('CRD Hedge'!A346,3),'[4]Master Data'!$A$2:$A$8,0),2)</f>
        <v>F</v>
      </c>
      <c r="D346" s="112" t="n">
        <v>-339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-35909</v>
      </c>
      <c r="P346" s="136" t="n">
        <f aca="false">D346/P$3</f>
        <v>-0.339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-35.909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INDEX('[4]Master Data'!$A$2:$B$8,MATCH(WEEKDAY('CRD Hedge'!A347,3),'[4]Master Data'!$A$2:$A$8,0),2)</f>
        <v>Sa</v>
      </c>
      <c r="D347" s="112" t="n">
        <v>-353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-35909</v>
      </c>
      <c r="P347" s="136" t="n">
        <f aca="false">D347/P$3</f>
        <v>-0.353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-35.909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INDEX('[4]Master Data'!$A$2:$B$8,MATCH(WEEKDAY('CRD Hedge'!A348,3),'[4]Master Data'!$A$2:$A$8,0),2)</f>
        <v>Su</v>
      </c>
      <c r="D348" s="112" t="n">
        <v>-335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-35909</v>
      </c>
      <c r="P348" s="136" t="n">
        <f aca="false">D348/P$3</f>
        <v>-0.335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-35.909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INDEX('[4]Master Data'!$A$2:$B$8,MATCH(WEEKDAY('CRD Hedge'!A349,3),'[4]Master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-35909</v>
      </c>
      <c r="P349" s="136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-35.909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INDEX('[4]Master Data'!$A$2:$B$8,MATCH(WEEKDAY('CRD Hedge'!A350,3),'[4]Master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-35909</v>
      </c>
      <c r="P350" s="136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-35.909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INDEX('[4]Master Data'!$A$2:$B$8,MATCH(WEEKDAY('CRD Hedge'!A351,3),'[4]Master Data'!$A$2:$A$8,0),2)</f>
        <v>W</v>
      </c>
      <c r="D351" s="112" t="n">
        <v>-321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-35909</v>
      </c>
      <c r="P351" s="136" t="n">
        <f aca="false">D351/P$3</f>
        <v>-0.321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-35.909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INDEX('[4]Master Data'!$A$2:$B$8,MATCH(WEEKDAY('CRD Hedge'!A352,3),'[4]Master Data'!$A$2:$A$8,0),2)</f>
        <v>Th</v>
      </c>
      <c r="D352" s="112" t="n">
        <v>-321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-35909</v>
      </c>
      <c r="P352" s="136" t="n">
        <f aca="false">D352/P$3</f>
        <v>-0.321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-35.909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INDEX('[4]Master Data'!$A$2:$B$8,MATCH(WEEKDAY('CRD Hedge'!A353,3),'[4]Master Data'!$A$2:$A$8,0),2)</f>
        <v>F</v>
      </c>
      <c r="D353" s="112" t="n">
        <v>-371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-35909</v>
      </c>
      <c r="P353" s="136" t="n">
        <f aca="false">D353/P$3</f>
        <v>-0.371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-35.909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INDEX('[4]Master Data'!$A$2:$B$8,MATCH(WEEKDAY('CRD Hedge'!A354,3),'[4]Master Data'!$A$2:$A$8,0),2)</f>
        <v>Sa</v>
      </c>
      <c r="D354" s="112" t="n">
        <v>-395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-35909</v>
      </c>
      <c r="P354" s="136" t="n">
        <f aca="false">D354/P$3</f>
        <v>-0.395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-35.909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INDEX('[4]Master Data'!$A$2:$B$8,MATCH(WEEKDAY('CRD Hedge'!A355,3),'[4]Master Data'!$A$2:$A$8,0),2)</f>
        <v>Su</v>
      </c>
      <c r="D355" s="112" t="n">
        <v>-380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-35909</v>
      </c>
      <c r="P355" s="136" t="n">
        <f aca="false">D355/P$3</f>
        <v>-0.38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-35.909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INDEX('[4]Master Data'!$A$2:$B$8,MATCH(WEEKDAY('CRD Hedge'!A356,3),'[4]Master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-35909</v>
      </c>
      <c r="P356" s="136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-35.909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INDEX('[4]Master Data'!$A$2:$B$8,MATCH(WEEKDAY('CRD Hedge'!A357,3),'[4]Master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-35909</v>
      </c>
      <c r="P357" s="136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-35.909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INDEX('[4]Master Data'!$A$2:$B$8,MATCH(WEEKDAY('CRD Hedge'!A358,3),'[4]Master Data'!$A$2:$A$8,0),2)</f>
        <v>W</v>
      </c>
      <c r="D358" s="112" t="n">
        <v>-369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-35909</v>
      </c>
      <c r="P358" s="136" t="n">
        <f aca="false">D358/P$3</f>
        <v>-0.369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-35.909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INDEX('[4]Master Data'!$A$2:$B$8,MATCH(WEEKDAY('CRD Hedge'!A359,3),'[4]Master Data'!$A$2:$A$8,0),2)</f>
        <v>Th</v>
      </c>
      <c r="D359" s="112" t="n">
        <v>-391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-35909</v>
      </c>
      <c r="P359" s="136" t="n">
        <f aca="false">D359/P$3</f>
        <v>-0.391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-35.909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INDEX('[4]Master Data'!$A$2:$B$8,MATCH(WEEKDAY('CRD Hedge'!A360,3),'[4]Master Data'!$A$2:$A$8,0),2)</f>
        <v>F</v>
      </c>
      <c r="D360" s="112" t="n">
        <v>-446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-35909</v>
      </c>
      <c r="P360" s="136" t="n">
        <f aca="false">D360/P$3</f>
        <v>-0.446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-35.909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INDEX('[4]Master Data'!$A$2:$B$8,MATCH(WEEKDAY('CRD Hedge'!A361,3),'[4]Master Data'!$A$2:$A$8,0),2)</f>
        <v>Sa</v>
      </c>
      <c r="D361" s="112" t="n">
        <v>-413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-35909</v>
      </c>
      <c r="P361" s="136" t="n">
        <f aca="false">D361/P$3</f>
        <v>-0.413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-35.909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INDEX('[4]Master Data'!$A$2:$B$8,MATCH(WEEKDAY('CRD Hedge'!A362,3),'[4]Master Data'!$A$2:$A$8,0),2)</f>
        <v>Su</v>
      </c>
      <c r="D362" s="112" t="n">
        <v>-418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-35909</v>
      </c>
      <c r="P362" s="136" t="n">
        <f aca="false">D362/P$3</f>
        <v>-0.418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-35.909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INDEX('[4]Master Data'!$A$2:$B$8,MATCH(WEEKDAY('CRD Hedge'!A363,3),'[4]Master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-35909</v>
      </c>
      <c r="P363" s="136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-35.909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INDEX('[4]Master Data'!$A$2:$B$8,MATCH(WEEKDAY('CRD Hedge'!A364,3),'[4]Master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-35909</v>
      </c>
      <c r="P364" s="136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-35.909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INDEX('[4]Master Data'!$A$2:$B$8,MATCH(WEEKDAY('CRD Hedge'!A365,3),'[4]Master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-35909</v>
      </c>
      <c r="P365" s="136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-35.909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INDEX('[4]Master Data'!$A$2:$B$8,MATCH(WEEKDAY('CRD Hedge'!A366,3),'[4]Master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-35909</v>
      </c>
      <c r="P366" s="136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-35.909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INDEX('[4]Master Data'!$A$2:$B$8,MATCH(WEEKDAY('CRD Hedge'!A367,3),'[4]Master Data'!$A$2:$A$8,0),2)</f>
        <v>F</v>
      </c>
      <c r="D367" s="112" t="n">
        <v>-413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-35909</v>
      </c>
      <c r="P367" s="136" t="n">
        <f aca="false">D367/P$3</f>
        <v>-0.413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-35.909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INDEX('[4]Master Data'!$A$2:$B$8,MATCH(WEEKDAY('CRD Hedge'!A368,3),'[4]Master Data'!$A$2:$A$8,0),2)</f>
        <v>Sa</v>
      </c>
      <c r="D368" s="112" t="n">
        <v>-381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-35909</v>
      </c>
      <c r="P368" s="136" t="n">
        <f aca="false">D368/P$3</f>
        <v>-0.381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-35.909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INDEX('[4]Master Data'!$A$2:$B$8,MATCH(WEEKDAY('CRD Hedge'!A369,3),'[4]Master Data'!$A$2:$A$8,0),2)</f>
        <v>Su</v>
      </c>
      <c r="D369" s="112" t="n">
        <v>-365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-35909</v>
      </c>
      <c r="P369" s="136" t="n">
        <f aca="false">D369/P$3</f>
        <v>-0.365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-35.909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INDEX('[4]Master Data'!$A$2:$B$8,MATCH(WEEKDAY('CRD Hedge'!A370,3),'[4]Master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-35909</v>
      </c>
      <c r="P370" s="136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-35.909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INDEX('[4]Master Data'!$A$2:$B$8,MATCH(WEEKDAY('CRD Hedge'!A371,3),'[4]Master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-35909</v>
      </c>
      <c r="P371" s="136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INDEX('[4]Master Data'!$A$2:$B$8,MATCH(WEEKDAY('GNS Bolv Gas MTM'!A6,3),'[4]Master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INDEX('[4]Master Data'!$A$2:$B$8,MATCH(WEEKDAY('GNS Bolv Gas MTM'!A7,3),'[4]Master Data'!$A$2:$A$8,0),2)</f>
        <v>T</v>
      </c>
      <c r="D7" s="112" t="n">
        <v>53869609.6133</v>
      </c>
      <c r="E7" s="112" t="n">
        <v>4200743.53291581</v>
      </c>
      <c r="F7" s="112" t="n">
        <v>0</v>
      </c>
      <c r="G7" s="112" t="n">
        <v>-4774</v>
      </c>
      <c r="I7" s="112" t="n">
        <f aca="false">IF(MONTH($A7)=MONTH($A6),IF(G7=0,I6,G7),0)</f>
        <v>-4774</v>
      </c>
      <c r="J7" s="112" t="n">
        <f aca="false">IF(MONTH($A7)=MONTH($A6),SUM(I7-I6),I7)</f>
        <v>-4774</v>
      </c>
      <c r="K7" s="112" t="n">
        <f aca="false">IF(WEEKDAY(A7,3)&gt;4,0,(IF(A7&lt;K$2,0,IF(A7&lt;=K$3,1,0))))</f>
        <v>0</v>
      </c>
      <c r="L7" s="112" t="n">
        <f aca="false">J7*K7</f>
        <v>-0</v>
      </c>
      <c r="M7" s="112" t="n">
        <f aca="false">SUM(J$6:J7)</f>
        <v>-4774</v>
      </c>
      <c r="N7" s="112" t="n">
        <f aca="false">SUM(J$6:J7)</f>
        <v>-4774</v>
      </c>
      <c r="P7" s="112" t="n">
        <f aca="false">D7/P$3</f>
        <v>53.8696096133</v>
      </c>
      <c r="Q7" s="112" t="n">
        <f aca="false">E7/P$3</f>
        <v>4.20074353291581</v>
      </c>
      <c r="R7" s="112" t="n">
        <f aca="false">F7/R$3</f>
        <v>0</v>
      </c>
      <c r="S7" s="114" t="n">
        <f aca="false">J7/$R$3</f>
        <v>-4.774</v>
      </c>
      <c r="T7" s="114" t="n">
        <f aca="false">L7/$R$3</f>
        <v>-0</v>
      </c>
      <c r="U7" s="114" t="n">
        <f aca="false">I7/$R$3</f>
        <v>-4.774</v>
      </c>
      <c r="V7" s="114" t="n">
        <f aca="false">M7/$R$3</f>
        <v>-4.774</v>
      </c>
      <c r="W7" s="114" t="n">
        <f aca="false">N7/$R$3</f>
        <v>-4.774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INDEX('[4]Master Data'!$A$2:$B$8,MATCH(WEEKDAY('GNS Bolv Gas MTM'!A8,3),'[4]Master Data'!$A$2:$A$8,0),2)</f>
        <v>W</v>
      </c>
      <c r="D8" s="112" t="n">
        <v>53163127.0083</v>
      </c>
      <c r="E8" s="112" t="n">
        <v>4181292.74656516</v>
      </c>
      <c r="F8" s="112" t="n">
        <v>0</v>
      </c>
      <c r="G8" s="112" t="n">
        <v>-5890</v>
      </c>
      <c r="I8" s="112" t="n">
        <f aca="false">IF(MONTH($A8)=MONTH($A7),IF(G8=0,I7,G8),0)</f>
        <v>-5890</v>
      </c>
      <c r="J8" s="112" t="n">
        <f aca="false">IF(MONTH($A8)=MONTH($A7),SUM(I8-I7),I8)</f>
        <v>-1116</v>
      </c>
      <c r="K8" s="112" t="n">
        <f aca="false">IF(WEEKDAY(A8,3)&gt;4,0,(IF(A8&lt;K$2,0,IF(A8&lt;=K$3,1,0))))</f>
        <v>0</v>
      </c>
      <c r="L8" s="112" t="n">
        <f aca="false">J8*K8</f>
        <v>-0</v>
      </c>
      <c r="M8" s="112" t="n">
        <f aca="false">SUM(J$6:J8)</f>
        <v>-5890</v>
      </c>
      <c r="N8" s="112" t="n">
        <f aca="false">SUM(J$6:J8)</f>
        <v>-5890</v>
      </c>
      <c r="P8" s="112" t="n">
        <f aca="false">D8/P$3</f>
        <v>53.1631270083</v>
      </c>
      <c r="Q8" s="112" t="n">
        <f aca="false">E8/P$3</f>
        <v>4.18129274656516</v>
      </c>
      <c r="R8" s="112" t="n">
        <f aca="false">F8/R$3</f>
        <v>0</v>
      </c>
      <c r="S8" s="114" t="n">
        <f aca="false">J8/$R$3</f>
        <v>-1.116</v>
      </c>
      <c r="T8" s="114" t="n">
        <f aca="false">L8/$R$3</f>
        <v>-0</v>
      </c>
      <c r="U8" s="114" t="n">
        <f aca="false">I8/$R$3</f>
        <v>-5.89</v>
      </c>
      <c r="V8" s="114" t="n">
        <f aca="false">M8/$R$3</f>
        <v>-5.89</v>
      </c>
      <c r="W8" s="114" t="n">
        <f aca="false">N8/$R$3</f>
        <v>-5.89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INDEX('[4]Master Data'!$A$2:$B$8,MATCH(WEEKDAY('GNS Bolv Gas MTM'!A9,3),'[4]Master Data'!$A$2:$A$8,0),2)</f>
        <v>Th</v>
      </c>
      <c r="D9" s="112" t="n">
        <v>53777104.1776</v>
      </c>
      <c r="E9" s="112" t="n">
        <v>4209232.78404146</v>
      </c>
      <c r="F9" s="112" t="n">
        <v>0</v>
      </c>
      <c r="G9" s="112" t="n">
        <v>-7044</v>
      </c>
      <c r="I9" s="112" t="n">
        <f aca="false">IF(MONTH($A9)=MONTH($A8),IF(G9=0,I8,G9),0)</f>
        <v>-7044</v>
      </c>
      <c r="J9" s="112" t="n">
        <f aca="false">IF(MONTH($A9)=MONTH($A8),SUM(I9-I8),I9)</f>
        <v>-1154</v>
      </c>
      <c r="K9" s="112" t="n">
        <f aca="false">IF(WEEKDAY(A9,3)&gt;4,0,(IF(A9&lt;K$2,0,IF(A9&lt;=K$3,1,0))))</f>
        <v>0</v>
      </c>
      <c r="L9" s="112" t="n">
        <f aca="false">J9*K9</f>
        <v>-0</v>
      </c>
      <c r="M9" s="112" t="n">
        <f aca="false">SUM(J$6:J9)</f>
        <v>-7044</v>
      </c>
      <c r="N9" s="112" t="n">
        <f aca="false">SUM(J$6:J9)</f>
        <v>-7044</v>
      </c>
      <c r="P9" s="112" t="n">
        <f aca="false">D9/P$3</f>
        <v>53.7771041776</v>
      </c>
      <c r="Q9" s="112" t="n">
        <f aca="false">E9/P$3</f>
        <v>4.20923278404146</v>
      </c>
      <c r="R9" s="112" t="n">
        <f aca="false">F9/R$3</f>
        <v>0</v>
      </c>
      <c r="S9" s="114" t="n">
        <f aca="false">J9/$R$3</f>
        <v>-1.154</v>
      </c>
      <c r="T9" s="114" t="n">
        <f aca="false">L9/$R$3</f>
        <v>-0</v>
      </c>
      <c r="U9" s="114" t="n">
        <f aca="false">I9/$R$3</f>
        <v>-7.044</v>
      </c>
      <c r="V9" s="114" t="n">
        <f aca="false">M9/$R$3</f>
        <v>-7.044</v>
      </c>
      <c r="W9" s="114" t="n">
        <f aca="false">N9/$R$3</f>
        <v>-7.044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INDEX('[4]Master Data'!$A$2:$B$8,MATCH(WEEKDAY('GNS Bolv Gas MTM'!A10,3),'[4]Master Data'!$A$2:$A$8,0),2)</f>
        <v>F</v>
      </c>
      <c r="D10" s="112" t="n">
        <v>53546091.313</v>
      </c>
      <c r="E10" s="112" t="n">
        <v>4028577.82904508</v>
      </c>
      <c r="F10" s="112" t="n">
        <v>0</v>
      </c>
      <c r="G10" s="112" t="n">
        <v>-1087960</v>
      </c>
      <c r="I10" s="112" t="n">
        <f aca="false">IF(MONTH($A10)=MONTH($A9),IF(G10=0,I9,G10),0)</f>
        <v>-1087960</v>
      </c>
      <c r="J10" s="112" t="n">
        <f aca="false">IF(MONTH($A10)=MONTH($A9),SUM(I10-I9),I10)</f>
        <v>-1080916</v>
      </c>
      <c r="K10" s="112" t="n">
        <f aca="false">IF(WEEKDAY(A10,3)&gt;4,0,(IF(A10&lt;K$2,0,IF(A10&lt;=K$3,1,0))))</f>
        <v>0</v>
      </c>
      <c r="L10" s="112" t="n">
        <f aca="false">J10*K10</f>
        <v>-0</v>
      </c>
      <c r="M10" s="112" t="n">
        <f aca="false">SUM(J$6:J10)</f>
        <v>-1087960</v>
      </c>
      <c r="N10" s="112" t="n">
        <f aca="false">SUM(J$6:J10)</f>
        <v>-1087960</v>
      </c>
      <c r="P10" s="112" t="n">
        <f aca="false">D10/P$3</f>
        <v>53.546091313</v>
      </c>
      <c r="Q10" s="112" t="n">
        <f aca="false">E10/P$3</f>
        <v>4.02857782904508</v>
      </c>
      <c r="R10" s="112" t="n">
        <f aca="false">F10/R$3</f>
        <v>0</v>
      </c>
      <c r="S10" s="114" t="n">
        <f aca="false">J10/$R$3</f>
        <v>-1080.916</v>
      </c>
      <c r="T10" s="114" t="n">
        <f aca="false">L10/$R$3</f>
        <v>-0</v>
      </c>
      <c r="U10" s="114" t="n">
        <f aca="false">I10/$R$3</f>
        <v>-1087.96</v>
      </c>
      <c r="V10" s="114" t="n">
        <f aca="false">M10/$R$3</f>
        <v>-1087.96</v>
      </c>
      <c r="W10" s="114" t="n">
        <f aca="false">N10/$R$3</f>
        <v>-1087.96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INDEX('[4]Master Data'!$A$2:$B$8,MATCH(WEEKDAY('GNS Bolv Gas MTM'!A11,3),'[4]Master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-1087960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-1087960</v>
      </c>
      <c r="N11" s="112" t="n">
        <f aca="false">SUM(J$6:J11)</f>
        <v>-1087960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-1087.96</v>
      </c>
      <c r="V11" s="114" t="n">
        <f aca="false">M11/$R$3</f>
        <v>-1087.96</v>
      </c>
      <c r="W11" s="114" t="n">
        <f aca="false">N11/$R$3</f>
        <v>-1087.96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INDEX('[4]Master Data'!$A$2:$B$8,MATCH(WEEKDAY('GNS Bolv Gas MTM'!A12,3),'[4]Master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-1087960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-1087960</v>
      </c>
      <c r="N12" s="112" t="n">
        <f aca="false">SUM(J$6:J12)</f>
        <v>-1087960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-1087.96</v>
      </c>
      <c r="V12" s="114" t="n">
        <f aca="false">M12/$R$3</f>
        <v>-1087.96</v>
      </c>
      <c r="W12" s="114" t="n">
        <f aca="false">N12/$R$3</f>
        <v>-1087.96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INDEX('[4]Master Data'!$A$2:$B$8,MATCH(WEEKDAY('GNS Bolv Gas MTM'!A13,3),'[4]Master Data'!$A$2:$A$8,0),2)</f>
        <v>M</v>
      </c>
      <c r="D13" s="112" t="n">
        <v>53931138.2304</v>
      </c>
      <c r="E13" s="112" t="n">
        <v>4060270.59634508</v>
      </c>
      <c r="F13" s="112" t="n">
        <v>0</v>
      </c>
      <c r="G13" s="112" t="n">
        <v>-1092581</v>
      </c>
      <c r="I13" s="112" t="n">
        <f aca="false">IF(MONTH($A13)=MONTH($A12),IF(G13=0,I12,G13),0)</f>
        <v>-1092581</v>
      </c>
      <c r="J13" s="112" t="n">
        <f aca="false">IF(MONTH($A13)=MONTH($A12),SUM(I13-I12),I13)</f>
        <v>-4621</v>
      </c>
      <c r="K13" s="112" t="n">
        <f aca="false">IF(WEEKDAY(A13,3)&gt;4,0,(IF(A13&lt;K$2,0,IF(A13&lt;=K$3,1,0))))</f>
        <v>0</v>
      </c>
      <c r="L13" s="112" t="n">
        <f aca="false">J13*K13</f>
        <v>-0</v>
      </c>
      <c r="M13" s="112" t="n">
        <f aca="false">SUM(J$6:J13)</f>
        <v>-1092581</v>
      </c>
      <c r="N13" s="112" t="n">
        <f aca="false">SUM(J$6:J13)</f>
        <v>-1092581</v>
      </c>
      <c r="P13" s="112" t="n">
        <f aca="false">D13/P$3</f>
        <v>53.9311382304</v>
      </c>
      <c r="Q13" s="112" t="n">
        <f aca="false">E13/P$3</f>
        <v>4.06027059634508</v>
      </c>
      <c r="R13" s="112" t="n">
        <f aca="false">F13/R$3</f>
        <v>0</v>
      </c>
      <c r="S13" s="114" t="n">
        <f aca="false">J13/$R$3</f>
        <v>-4.621</v>
      </c>
      <c r="T13" s="114" t="n">
        <f aca="false">L13/$R$3</f>
        <v>-0</v>
      </c>
      <c r="U13" s="114" t="n">
        <f aca="false">I13/$R$3</f>
        <v>-1092.581</v>
      </c>
      <c r="V13" s="114" t="n">
        <f aca="false">M13/$R$3</f>
        <v>-1092.581</v>
      </c>
      <c r="W13" s="114" t="n">
        <f aca="false">N13/$R$3</f>
        <v>-1092.581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INDEX('[4]Master Data'!$A$2:$B$8,MATCH(WEEKDAY('GNS Bolv Gas MTM'!A14,3),'[4]Master Data'!$A$2:$A$8,0),2)</f>
        <v>T</v>
      </c>
      <c r="D14" s="112" t="n">
        <v>53620900.2145</v>
      </c>
      <c r="E14" s="112" t="n">
        <v>4047402.33711443</v>
      </c>
      <c r="F14" s="112" t="n">
        <v>0</v>
      </c>
      <c r="G14" s="112" t="n">
        <v>-1094083</v>
      </c>
      <c r="I14" s="112" t="n">
        <f aca="false">IF(MONTH($A14)=MONTH($A13),IF(G14=0,I13,G14),0)</f>
        <v>-1094083</v>
      </c>
      <c r="J14" s="112" t="n">
        <f aca="false">IF(MONTH($A14)=MONTH($A13),SUM(I14-I13),I14)</f>
        <v>-1502</v>
      </c>
      <c r="K14" s="112" t="n">
        <f aca="false">IF(WEEKDAY(A14,3)&gt;4,0,(IF(A14&lt;K$2,0,IF(A14&lt;=K$3,1,0))))</f>
        <v>0</v>
      </c>
      <c r="L14" s="112" t="n">
        <f aca="false">J14*K14</f>
        <v>-0</v>
      </c>
      <c r="M14" s="112" t="n">
        <f aca="false">SUM(J$6:J14)</f>
        <v>-1094083</v>
      </c>
      <c r="N14" s="112" t="n">
        <f aca="false">SUM(J$6:J14)</f>
        <v>-1094083</v>
      </c>
      <c r="P14" s="112" t="n">
        <f aca="false">D14/P$3</f>
        <v>53.6209002145</v>
      </c>
      <c r="Q14" s="112" t="n">
        <f aca="false">E14/P$3</f>
        <v>4.04740233711443</v>
      </c>
      <c r="R14" s="112" t="n">
        <f aca="false">F14/R$3</f>
        <v>0</v>
      </c>
      <c r="S14" s="114" t="n">
        <f aca="false">J14/$R$3</f>
        <v>-1.502</v>
      </c>
      <c r="T14" s="114" t="n">
        <f aca="false">L14/$R$3</f>
        <v>-0</v>
      </c>
      <c r="U14" s="114" t="n">
        <f aca="false">I14/$R$3</f>
        <v>-1094.083</v>
      </c>
      <c r="V14" s="114" t="n">
        <f aca="false">M14/$R$3</f>
        <v>-1094.083</v>
      </c>
      <c r="W14" s="114" t="n">
        <f aca="false">N14/$R$3</f>
        <v>-1094.083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INDEX('[4]Master Data'!$A$2:$B$8,MATCH(WEEKDAY('GNS Bolv Gas MTM'!A15,3),'[4]Master Data'!$A$2:$A$8,0),2)</f>
        <v>W</v>
      </c>
      <c r="D15" s="112" t="n">
        <v>53036880.2713</v>
      </c>
      <c r="E15" s="112" t="n">
        <v>4018534.9704219</v>
      </c>
      <c r="F15" s="112" t="n">
        <v>0</v>
      </c>
      <c r="G15" s="112" t="n">
        <v>-1095570</v>
      </c>
      <c r="I15" s="112" t="n">
        <f aca="false">IF(MONTH($A15)=MONTH($A14),IF(G15=0,I14,G15),0)</f>
        <v>-1095570</v>
      </c>
      <c r="J15" s="112" t="n">
        <f aca="false">IF(MONTH($A15)=MONTH($A14),SUM(I15-I14),I15)</f>
        <v>-1487</v>
      </c>
      <c r="K15" s="112" t="n">
        <f aca="false">IF(WEEKDAY(A15,3)&gt;4,0,(IF(A15&lt;K$2,0,IF(A15&lt;=K$3,1,0))))</f>
        <v>0</v>
      </c>
      <c r="L15" s="112" t="n">
        <f aca="false">J15*K15</f>
        <v>-0</v>
      </c>
      <c r="M15" s="112" t="n">
        <f aca="false">SUM(J$6:J15)</f>
        <v>-1095570</v>
      </c>
      <c r="N15" s="112" t="n">
        <f aca="false">SUM(J$6:J15)</f>
        <v>-1095570</v>
      </c>
      <c r="P15" s="112" t="n">
        <f aca="false">D15/P$3</f>
        <v>53.0368802713</v>
      </c>
      <c r="Q15" s="112" t="n">
        <f aca="false">E15/P$3</f>
        <v>4.0185349704219</v>
      </c>
      <c r="R15" s="112" t="n">
        <f aca="false">F15/R$3</f>
        <v>0</v>
      </c>
      <c r="S15" s="114" t="n">
        <f aca="false">J15/$R$3</f>
        <v>-1.487</v>
      </c>
      <c r="T15" s="114" t="n">
        <f aca="false">L15/$R$3</f>
        <v>-0</v>
      </c>
      <c r="U15" s="114" t="n">
        <f aca="false">I15/$R$3</f>
        <v>-1095.57</v>
      </c>
      <c r="V15" s="114" t="n">
        <f aca="false">M15/$R$3</f>
        <v>-1095.57</v>
      </c>
      <c r="W15" s="114" t="n">
        <f aca="false">N15/$R$3</f>
        <v>-1095.57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INDEX('[4]Master Data'!$A$2:$B$8,MATCH(WEEKDAY('GNS Bolv Gas MTM'!A16,3),'[4]Master Data'!$A$2:$A$8,0),2)</f>
        <v>Th</v>
      </c>
      <c r="D16" s="112" t="n">
        <v>52901727.4213</v>
      </c>
      <c r="E16" s="112" t="n">
        <v>4015859.2565219</v>
      </c>
      <c r="F16" s="112" t="n">
        <v>0</v>
      </c>
      <c r="G16" s="112" t="n">
        <v>-1097063</v>
      </c>
      <c r="I16" s="112" t="n">
        <f aca="false">IF(MONTH($A16)=MONTH($A15),IF(G16=0,I15,G16),0)</f>
        <v>-1097063</v>
      </c>
      <c r="J16" s="112" t="n">
        <f aca="false">IF(MONTH($A16)=MONTH($A15),SUM(I16-I15),I16)</f>
        <v>-1493</v>
      </c>
      <c r="K16" s="112" t="n">
        <f aca="false">IF(WEEKDAY(A16,3)&gt;4,0,(IF(A16&lt;K$2,0,IF(A16&lt;=K$3,1,0))))</f>
        <v>0</v>
      </c>
      <c r="L16" s="112" t="n">
        <f aca="false">J16*K16</f>
        <v>-0</v>
      </c>
      <c r="M16" s="112" t="n">
        <f aca="false">SUM(J$6:J16)</f>
        <v>-1097063</v>
      </c>
      <c r="N16" s="112" t="n">
        <f aca="false">SUM(J$6:J16)</f>
        <v>-1097063</v>
      </c>
      <c r="P16" s="112" t="n">
        <f aca="false">D16/P$3</f>
        <v>52.9017274213</v>
      </c>
      <c r="Q16" s="112" t="n">
        <f aca="false">E16/P$3</f>
        <v>4.0158592565219</v>
      </c>
      <c r="R16" s="112" t="n">
        <f aca="false">F16/R$3</f>
        <v>0</v>
      </c>
      <c r="S16" s="114" t="n">
        <f aca="false">J16/$R$3</f>
        <v>-1.493</v>
      </c>
      <c r="T16" s="114" t="n">
        <f aca="false">L16/$R$3</f>
        <v>-0</v>
      </c>
      <c r="U16" s="114" t="n">
        <f aca="false">I16/$R$3</f>
        <v>-1097.063</v>
      </c>
      <c r="V16" s="114" t="n">
        <f aca="false">M16/$R$3</f>
        <v>-1097.063</v>
      </c>
      <c r="W16" s="114" t="n">
        <f aca="false">N16/$R$3</f>
        <v>-1097.063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INDEX('[4]Master Data'!$A$2:$B$8,MATCH(WEEKDAY('GNS Bolv Gas MTM'!A17,3),'[4]Master Data'!$A$2:$A$8,0),2)</f>
        <v>F</v>
      </c>
      <c r="D17" s="112" t="n">
        <v>52370052.971</v>
      </c>
      <c r="E17" s="112" t="n">
        <v>3992302.41827396</v>
      </c>
      <c r="F17" s="112" t="n">
        <v>0</v>
      </c>
      <c r="G17" s="112" t="n">
        <v>-1098533</v>
      </c>
      <c r="I17" s="112" t="n">
        <f aca="false">IF(MONTH($A17)=MONTH($A16),IF(G17=0,I16,G17),0)</f>
        <v>-1098533</v>
      </c>
      <c r="J17" s="112" t="n">
        <f aca="false">IF(MONTH($A17)=MONTH($A16),SUM(I17-I16),I17)</f>
        <v>-1470</v>
      </c>
      <c r="K17" s="112" t="n">
        <f aca="false">IF(WEEKDAY(A17,3)&gt;4,0,(IF(A17&lt;K$2,0,IF(A17&lt;=K$3,1,0))))</f>
        <v>0</v>
      </c>
      <c r="L17" s="112" t="n">
        <f aca="false">J17*K17</f>
        <v>-0</v>
      </c>
      <c r="M17" s="112" t="n">
        <f aca="false">SUM(J$6:J17)</f>
        <v>-1098533</v>
      </c>
      <c r="N17" s="112" t="n">
        <f aca="false">SUM(J$6:J17)</f>
        <v>-1098533</v>
      </c>
      <c r="P17" s="112" t="n">
        <f aca="false">D17/P$3</f>
        <v>52.370052971</v>
      </c>
      <c r="Q17" s="112" t="n">
        <f aca="false">E17/P$3</f>
        <v>3.99230241827396</v>
      </c>
      <c r="R17" s="112" t="n">
        <f aca="false">F17/R$3</f>
        <v>0</v>
      </c>
      <c r="S17" s="114" t="n">
        <f aca="false">J17/$R$3</f>
        <v>-1.47</v>
      </c>
      <c r="T17" s="114" t="n">
        <f aca="false">L17/$R$3</f>
        <v>-0</v>
      </c>
      <c r="U17" s="114" t="n">
        <f aca="false">I17/$R$3</f>
        <v>-1098.533</v>
      </c>
      <c r="V17" s="114" t="n">
        <f aca="false">M17/$R$3</f>
        <v>-1098.533</v>
      </c>
      <c r="W17" s="114" t="n">
        <f aca="false">N17/$R$3</f>
        <v>-1098.533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INDEX('[4]Master Data'!$A$2:$B$8,MATCH(WEEKDAY('GNS Bolv Gas MTM'!A18,3),'[4]Master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-1098533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-1098533</v>
      </c>
      <c r="N18" s="112" t="n">
        <f aca="false">SUM(J$6:J18)</f>
        <v>-1098533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-1098.533</v>
      </c>
      <c r="V18" s="114" t="n">
        <f aca="false">M18/$R$3</f>
        <v>-1098.533</v>
      </c>
      <c r="W18" s="114" t="n">
        <f aca="false">N18/$R$3</f>
        <v>-1098.533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INDEX('[4]Master Data'!$A$2:$B$8,MATCH(WEEKDAY('GNS Bolv Gas MTM'!A19,3),'[4]Master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-1098533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-1098533</v>
      </c>
      <c r="N19" s="112" t="n">
        <f aca="false">SUM(J$6:J19)</f>
        <v>-1098533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-1098.533</v>
      </c>
      <c r="V19" s="114" t="n">
        <f aca="false">M19/$R$3</f>
        <v>-1098.533</v>
      </c>
      <c r="W19" s="114" t="n">
        <f aca="false">N19/$R$3</f>
        <v>-1098.533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INDEX('[4]Master Data'!$A$2:$B$8,MATCH(WEEKDAY('GNS Bolv Gas MTM'!A20,3),'[4]Master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-1098533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-1098533</v>
      </c>
      <c r="N20" s="112" t="n">
        <f aca="false">SUM(J$6:J20)</f>
        <v>-1098533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-1098.533</v>
      </c>
      <c r="V20" s="114" t="n">
        <f aca="false">M20/$R$3</f>
        <v>-1098.533</v>
      </c>
      <c r="W20" s="114" t="n">
        <f aca="false">N20/$R$3</f>
        <v>-1098.533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INDEX('[4]Master Data'!$A$2:$B$8,MATCH(WEEKDAY('GNS Bolv Gas MTM'!A21,3),'[4]Master Data'!$A$2:$A$8,0),2)</f>
        <v>T</v>
      </c>
      <c r="D21" s="112" t="n">
        <v>52461670.7048</v>
      </c>
      <c r="E21" s="112" t="n">
        <v>4012092.94087396</v>
      </c>
      <c r="F21" s="112" t="n">
        <v>0</v>
      </c>
      <c r="G21" s="112" t="n">
        <v>-1104403</v>
      </c>
      <c r="I21" s="112" t="n">
        <f aca="false">IF(MONTH($A21)=MONTH($A20),IF(G21=0,I20,G21),0)</f>
        <v>-1104403</v>
      </c>
      <c r="J21" s="112" t="n">
        <f aca="false">IF(MONTH($A21)=MONTH($A20),SUM(I21-I20),I21)</f>
        <v>-5870</v>
      </c>
      <c r="K21" s="112" t="n">
        <f aca="false">IF(WEEKDAY(A21,3)&gt;4,0,(IF(A21&lt;K$2,0,IF(A21&lt;=K$3,1,0))))</f>
        <v>0</v>
      </c>
      <c r="L21" s="112" t="n">
        <f aca="false">J21*K21</f>
        <v>-0</v>
      </c>
      <c r="M21" s="112" t="n">
        <f aca="false">SUM(J$6:J21)</f>
        <v>-1104403</v>
      </c>
      <c r="N21" s="112" t="n">
        <f aca="false">SUM(J$6:J21)</f>
        <v>-1104403</v>
      </c>
      <c r="P21" s="112" t="n">
        <f aca="false">D21/P$3</f>
        <v>52.4616707048</v>
      </c>
      <c r="Q21" s="112" t="n">
        <f aca="false">E21/P$3</f>
        <v>4.01209294087396</v>
      </c>
      <c r="R21" s="112" t="n">
        <f aca="false">F21/R$3</f>
        <v>0</v>
      </c>
      <c r="S21" s="114" t="n">
        <f aca="false">J21/$R$3</f>
        <v>-5.87</v>
      </c>
      <c r="T21" s="114" t="n">
        <f aca="false">L21/$R$3</f>
        <v>-0</v>
      </c>
      <c r="U21" s="114" t="n">
        <f aca="false">I21/$R$3</f>
        <v>-1104.403</v>
      </c>
      <c r="V21" s="114" t="n">
        <f aca="false">M21/$R$3</f>
        <v>-1104.403</v>
      </c>
      <c r="W21" s="114" t="n">
        <f aca="false">N21/$R$3</f>
        <v>-1104.403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INDEX('[4]Master Data'!$A$2:$B$8,MATCH(WEEKDAY('GNS Bolv Gas MTM'!A22,3),'[4]Master Data'!$A$2:$A$8,0),2)</f>
        <v>W</v>
      </c>
      <c r="D22" s="112" t="n">
        <v>52853711.4723</v>
      </c>
      <c r="E22" s="112" t="n">
        <v>4032850.93577396</v>
      </c>
      <c r="F22" s="112" t="n">
        <v>0</v>
      </c>
      <c r="G22" s="112" t="n">
        <v>-1105860</v>
      </c>
      <c r="I22" s="112" t="n">
        <f aca="false">IF(MONTH($A22)=MONTH($A21),IF(G22=0,I21,G22),0)</f>
        <v>-1105860</v>
      </c>
      <c r="J22" s="112" t="n">
        <f aca="false">IF(MONTH($A22)=MONTH($A21),SUM(I22-I21),I22)</f>
        <v>-1457</v>
      </c>
      <c r="K22" s="112" t="n">
        <f aca="false">IF(WEEKDAY(A22,3)&gt;4,0,(IF(A22&lt;K$2,0,IF(A22&lt;=K$3,1,0))))</f>
        <v>0</v>
      </c>
      <c r="L22" s="112" t="n">
        <f aca="false">J22*K22</f>
        <v>-0</v>
      </c>
      <c r="M22" s="112" t="n">
        <f aca="false">SUM(J$6:J22)</f>
        <v>-1105860</v>
      </c>
      <c r="N22" s="112" t="n">
        <f aca="false">SUM(J$6:J22)</f>
        <v>-1105860</v>
      </c>
      <c r="P22" s="112" t="n">
        <f aca="false">D22/P$3</f>
        <v>52.8537114723</v>
      </c>
      <c r="Q22" s="112" t="n">
        <f aca="false">E22/P$3</f>
        <v>4.03285093577396</v>
      </c>
      <c r="R22" s="112" t="n">
        <f aca="false">F22/R$3</f>
        <v>0</v>
      </c>
      <c r="S22" s="114" t="n">
        <f aca="false">J22/$R$3</f>
        <v>-1.457</v>
      </c>
      <c r="T22" s="114" t="n">
        <f aca="false">L22/$R$3</f>
        <v>-0</v>
      </c>
      <c r="U22" s="114" t="n">
        <f aca="false">I22/$R$3</f>
        <v>-1105.86</v>
      </c>
      <c r="V22" s="114" t="n">
        <f aca="false">M22/$R$3</f>
        <v>-1105.86</v>
      </c>
      <c r="W22" s="114" t="n">
        <f aca="false">N22/$R$3</f>
        <v>-1105.86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INDEX('[4]Master Data'!$A$2:$B$8,MATCH(WEEKDAY('GNS Bolv Gas MTM'!A23,3),'[4]Master Data'!$A$2:$A$8,0),2)</f>
        <v>Th</v>
      </c>
      <c r="D23" s="112" t="n">
        <v>52886569.5808</v>
      </c>
      <c r="E23" s="112" t="n">
        <v>4038672.42437396</v>
      </c>
      <c r="F23" s="112" t="n">
        <v>0</v>
      </c>
      <c r="G23" s="112" t="n">
        <v>-1107299</v>
      </c>
      <c r="I23" s="112" t="n">
        <f aca="false">IF(MONTH($A23)=MONTH($A22),IF(G23=0,I22,G23),0)</f>
        <v>-1107299</v>
      </c>
      <c r="J23" s="112" t="n">
        <f aca="false">IF(MONTH($A23)=MONTH($A22),SUM(I23-I22),I23)</f>
        <v>-1439</v>
      </c>
      <c r="K23" s="112" t="n">
        <f aca="false">IF(WEEKDAY(A23,3)&gt;4,0,(IF(A23&lt;K$2,0,IF(A23&lt;=K$3,1,0))))</f>
        <v>0</v>
      </c>
      <c r="L23" s="112" t="n">
        <f aca="false">J23*K23</f>
        <v>-0</v>
      </c>
      <c r="M23" s="112" t="n">
        <f aca="false">SUM(J$6:J23)</f>
        <v>-1107299</v>
      </c>
      <c r="N23" s="112" t="n">
        <f aca="false">SUM(J$6:J23)</f>
        <v>-1107299</v>
      </c>
      <c r="P23" s="112" t="n">
        <f aca="false">D23/P$3</f>
        <v>52.8865695808</v>
      </c>
      <c r="Q23" s="112" t="n">
        <f aca="false">E23/P$3</f>
        <v>4.03867242437396</v>
      </c>
      <c r="R23" s="112" t="n">
        <f aca="false">F23/R$3</f>
        <v>0</v>
      </c>
      <c r="S23" s="114" t="n">
        <f aca="false">J23/$R$3</f>
        <v>-1.439</v>
      </c>
      <c r="T23" s="114" t="n">
        <f aca="false">L23/$R$3</f>
        <v>-0</v>
      </c>
      <c r="U23" s="114" t="n">
        <f aca="false">I23/$R$3</f>
        <v>-1107.299</v>
      </c>
      <c r="V23" s="114" t="n">
        <f aca="false">M23/$R$3</f>
        <v>-1107.299</v>
      </c>
      <c r="W23" s="114" t="n">
        <f aca="false">N23/$R$3</f>
        <v>-1107.299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INDEX('[4]Master Data'!$A$2:$B$8,MATCH(WEEKDAY('GNS Bolv Gas MTM'!A24,3),'[4]Master Data'!$A$2:$A$8,0),2)</f>
        <v>F</v>
      </c>
      <c r="D24" s="112" t="n">
        <v>52917311.9263</v>
      </c>
      <c r="E24" s="112" t="n">
        <v>4053255.77057396</v>
      </c>
      <c r="F24" s="112" t="n">
        <v>0</v>
      </c>
      <c r="G24" s="112" t="n">
        <v>-1108731</v>
      </c>
      <c r="I24" s="112" t="n">
        <f aca="false">IF(MONTH($A24)=MONTH($A23),IF(G24=0,I23,G24),0)</f>
        <v>-1108731</v>
      </c>
      <c r="J24" s="112" t="n">
        <f aca="false">IF(MONTH($A24)=MONTH($A23),SUM(I24-I23),I24)</f>
        <v>-1432</v>
      </c>
      <c r="K24" s="112" t="n">
        <f aca="false">IF(WEEKDAY(A24,3)&gt;4,0,(IF(A24&lt;K$2,0,IF(A24&lt;=K$3,1,0))))</f>
        <v>0</v>
      </c>
      <c r="L24" s="112" t="n">
        <f aca="false">J24*K24</f>
        <v>-0</v>
      </c>
      <c r="M24" s="112" t="n">
        <f aca="false">SUM(J$6:J24)</f>
        <v>-1108731</v>
      </c>
      <c r="N24" s="112" t="n">
        <f aca="false">SUM(J$6:J24)</f>
        <v>-1108731</v>
      </c>
      <c r="P24" s="112" t="n">
        <f aca="false">D24/P$3</f>
        <v>52.9173119263</v>
      </c>
      <c r="Q24" s="112" t="n">
        <f aca="false">E24/P$3</f>
        <v>4.05325577057396</v>
      </c>
      <c r="R24" s="112" t="n">
        <f aca="false">F24/R$3</f>
        <v>0</v>
      </c>
      <c r="S24" s="114" t="n">
        <f aca="false">J24/$R$3</f>
        <v>-1.432</v>
      </c>
      <c r="T24" s="114" t="n">
        <f aca="false">L24/$R$3</f>
        <v>-0</v>
      </c>
      <c r="U24" s="114" t="n">
        <f aca="false">I24/$R$3</f>
        <v>-1108.731</v>
      </c>
      <c r="V24" s="114" t="n">
        <f aca="false">M24/$R$3</f>
        <v>-1108.731</v>
      </c>
      <c r="W24" s="114" t="n">
        <f aca="false">N24/$R$3</f>
        <v>-1108.731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INDEX('[4]Master Data'!$A$2:$B$8,MATCH(WEEKDAY('GNS Bolv Gas MTM'!A25,3),'[4]Master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-1108731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-1108731</v>
      </c>
      <c r="N25" s="112" t="n">
        <f aca="false">SUM(J$6:J25)</f>
        <v>-1108731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-1108.731</v>
      </c>
      <c r="V25" s="114" t="n">
        <f aca="false">M25/$R$3</f>
        <v>-1108.731</v>
      </c>
      <c r="W25" s="114" t="n">
        <f aca="false">N25/$R$3</f>
        <v>-1108.731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INDEX('[4]Master Data'!$A$2:$B$8,MATCH(WEEKDAY('GNS Bolv Gas MTM'!A26,3),'[4]Master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-1108731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-1108731</v>
      </c>
      <c r="N26" s="112" t="n">
        <f aca="false">SUM(J$6:J26)</f>
        <v>-1108731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-1108.731</v>
      </c>
      <c r="V26" s="114" t="n">
        <f aca="false">M26/$R$3</f>
        <v>-1108.731</v>
      </c>
      <c r="W26" s="114" t="n">
        <f aca="false">N26/$R$3</f>
        <v>-1108.731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INDEX('[4]Master Data'!$A$2:$B$8,MATCH(WEEKDAY('GNS Bolv Gas MTM'!A27,3),'[4]Master Data'!$A$2:$A$8,0),2)</f>
        <v>M</v>
      </c>
      <c r="D27" s="112" t="n">
        <v>52794686.1254</v>
      </c>
      <c r="E27" s="112" t="n">
        <v>4063241.88057396</v>
      </c>
      <c r="F27" s="112" t="n">
        <v>0</v>
      </c>
      <c r="G27" s="112" t="n">
        <v>-1112956</v>
      </c>
      <c r="I27" s="112" t="n">
        <f aca="false">IF(MONTH($A27)=MONTH($A26),IF(G27=0,I26,G27),0)</f>
        <v>-1112956</v>
      </c>
      <c r="J27" s="112" t="n">
        <f aca="false">IF(MONTH($A27)=MONTH($A26),SUM(I27-I26),I27)</f>
        <v>-4225</v>
      </c>
      <c r="K27" s="112" t="n">
        <f aca="false">IF(WEEKDAY(A27,3)&gt;4,0,(IF(A27&lt;K$2,0,IF(A27&lt;=K$3,1,0))))</f>
        <v>0</v>
      </c>
      <c r="L27" s="112" t="n">
        <f aca="false">J27*K27</f>
        <v>-0</v>
      </c>
      <c r="M27" s="112" t="n">
        <f aca="false">SUM(J$6:J27)</f>
        <v>-1112956</v>
      </c>
      <c r="N27" s="112" t="n">
        <f aca="false">SUM(J$6:J27)</f>
        <v>-1112956</v>
      </c>
      <c r="P27" s="112" t="n">
        <f aca="false">D27/P$3</f>
        <v>52.7946861254</v>
      </c>
      <c r="Q27" s="112" t="n">
        <f aca="false">E27/P$3</f>
        <v>4.06324188057396</v>
      </c>
      <c r="R27" s="112" t="n">
        <f aca="false">F27/R$3</f>
        <v>0</v>
      </c>
      <c r="S27" s="114" t="n">
        <f aca="false">J27/$R$3</f>
        <v>-4.225</v>
      </c>
      <c r="T27" s="114" t="n">
        <f aca="false">L27/$R$3</f>
        <v>-0</v>
      </c>
      <c r="U27" s="114" t="n">
        <f aca="false">I27/$R$3</f>
        <v>-1112.956</v>
      </c>
      <c r="V27" s="114" t="n">
        <f aca="false">M27/$R$3</f>
        <v>-1112.956</v>
      </c>
      <c r="W27" s="114" t="n">
        <f aca="false">N27/$R$3</f>
        <v>-1112.956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INDEX('[4]Master Data'!$A$2:$B$8,MATCH(WEEKDAY('GNS Bolv Gas MTM'!A28,3),'[4]Master Data'!$A$2:$A$8,0),2)</f>
        <v>T</v>
      </c>
      <c r="D28" s="112" t="n">
        <v>52528320.2264</v>
      </c>
      <c r="E28" s="112" t="n">
        <v>4053613.47387396</v>
      </c>
      <c r="F28" s="112" t="n">
        <v>0</v>
      </c>
      <c r="G28" s="112" t="n">
        <v>-1114344</v>
      </c>
      <c r="I28" s="112" t="n">
        <f aca="false">IF(MONTH($A28)=MONTH($A27),IF(G28=0,I27,G28),0)</f>
        <v>-1114344</v>
      </c>
      <c r="J28" s="112" t="n">
        <f aca="false">IF(MONTH($A28)=MONTH($A27),SUM(I28-I27),I28)</f>
        <v>-1388</v>
      </c>
      <c r="K28" s="112" t="n">
        <f aca="false">IF(WEEKDAY(A28,3)&gt;4,0,(IF(A28&lt;K$2,0,IF(A28&lt;=K$3,1,0))))</f>
        <v>0</v>
      </c>
      <c r="L28" s="112" t="n">
        <f aca="false">J28*K28</f>
        <v>-0</v>
      </c>
      <c r="M28" s="112" t="n">
        <f aca="false">SUM(J$6:J28)</f>
        <v>-1114344</v>
      </c>
      <c r="N28" s="112" t="n">
        <f aca="false">SUM(J$6:J28)</f>
        <v>-1114344</v>
      </c>
      <c r="P28" s="112" t="n">
        <f aca="false">D28/P$3</f>
        <v>52.5283202264</v>
      </c>
      <c r="Q28" s="112" t="n">
        <f aca="false">E28/P$3</f>
        <v>4.05361347387396</v>
      </c>
      <c r="R28" s="112" t="n">
        <f aca="false">F28/R$3</f>
        <v>0</v>
      </c>
      <c r="S28" s="114" t="n">
        <f aca="false">J28/$R$3</f>
        <v>-1.388</v>
      </c>
      <c r="T28" s="114" t="n">
        <f aca="false">L28/$R$3</f>
        <v>-0</v>
      </c>
      <c r="U28" s="114" t="n">
        <f aca="false">I28/$R$3</f>
        <v>-1114.344</v>
      </c>
      <c r="V28" s="114" t="n">
        <f aca="false">M28/$R$3</f>
        <v>-1114.344</v>
      </c>
      <c r="W28" s="114" t="n">
        <f aca="false">N28/$R$3</f>
        <v>-1114.344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INDEX('[4]Master Data'!$A$2:$B$8,MATCH(WEEKDAY('GNS Bolv Gas MTM'!A29,3),'[4]Master Data'!$A$2:$A$8,0),2)</f>
        <v>W</v>
      </c>
      <c r="D29" s="112" t="n">
        <v>52531838.5935</v>
      </c>
      <c r="E29" s="112" t="n">
        <v>4055885.02077396</v>
      </c>
      <c r="F29" s="112" t="n">
        <v>0</v>
      </c>
      <c r="G29" s="112" t="n">
        <v>-1115730</v>
      </c>
      <c r="I29" s="112" t="n">
        <f aca="false">IF(MONTH($A29)=MONTH($A28),IF(G29=0,I28,G29),0)</f>
        <v>-1115730</v>
      </c>
      <c r="J29" s="112" t="n">
        <f aca="false">IF(MONTH($A29)=MONTH($A28),SUM(I29-I28),I29)</f>
        <v>-1386</v>
      </c>
      <c r="K29" s="112" t="n">
        <f aca="false">IF(WEEKDAY(A29,3)&gt;4,0,(IF(A29&lt;K$2,0,IF(A29&lt;=K$3,1,0))))</f>
        <v>0</v>
      </c>
      <c r="L29" s="112" t="n">
        <f aca="false">J29*K29</f>
        <v>-0</v>
      </c>
      <c r="M29" s="112" t="n">
        <f aca="false">SUM(J$6:J29)</f>
        <v>-1115730</v>
      </c>
      <c r="N29" s="112" t="n">
        <f aca="false">SUM(J$6:J29)</f>
        <v>-1115730</v>
      </c>
      <c r="P29" s="112" t="n">
        <f aca="false">D29/P$3</f>
        <v>52.5318385935</v>
      </c>
      <c r="Q29" s="112" t="n">
        <f aca="false">E29/P$3</f>
        <v>4.05588502077396</v>
      </c>
      <c r="R29" s="112" t="n">
        <f aca="false">F29/R$3</f>
        <v>0</v>
      </c>
      <c r="S29" s="114" t="n">
        <f aca="false">J29/$R$3</f>
        <v>-1.386</v>
      </c>
      <c r="T29" s="114" t="n">
        <f aca="false">L29/$R$3</f>
        <v>-0</v>
      </c>
      <c r="U29" s="114" t="n">
        <f aca="false">I29/$R$3</f>
        <v>-1115.73</v>
      </c>
      <c r="V29" s="114" t="n">
        <f aca="false">M29/$R$3</f>
        <v>-1115.73</v>
      </c>
      <c r="W29" s="114" t="n">
        <f aca="false">N29/$R$3</f>
        <v>-1115.73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INDEX('[4]Master Data'!$A$2:$B$8,MATCH(WEEKDAY('GNS Bolv Gas MTM'!A30,3),'[4]Master Data'!$A$2:$A$8,0),2)</f>
        <v>Th</v>
      </c>
      <c r="D30" s="112" t="n">
        <v>52805262.016</v>
      </c>
      <c r="E30" s="112" t="n">
        <v>4066141.39637396</v>
      </c>
      <c r="F30" s="112" t="n">
        <v>0</v>
      </c>
      <c r="G30" s="112" t="n">
        <v>-1117113</v>
      </c>
      <c r="I30" s="112" t="n">
        <f aca="false">IF(MONTH($A30)=MONTH($A29),IF(G30=0,I29,G30),0)</f>
        <v>-1117113</v>
      </c>
      <c r="J30" s="112" t="n">
        <f aca="false">IF(MONTH($A30)=MONTH($A29),SUM(I30-I29),I30)</f>
        <v>-1383</v>
      </c>
      <c r="K30" s="112" t="n">
        <f aca="false">IF(WEEKDAY(A30,3)&gt;4,0,(IF(A30&lt;K$2,0,IF(A30&lt;=K$3,1,0))))</f>
        <v>0</v>
      </c>
      <c r="L30" s="112" t="n">
        <f aca="false">J30*K30</f>
        <v>-0</v>
      </c>
      <c r="M30" s="112" t="n">
        <f aca="false">SUM(J$6:J30)</f>
        <v>-1117113</v>
      </c>
      <c r="N30" s="112" t="n">
        <f aca="false">SUM(J$6:J30)</f>
        <v>-1117113</v>
      </c>
      <c r="P30" s="112" t="n">
        <f aca="false">D30/P$3</f>
        <v>52.805262016</v>
      </c>
      <c r="Q30" s="112" t="n">
        <f aca="false">E30/P$3</f>
        <v>4.06614139637396</v>
      </c>
      <c r="R30" s="112" t="n">
        <f aca="false">F30/R$3</f>
        <v>0</v>
      </c>
      <c r="S30" s="114" t="n">
        <f aca="false">J30/$R$3</f>
        <v>-1.383</v>
      </c>
      <c r="T30" s="114" t="n">
        <f aca="false">L30/$R$3</f>
        <v>-0</v>
      </c>
      <c r="U30" s="114" t="n">
        <f aca="false">I30/$R$3</f>
        <v>-1117.113</v>
      </c>
      <c r="V30" s="114" t="n">
        <f aca="false">M30/$R$3</f>
        <v>-1117.113</v>
      </c>
      <c r="W30" s="114" t="n">
        <f aca="false">N30/$R$3</f>
        <v>-1117.113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INDEX('[4]Master Data'!$A$2:$B$8,MATCH(WEEKDAY('GNS Bolv Gas MTM'!A31,3),'[4]Master Data'!$A$2:$A$8,0),2)</f>
        <v>F</v>
      </c>
      <c r="D31" s="112" t="n">
        <v>52810691.6256</v>
      </c>
      <c r="E31" s="112" t="n">
        <v>4076879.08207396</v>
      </c>
      <c r="F31" s="112" t="n">
        <v>0</v>
      </c>
      <c r="G31" s="112" t="n">
        <v>-1118482</v>
      </c>
      <c r="I31" s="112" t="n">
        <f aca="false">IF(MONTH($A31)=MONTH($A30),IF(G31=0,I30,G31),0)</f>
        <v>-1118482</v>
      </c>
      <c r="J31" s="112" t="n">
        <f aca="false">IF(MONTH($A31)=MONTH($A30),SUM(I31-I30),I31)</f>
        <v>-1369</v>
      </c>
      <c r="K31" s="112" t="n">
        <f aca="false">IF(WEEKDAY(A31,3)&gt;4,0,(IF(A31&lt;K$2,0,IF(A31&lt;=K$3,1,0))))</f>
        <v>0</v>
      </c>
      <c r="L31" s="112" t="n">
        <f aca="false">J31*K31</f>
        <v>-0</v>
      </c>
      <c r="M31" s="112" t="n">
        <f aca="false">SUM(J$6:J31)</f>
        <v>-1118482</v>
      </c>
      <c r="N31" s="112" t="n">
        <f aca="false">SUM(J$6:J31)</f>
        <v>-1118482</v>
      </c>
      <c r="P31" s="112" t="n">
        <f aca="false">D31/P$3</f>
        <v>52.8106916256</v>
      </c>
      <c r="Q31" s="112" t="n">
        <f aca="false">E31/P$3</f>
        <v>4.07687908207396</v>
      </c>
      <c r="R31" s="112" t="n">
        <f aca="false">F31/R$3</f>
        <v>0</v>
      </c>
      <c r="S31" s="114" t="n">
        <f aca="false">J31/$R$3</f>
        <v>-1.369</v>
      </c>
      <c r="T31" s="114" t="n">
        <f aca="false">L31/$R$3</f>
        <v>-0</v>
      </c>
      <c r="U31" s="114" t="n">
        <f aca="false">I31/$R$3</f>
        <v>-1118.482</v>
      </c>
      <c r="V31" s="114" t="n">
        <f aca="false">M31/$R$3</f>
        <v>-1118.482</v>
      </c>
      <c r="W31" s="114" t="n">
        <f aca="false">N31/$R$3</f>
        <v>-1118.482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INDEX('[4]Master Data'!$A$2:$B$8,MATCH(WEEKDAY('GNS Bolv Gas MTM'!A32,3),'[4]Master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-1118482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-1118482</v>
      </c>
      <c r="N32" s="112" t="n">
        <f aca="false">SUM(J$6:J32)</f>
        <v>-1118482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-1118.482</v>
      </c>
      <c r="V32" s="114" t="n">
        <f aca="false">M32/$R$3</f>
        <v>-1118.482</v>
      </c>
      <c r="W32" s="114" t="n">
        <f aca="false">N32/$R$3</f>
        <v>-1118.482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INDEX('[4]Master Data'!$A$2:$B$8,MATCH(WEEKDAY('GNS Bolv Gas MTM'!A33,3),'[4]Master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-1118482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-1118482</v>
      </c>
      <c r="N33" s="112" t="n">
        <f aca="false">SUM(J$6:J33)</f>
        <v>-1118482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-1118.482</v>
      </c>
      <c r="V33" s="114" t="n">
        <f aca="false">M33/$R$3</f>
        <v>-1118.482</v>
      </c>
      <c r="W33" s="114" t="n">
        <f aca="false">N33/$R$3</f>
        <v>-1118.482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INDEX('[4]Master Data'!$A$2:$B$8,MATCH(WEEKDAY('GNS Bolv Gas MTM'!A34,3),'[4]Master Data'!$A$2:$A$8,0),2)</f>
        <v>M</v>
      </c>
      <c r="D34" s="112" t="n">
        <v>52823069.2718</v>
      </c>
      <c r="E34" s="112" t="n">
        <v>4095360.23887396</v>
      </c>
      <c r="F34" s="112" t="n">
        <v>0</v>
      </c>
      <c r="G34" s="112" t="n">
        <v>-1122533</v>
      </c>
      <c r="I34" s="112" t="n">
        <f aca="false">IF(MONTH($A34)=MONTH($A33),IF(G34=0,I33,G34),0)</f>
        <v>-1122533</v>
      </c>
      <c r="J34" s="112" t="n">
        <f aca="false">IF(MONTH($A34)=MONTH($A33),SUM(I34-I33),I34)</f>
        <v>-4051</v>
      </c>
      <c r="K34" s="112" t="n">
        <f aca="false">IF(WEEKDAY(A34,3)&gt;4,0,(IF(A34&lt;K$2,0,IF(A34&lt;=K$3,1,0))))</f>
        <v>0</v>
      </c>
      <c r="L34" s="112" t="n">
        <f aca="false">J34*K34</f>
        <v>-0</v>
      </c>
      <c r="M34" s="112" t="n">
        <f aca="false">SUM(J$6:J34)</f>
        <v>-1122533</v>
      </c>
      <c r="N34" s="112" t="n">
        <f aca="false">SUM(J$6:J34)</f>
        <v>-1122533</v>
      </c>
      <c r="P34" s="112" t="n">
        <f aca="false">D34/P$3</f>
        <v>52.8230692718</v>
      </c>
      <c r="Q34" s="112" t="n">
        <f aca="false">E34/P$3</f>
        <v>4.09536023887396</v>
      </c>
      <c r="R34" s="112" t="n">
        <f aca="false">F34/R$3</f>
        <v>0</v>
      </c>
      <c r="S34" s="114" t="n">
        <f aca="false">J34/$R$3</f>
        <v>-4.051</v>
      </c>
      <c r="T34" s="114" t="n">
        <f aca="false">L34/$R$3</f>
        <v>-0</v>
      </c>
      <c r="U34" s="114" t="n">
        <f aca="false">I34/$R$3</f>
        <v>-1122.533</v>
      </c>
      <c r="V34" s="114" t="n">
        <f aca="false">M34/$R$3</f>
        <v>-1122.533</v>
      </c>
      <c r="W34" s="114" t="n">
        <f aca="false">N34/$R$3</f>
        <v>-1122.533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INDEX('[4]Master Data'!$A$2:$B$8,MATCH(WEEKDAY('GNS Bolv Gas MTM'!A35,3),'[4]Master Data'!$A$2:$A$8,0),2)</f>
        <v>T</v>
      </c>
      <c r="D35" s="112" t="n">
        <v>53271932.2479</v>
      </c>
      <c r="E35" s="112" t="n">
        <v>4117280.40277396</v>
      </c>
      <c r="F35" s="112" t="n">
        <v>0</v>
      </c>
      <c r="G35" s="112" t="n">
        <v>-1123879</v>
      </c>
      <c r="I35" s="112" t="n">
        <f aca="false">IF(MONTH($A35)=MONTH($A34),IF(G35=0,I34,G35),0)</f>
        <v>-1123879</v>
      </c>
      <c r="J35" s="112" t="n">
        <f aca="false">IF(MONTH($A35)=MONTH($A34),SUM(I35-I34),I35)</f>
        <v>-1346</v>
      </c>
      <c r="K35" s="112" t="n">
        <f aca="false">IF(WEEKDAY(A35,3)&gt;4,0,(IF(A35&lt;K$2,0,IF(A35&lt;=K$3,1,0))))</f>
        <v>0</v>
      </c>
      <c r="L35" s="112" t="n">
        <f aca="false">J35*K35</f>
        <v>-0</v>
      </c>
      <c r="M35" s="112" t="n">
        <f aca="false">SUM(J$6:J35)</f>
        <v>-1123879</v>
      </c>
      <c r="N35" s="112" t="n">
        <f aca="false">SUM(J$6:J35)</f>
        <v>-1123879</v>
      </c>
      <c r="P35" s="112" t="n">
        <f aca="false">D35/P$3</f>
        <v>53.2719322479</v>
      </c>
      <c r="Q35" s="112" t="n">
        <f aca="false">E35/P$3</f>
        <v>4.11728040277396</v>
      </c>
      <c r="R35" s="112" t="n">
        <f aca="false">F35/R$3</f>
        <v>0</v>
      </c>
      <c r="S35" s="114" t="n">
        <f aca="false">J35/$R$3</f>
        <v>-1.346</v>
      </c>
      <c r="T35" s="114" t="n">
        <f aca="false">L35/$R$3</f>
        <v>-0</v>
      </c>
      <c r="U35" s="114" t="n">
        <f aca="false">I35/$R$3</f>
        <v>-1123.879</v>
      </c>
      <c r="V35" s="114" t="n">
        <f aca="false">M35/$R$3</f>
        <v>-1123.879</v>
      </c>
      <c r="W35" s="114" t="n">
        <f aca="false">N35/$R$3</f>
        <v>-1123.879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INDEX('[4]Master Data'!$A$2:$B$8,MATCH(WEEKDAY('GNS Bolv Gas MTM'!A36,3),'[4]Master Data'!$A$2:$A$8,0),2)</f>
        <v>W</v>
      </c>
      <c r="D36" s="112" t="n">
        <v>53833670.8762</v>
      </c>
      <c r="E36" s="112" t="n">
        <v>4146490.54767396</v>
      </c>
      <c r="F36" s="112" t="n">
        <v>0</v>
      </c>
      <c r="G36" s="112" t="n">
        <v>-1125222</v>
      </c>
      <c r="I36" s="112" t="n">
        <f aca="false">IF(MONTH($A36)=MONTH($A35),IF(G36=0,I35,G36),0)</f>
        <v>-1125222</v>
      </c>
      <c r="J36" s="112" t="n">
        <f aca="false">IF(MONTH($A36)=MONTH($A35),SUM(I36-I35),I36)</f>
        <v>-1343</v>
      </c>
      <c r="K36" s="112" t="n">
        <f aca="false">IF(WEEKDAY(A36,3)&gt;4,0,(IF(A36&lt;K$2,0,IF(A36&lt;=K$3,1,0))))</f>
        <v>0</v>
      </c>
      <c r="L36" s="112" t="n">
        <f aca="false">J36*K36</f>
        <v>-0</v>
      </c>
      <c r="M36" s="112" t="n">
        <f aca="false">SUM(J$6:J36)</f>
        <v>-1125222</v>
      </c>
      <c r="N36" s="112" t="n">
        <f aca="false">SUM(J$6:J36)</f>
        <v>-1125222</v>
      </c>
      <c r="P36" s="112" t="n">
        <f aca="false">D36/P$3</f>
        <v>53.8336708762</v>
      </c>
      <c r="Q36" s="112" t="n">
        <f aca="false">E36/P$3</f>
        <v>4.14649054767396</v>
      </c>
      <c r="R36" s="112" t="n">
        <f aca="false">F36/R$3</f>
        <v>0</v>
      </c>
      <c r="S36" s="114" t="n">
        <f aca="false">J36/$R$3</f>
        <v>-1.343</v>
      </c>
      <c r="T36" s="114" t="n">
        <f aca="false">L36/$R$3</f>
        <v>-0</v>
      </c>
      <c r="U36" s="114" t="n">
        <f aca="false">I36/$R$3</f>
        <v>-1125.222</v>
      </c>
      <c r="V36" s="114" t="n">
        <f aca="false">M36/$R$3</f>
        <v>-1125.222</v>
      </c>
      <c r="W36" s="114" t="n">
        <f aca="false">N36/$R$3</f>
        <v>-1125.222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INDEX('[4]Master Data'!$A$2:$B$8,MATCH(WEEKDAY('GNS Bolv Gas MTM'!A37,3),'[4]Master Data'!$A$2:$A$8,0),2)</f>
        <v>Th</v>
      </c>
      <c r="D37" s="112" t="n">
        <v>54093871.2869</v>
      </c>
      <c r="E37" s="112" t="n">
        <v>4162481.68207396</v>
      </c>
      <c r="F37" s="112" t="n">
        <v>0</v>
      </c>
      <c r="G37" s="112" t="n">
        <v>-1322</v>
      </c>
      <c r="I37" s="112" t="n">
        <f aca="false">IF(MONTH($A37)=MONTH($A36),IF(G37=0,I36,G37),G37)</f>
        <v>-1322</v>
      </c>
      <c r="J37" s="112" t="n">
        <f aca="false">IF(MONTH($A37)=MONTH($A36),SUM(I37-I36),I37)</f>
        <v>-1322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-1126544</v>
      </c>
      <c r="N37" s="112" t="n">
        <f aca="false">SUM(J$6:J37)</f>
        <v>-1126544</v>
      </c>
      <c r="P37" s="112" t="n">
        <f aca="false">D37/P$3</f>
        <v>54.0938712869</v>
      </c>
      <c r="Q37" s="112" t="n">
        <f aca="false">E37/P$3</f>
        <v>4.16248168207396</v>
      </c>
      <c r="R37" s="112" t="n">
        <f aca="false">F37/R$3</f>
        <v>0</v>
      </c>
      <c r="S37" s="114" t="n">
        <f aca="false">J37/$R$3</f>
        <v>-1.322</v>
      </c>
      <c r="T37" s="114" t="n">
        <f aca="false">L37/$R$3</f>
        <v>-0</v>
      </c>
      <c r="U37" s="114" t="n">
        <f aca="false">I37/$R$3</f>
        <v>-1.322</v>
      </c>
      <c r="V37" s="114" t="n">
        <f aca="false">M37/$R$3</f>
        <v>-1126.544</v>
      </c>
      <c r="W37" s="114" t="n">
        <f aca="false">N37/$R$3</f>
        <v>-1126.544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INDEX('[4]Master Data'!$A$2:$B$8,MATCH(WEEKDAY('GNS Bolv Gas MTM'!A38,3),'[4]Master Data'!$A$2:$A$8,0),2)</f>
        <v>F</v>
      </c>
      <c r="D38" s="112" t="n">
        <v>53688515.6053</v>
      </c>
      <c r="E38" s="112" t="n">
        <v>4145409.60537396</v>
      </c>
      <c r="F38" s="112" t="n">
        <v>0</v>
      </c>
      <c r="G38" s="112" t="n">
        <v>-2616</v>
      </c>
      <c r="I38" s="112" t="n">
        <f aca="false">IF(MONTH($A38)=MONTH($A37),IF(G38=0,I37,G38),G38)</f>
        <v>-2616</v>
      </c>
      <c r="J38" s="112" t="n">
        <f aca="false">IF(MONTH($A38)=MONTH($A37),SUM(I38-I37),I38)</f>
        <v>-1294</v>
      </c>
      <c r="K38" s="112" t="n">
        <f aca="false">IF(WEEKDAY(A38,3)&gt;4,0,(IF(A38&lt;K$2,0,IF(A38&lt;=K$3,1,0))))</f>
        <v>0</v>
      </c>
      <c r="L38" s="112" t="n">
        <f aca="false">J38*K38</f>
        <v>-0</v>
      </c>
      <c r="M38" s="112" t="n">
        <f aca="false">SUM(J$6:J38)</f>
        <v>-1127838</v>
      </c>
      <c r="N38" s="112" t="n">
        <f aca="false">SUM(J$6:J38)</f>
        <v>-1127838</v>
      </c>
      <c r="P38" s="112" t="n">
        <f aca="false">D38/P$3</f>
        <v>53.6885156053</v>
      </c>
      <c r="Q38" s="112" t="n">
        <f aca="false">E38/P$3</f>
        <v>4.14540960537396</v>
      </c>
      <c r="R38" s="112" t="n">
        <f aca="false">F38/R$3</f>
        <v>0</v>
      </c>
      <c r="S38" s="114" t="n">
        <f aca="false">J38/$R$3</f>
        <v>-1.294</v>
      </c>
      <c r="T38" s="114" t="n">
        <f aca="false">L38/$R$3</f>
        <v>-0</v>
      </c>
      <c r="U38" s="114" t="n">
        <f aca="false">I38/$R$3</f>
        <v>-2.616</v>
      </c>
      <c r="V38" s="114" t="n">
        <f aca="false">M38/$R$3</f>
        <v>-1127.838</v>
      </c>
      <c r="W38" s="114" t="n">
        <f aca="false">N38/$R$3</f>
        <v>-1127.838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INDEX('[4]Master Data'!$A$2:$B$8,MATCH(WEEKDAY('GNS Bolv Gas MTM'!A39,3),'[4]Master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-2616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-1127838</v>
      </c>
      <c r="N39" s="112" t="n">
        <f aca="false">SUM(J$6:J39)</f>
        <v>-1127838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-2.616</v>
      </c>
      <c r="V39" s="114" t="n">
        <f aca="false">M39/$R$3</f>
        <v>-1127.838</v>
      </c>
      <c r="W39" s="114" t="n">
        <f aca="false">N39/$R$3</f>
        <v>-1127.838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INDEX('[4]Master Data'!$A$2:$B$8,MATCH(WEEKDAY('GNS Bolv Gas MTM'!A40,3),'[4]Master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-2616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-1127838</v>
      </c>
      <c r="N40" s="112" t="n">
        <f aca="false">SUM(J$6:J40)</f>
        <v>-1127838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-2.616</v>
      </c>
      <c r="V40" s="114" t="n">
        <f aca="false">M40/$R$3</f>
        <v>-1127.838</v>
      </c>
      <c r="W40" s="114" t="n">
        <f aca="false">N40/$R$3</f>
        <v>-1127.838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INDEX('[4]Master Data'!$A$2:$B$8,MATCH(WEEKDAY('GNS Bolv Gas MTM'!A41,3),'[4]Master Data'!$A$2:$A$8,0),2)</f>
        <v>M</v>
      </c>
      <c r="D41" s="112" t="n">
        <v>53688696.9215</v>
      </c>
      <c r="E41" s="112" t="n">
        <v>4159886.62157396</v>
      </c>
      <c r="F41" s="112" t="n">
        <v>0</v>
      </c>
      <c r="G41" s="112" t="n">
        <v>-6472</v>
      </c>
      <c r="I41" s="112" t="n">
        <f aca="false">IF(MONTH($A41)=MONTH($A40),IF(G41=0,I40,G41),G41)</f>
        <v>-6472</v>
      </c>
      <c r="J41" s="112" t="n">
        <f aca="false">IF(MONTH($A41)=MONTH($A40),SUM(I41-I40),I41)</f>
        <v>-3856</v>
      </c>
      <c r="K41" s="112" t="n">
        <f aca="false">IF(WEEKDAY(A41,3)&gt;4,0,(IF(A41&lt;K$2,0,IF(A41&lt;=K$3,1,0))))</f>
        <v>0</v>
      </c>
      <c r="L41" s="112" t="n">
        <f aca="false">J41*K41</f>
        <v>-0</v>
      </c>
      <c r="M41" s="112" t="n">
        <f aca="false">SUM(J$6:J41)</f>
        <v>-1131694</v>
      </c>
      <c r="N41" s="112" t="n">
        <f aca="false">SUM(J$6:J41)</f>
        <v>-1131694</v>
      </c>
      <c r="P41" s="112" t="n">
        <f aca="false">D41/P$3</f>
        <v>53.6886969215</v>
      </c>
      <c r="Q41" s="112" t="n">
        <f aca="false">E41/P$3</f>
        <v>4.15988662157396</v>
      </c>
      <c r="R41" s="112" t="n">
        <f aca="false">F41/R$3</f>
        <v>0</v>
      </c>
      <c r="S41" s="114" t="n">
        <f aca="false">J41/$R$3</f>
        <v>-3.856</v>
      </c>
      <c r="T41" s="114" t="n">
        <f aca="false">L41/$R$3</f>
        <v>-0</v>
      </c>
      <c r="U41" s="114" t="n">
        <f aca="false">I41/$R$3</f>
        <v>-6.472</v>
      </c>
      <c r="V41" s="114" t="n">
        <f aca="false">M41/$R$3</f>
        <v>-1131.694</v>
      </c>
      <c r="W41" s="114" t="n">
        <f aca="false">N41/$R$3</f>
        <v>-1131.694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INDEX('[4]Master Data'!$A$2:$B$8,MATCH(WEEKDAY('GNS Bolv Gas MTM'!A42,3),'[4]Master Data'!$A$2:$A$8,0),2)</f>
        <v>T</v>
      </c>
      <c r="D42" s="112" t="n">
        <v>53503374.9653</v>
      </c>
      <c r="E42" s="112" t="n">
        <v>4154700.90417396</v>
      </c>
      <c r="F42" s="112" t="n">
        <v>0</v>
      </c>
      <c r="G42" s="112" t="n">
        <v>-7733</v>
      </c>
      <c r="I42" s="112" t="n">
        <f aca="false">IF(MONTH($A42)=MONTH($A41),IF(G42=0,I41,G42),G42)</f>
        <v>-7733</v>
      </c>
      <c r="J42" s="112" t="n">
        <f aca="false">IF(MONTH($A42)=MONTH($A41),SUM(I42-I41),I42)</f>
        <v>-1261</v>
      </c>
      <c r="K42" s="112" t="n">
        <f aca="false">IF(WEEKDAY(A42,3)&gt;4,0,(IF(A42&lt;K$2,0,IF(A42&lt;=K$3,1,0))))</f>
        <v>0</v>
      </c>
      <c r="L42" s="112" t="n">
        <f aca="false">J42*K42</f>
        <v>-0</v>
      </c>
      <c r="M42" s="112" t="n">
        <f aca="false">SUM(J$6:J42)</f>
        <v>-1132955</v>
      </c>
      <c r="N42" s="112" t="n">
        <f aca="false">SUM(J$6:J42)</f>
        <v>-1132955</v>
      </c>
      <c r="P42" s="112" t="n">
        <f aca="false">D42/P$3</f>
        <v>53.5033749653</v>
      </c>
      <c r="Q42" s="112" t="n">
        <f aca="false">E42/P$3</f>
        <v>4.15470090417396</v>
      </c>
      <c r="R42" s="112" t="n">
        <f aca="false">F42/R$3</f>
        <v>0</v>
      </c>
      <c r="S42" s="114" t="n">
        <f aca="false">J42/$R$3</f>
        <v>-1.261</v>
      </c>
      <c r="T42" s="114" t="n">
        <f aca="false">L42/$R$3</f>
        <v>-0</v>
      </c>
      <c r="U42" s="114" t="n">
        <f aca="false">I42/$R$3</f>
        <v>-7.733</v>
      </c>
      <c r="V42" s="114" t="n">
        <f aca="false">M42/$R$3</f>
        <v>-1132.955</v>
      </c>
      <c r="W42" s="114" t="n">
        <f aca="false">N42/$R$3</f>
        <v>-1132.955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INDEX('[4]Master Data'!$A$2:$B$8,MATCH(WEEKDAY('GNS Bolv Gas MTM'!A43,3),'[4]Master Data'!$A$2:$A$8,0),2)</f>
        <v>W</v>
      </c>
      <c r="D43" s="112" t="n">
        <v>53699011.9022</v>
      </c>
      <c r="E43" s="112" t="n">
        <v>4167436.66667396</v>
      </c>
      <c r="F43" s="112" t="n">
        <v>0</v>
      </c>
      <c r="G43" s="112" t="n">
        <v>-8997</v>
      </c>
      <c r="I43" s="112" t="n">
        <f aca="false">IF(MONTH($A43)=MONTH($A42),IF(G43=0,I42,G43),G43)</f>
        <v>-8997</v>
      </c>
      <c r="J43" s="112" t="n">
        <f aca="false">IF(MONTH($A43)=MONTH($A42),SUM(I43-I42),I43)</f>
        <v>-1264</v>
      </c>
      <c r="K43" s="112" t="n">
        <f aca="false">IF(WEEKDAY(A43,3)&gt;4,0,(IF(A43&lt;K$2,0,IF(A43&lt;=K$3,1,0))))</f>
        <v>0</v>
      </c>
      <c r="L43" s="112" t="n">
        <f aca="false">J43*K43</f>
        <v>-0</v>
      </c>
      <c r="M43" s="112" t="n">
        <f aca="false">SUM(J$6:J43)</f>
        <v>-1134219</v>
      </c>
      <c r="N43" s="112" t="n">
        <f aca="false">SUM(J$6:J43)</f>
        <v>-1134219</v>
      </c>
      <c r="P43" s="112" t="n">
        <f aca="false">D43/P$3</f>
        <v>53.6990119022</v>
      </c>
      <c r="Q43" s="112" t="n">
        <f aca="false">E43/P$3</f>
        <v>4.16743666667396</v>
      </c>
      <c r="R43" s="112" t="n">
        <f aca="false">F43/R$3</f>
        <v>0</v>
      </c>
      <c r="S43" s="114" t="n">
        <f aca="false">J43/$R$3</f>
        <v>-1.264</v>
      </c>
      <c r="T43" s="114" t="n">
        <f aca="false">L43/$R$3</f>
        <v>-0</v>
      </c>
      <c r="U43" s="114" t="n">
        <f aca="false">I43/$R$3</f>
        <v>-8.997</v>
      </c>
      <c r="V43" s="114" t="n">
        <f aca="false">M43/$R$3</f>
        <v>-1134.219</v>
      </c>
      <c r="W43" s="114" t="n">
        <f aca="false">N43/$R$3</f>
        <v>-1134.219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INDEX('[4]Master Data'!$A$2:$B$8,MATCH(WEEKDAY('GNS Bolv Gas MTM'!A44,3),'[4]Master Data'!$A$2:$A$8,0),2)</f>
        <v>Th</v>
      </c>
      <c r="D44" s="112" t="n">
        <v>53719551.5976</v>
      </c>
      <c r="E44" s="112" t="n">
        <v>4168456.81347396</v>
      </c>
      <c r="F44" s="112" t="n">
        <v>0</v>
      </c>
      <c r="G44" s="112" t="n">
        <v>-10246</v>
      </c>
      <c r="I44" s="112" t="n">
        <f aca="false">IF(MONTH($A44)=MONTH($A43),IF(G44=0,I43,G44),G44)</f>
        <v>-10246</v>
      </c>
      <c r="J44" s="112" t="n">
        <f aca="false">IF(MONTH($A44)=MONTH($A43),SUM(I44-I43),I44)</f>
        <v>-1249</v>
      </c>
      <c r="K44" s="112" t="n">
        <f aca="false">IF(WEEKDAY(A44,3)&gt;4,0,(IF(A44&lt;K$2,0,IF(A44&lt;=K$3,1,0))))</f>
        <v>0</v>
      </c>
      <c r="L44" s="112" t="n">
        <f aca="false">J44*K44</f>
        <v>-0</v>
      </c>
      <c r="M44" s="112" t="n">
        <f aca="false">SUM(J$6:J44)</f>
        <v>-1135468</v>
      </c>
      <c r="N44" s="112" t="n">
        <f aca="false">SUM(J$6:J44)</f>
        <v>-1135468</v>
      </c>
      <c r="P44" s="112" t="n">
        <f aca="false">D44/P$3</f>
        <v>53.7195515976</v>
      </c>
      <c r="Q44" s="112" t="n">
        <f aca="false">E44/P$3</f>
        <v>4.16845681347396</v>
      </c>
      <c r="R44" s="112" t="n">
        <f aca="false">F44/R$3</f>
        <v>0</v>
      </c>
      <c r="S44" s="114" t="n">
        <f aca="false">J44/$R$3</f>
        <v>-1.249</v>
      </c>
      <c r="T44" s="114" t="n">
        <f aca="false">L44/$R$3</f>
        <v>-0</v>
      </c>
      <c r="U44" s="114" t="n">
        <f aca="false">I44/$R$3</f>
        <v>-10.246</v>
      </c>
      <c r="V44" s="114" t="n">
        <f aca="false">M44/$R$3</f>
        <v>-1135.468</v>
      </c>
      <c r="W44" s="114" t="n">
        <f aca="false">N44/$R$3</f>
        <v>-1135.468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INDEX('[4]Master Data'!$A$2:$B$8,MATCH(WEEKDAY('GNS Bolv Gas MTM'!A45,3),'[4]Master Data'!$A$2:$A$8,0),2)</f>
        <v>F</v>
      </c>
      <c r="D45" s="112" t="n">
        <v>54014959.6962</v>
      </c>
      <c r="E45" s="112" t="n">
        <v>4189098.37527396</v>
      </c>
      <c r="F45" s="112" t="n">
        <v>0</v>
      </c>
      <c r="G45" s="112" t="n">
        <v>-11495</v>
      </c>
      <c r="I45" s="112" t="n">
        <f aca="false">IF(MONTH($A45)=MONTH($A44),IF(G45=0,I44,G45),G45)</f>
        <v>-11495</v>
      </c>
      <c r="J45" s="112" t="n">
        <f aca="false">IF(MONTH($A45)=MONTH($A44),SUM(I45-I44),I45)</f>
        <v>-1249</v>
      </c>
      <c r="K45" s="112" t="n">
        <f aca="false">IF(WEEKDAY(A45,3)&gt;4,0,(IF(A45&lt;K$2,0,IF(A45&lt;=K$3,1,0))))</f>
        <v>0</v>
      </c>
      <c r="L45" s="112" t="n">
        <f aca="false">J45*K45</f>
        <v>-0</v>
      </c>
      <c r="M45" s="112" t="n">
        <f aca="false">SUM(J$6:J45)</f>
        <v>-1136717</v>
      </c>
      <c r="N45" s="112" t="n">
        <f aca="false">SUM(J$6:J45)</f>
        <v>-1136717</v>
      </c>
      <c r="P45" s="112" t="n">
        <f aca="false">D45/P$3</f>
        <v>54.0149596962</v>
      </c>
      <c r="Q45" s="112" t="n">
        <f aca="false">E45/P$3</f>
        <v>4.18909837527396</v>
      </c>
      <c r="R45" s="112" t="n">
        <f aca="false">F45/R$3</f>
        <v>0</v>
      </c>
      <c r="S45" s="114" t="n">
        <f aca="false">J45/$R$3</f>
        <v>-1.249</v>
      </c>
      <c r="T45" s="114" t="n">
        <f aca="false">L45/$R$3</f>
        <v>-0</v>
      </c>
      <c r="U45" s="114" t="n">
        <f aca="false">I45/$R$3</f>
        <v>-11.495</v>
      </c>
      <c r="V45" s="114" t="n">
        <f aca="false">M45/$R$3</f>
        <v>-1136.717</v>
      </c>
      <c r="W45" s="114" t="n">
        <f aca="false">N45/$R$3</f>
        <v>-1136.717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INDEX('[4]Master Data'!$A$2:$B$8,MATCH(WEEKDAY('GNS Bolv Gas MTM'!A46,3),'[4]Master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-11495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-1136717</v>
      </c>
      <c r="N46" s="112" t="n">
        <f aca="false">SUM(J$6:J46)</f>
        <v>-1136717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-11.495</v>
      </c>
      <c r="V46" s="114" t="n">
        <f aca="false">M46/$R$3</f>
        <v>-1136.717</v>
      </c>
      <c r="W46" s="114" t="n">
        <f aca="false">N46/$R$3</f>
        <v>-1136.717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INDEX('[4]Master Data'!$A$2:$B$8,MATCH(WEEKDAY('GNS Bolv Gas MTM'!A47,3),'[4]Master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-11495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-1136717</v>
      </c>
      <c r="N47" s="112" t="n">
        <f aca="false">SUM(J$6:J47)</f>
        <v>-1136717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-11.495</v>
      </c>
      <c r="V47" s="114" t="n">
        <f aca="false">M47/$R$3</f>
        <v>-1136.717</v>
      </c>
      <c r="W47" s="114" t="n">
        <f aca="false">N47/$R$3</f>
        <v>-1136.717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INDEX('[4]Master Data'!$A$2:$B$8,MATCH(WEEKDAY('GNS Bolv Gas MTM'!A48,3),'[4]Master Data'!$A$2:$A$8,0),2)</f>
        <v>M</v>
      </c>
      <c r="D48" s="112" t="n">
        <v>54044955.4265</v>
      </c>
      <c r="E48" s="112" t="n">
        <v>4202381.01817396</v>
      </c>
      <c r="F48" s="112" t="n">
        <v>0</v>
      </c>
      <c r="G48" s="112" t="n">
        <v>-15153</v>
      </c>
      <c r="I48" s="112" t="n">
        <f aca="false">IF(MONTH($A48)=MONTH($A47),IF(G48=0,I47,G48),G48)</f>
        <v>-15153</v>
      </c>
      <c r="J48" s="112" t="n">
        <f aca="false">IF(MONTH($A48)=MONTH($A47),SUM(I48-I47),I48)</f>
        <v>-3658</v>
      </c>
      <c r="K48" s="112" t="n">
        <f aca="false">IF(WEEKDAY(A48,3)&gt;4,0,(IF(A48&lt;K$2,0,IF(A48&lt;=K$3,1,0))))</f>
        <v>0</v>
      </c>
      <c r="L48" s="112" t="n">
        <f aca="false">J48*K48</f>
        <v>-0</v>
      </c>
      <c r="M48" s="112" t="n">
        <f aca="false">SUM(J$6:J48)</f>
        <v>-1140375</v>
      </c>
      <c r="N48" s="112" t="n">
        <f aca="false">SUM(J$6:J48)</f>
        <v>-1140375</v>
      </c>
      <c r="P48" s="112" t="n">
        <f aca="false">D48/P$3</f>
        <v>54.0449554265</v>
      </c>
      <c r="Q48" s="112" t="n">
        <f aca="false">E48/P$3</f>
        <v>4.20238101817396</v>
      </c>
      <c r="R48" s="112" t="n">
        <f aca="false">F48/R$3</f>
        <v>0</v>
      </c>
      <c r="S48" s="114" t="n">
        <f aca="false">J48/$R$3</f>
        <v>-3.658</v>
      </c>
      <c r="T48" s="114" t="n">
        <f aca="false">L48/$R$3</f>
        <v>-0</v>
      </c>
      <c r="U48" s="114" t="n">
        <f aca="false">I48/$R$3</f>
        <v>-15.153</v>
      </c>
      <c r="V48" s="114" t="n">
        <f aca="false">M48/$R$3</f>
        <v>-1140.375</v>
      </c>
      <c r="W48" s="114" t="n">
        <f aca="false">N48/$R$3</f>
        <v>-1140.375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INDEX('[4]Master Data'!$A$2:$B$8,MATCH(WEEKDAY('GNS Bolv Gas MTM'!A49,3),'[4]Master Data'!$A$2:$A$8,0),2)</f>
        <v>T</v>
      </c>
      <c r="D49" s="112" t="n">
        <v>53981233.4781</v>
      </c>
      <c r="E49" s="112" t="n">
        <v>4198818.80407396</v>
      </c>
      <c r="F49" s="112" t="n">
        <v>0</v>
      </c>
      <c r="G49" s="112" t="n">
        <v>-16352</v>
      </c>
      <c r="I49" s="112" t="n">
        <f aca="false">IF(MONTH($A49)=MONTH($A48),IF(G49=0,I48,G49),G49)</f>
        <v>-16352</v>
      </c>
      <c r="J49" s="112" t="n">
        <f aca="false">IF(MONTH($A49)=MONTH($A48),SUM(I49-I48),I49)</f>
        <v>-1199</v>
      </c>
      <c r="K49" s="112" t="n">
        <f aca="false">IF(WEEKDAY(A49,3)&gt;4,0,(IF(A49&lt;K$2,0,IF(A49&lt;=K$3,1,0))))</f>
        <v>0</v>
      </c>
      <c r="L49" s="112" t="n">
        <f aca="false">J49*K49</f>
        <v>-0</v>
      </c>
      <c r="M49" s="112" t="n">
        <f aca="false">SUM(J$6:J49)</f>
        <v>-1141574</v>
      </c>
      <c r="N49" s="112" t="n">
        <f aca="false">SUM(J$6:J49)</f>
        <v>-1141574</v>
      </c>
      <c r="P49" s="112" t="n">
        <f aca="false">D49/P$3</f>
        <v>53.9812334781</v>
      </c>
      <c r="Q49" s="112" t="n">
        <f aca="false">E49/P$3</f>
        <v>4.19881880407396</v>
      </c>
      <c r="R49" s="112" t="n">
        <f aca="false">F49/R$3</f>
        <v>0</v>
      </c>
      <c r="S49" s="114" t="n">
        <f aca="false">J49/$R$3</f>
        <v>-1.199</v>
      </c>
      <c r="T49" s="114" t="n">
        <f aca="false">L49/$R$3</f>
        <v>-0</v>
      </c>
      <c r="U49" s="114" t="n">
        <f aca="false">I49/$R$3</f>
        <v>-16.352</v>
      </c>
      <c r="V49" s="114" t="n">
        <f aca="false">M49/$R$3</f>
        <v>-1141.574</v>
      </c>
      <c r="W49" s="114" t="n">
        <f aca="false">N49/$R$3</f>
        <v>-1141.574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INDEX('[4]Master Data'!$A$2:$B$8,MATCH(WEEKDAY('GNS Bolv Gas MTM'!A50,3),'[4]Master Data'!$A$2:$A$8,0),2)</f>
        <v>W</v>
      </c>
      <c r="D50" s="112" t="n">
        <v>53608009.4384</v>
      </c>
      <c r="E50" s="112" t="n">
        <v>4185982.19857396</v>
      </c>
      <c r="F50" s="112" t="n">
        <v>0</v>
      </c>
      <c r="G50" s="112" t="n">
        <v>-17528</v>
      </c>
      <c r="I50" s="112" t="n">
        <f aca="false">IF(MONTH($A50)=MONTH($A49),IF(G50=0,I49,G50),G50)</f>
        <v>-17528</v>
      </c>
      <c r="J50" s="112" t="n">
        <f aca="false">IF(MONTH($A50)=MONTH($A49),SUM(I50-I49),I50)</f>
        <v>-1176</v>
      </c>
      <c r="K50" s="112" t="n">
        <f aca="false">IF(WEEKDAY(A50,3)&gt;4,0,(IF(A50&lt;K$2,0,IF(A50&lt;=K$3,1,0))))</f>
        <v>0</v>
      </c>
      <c r="L50" s="112" t="n">
        <f aca="false">J50*K50</f>
        <v>-0</v>
      </c>
      <c r="M50" s="112" t="n">
        <f aca="false">SUM(J$6:J50)</f>
        <v>-1142750</v>
      </c>
      <c r="N50" s="112" t="n">
        <f aca="false">SUM(J$6:J50)</f>
        <v>-1142750</v>
      </c>
      <c r="P50" s="112" t="n">
        <f aca="false">D50/P$3</f>
        <v>53.6080094384</v>
      </c>
      <c r="Q50" s="112" t="n">
        <f aca="false">E50/P$3</f>
        <v>4.18598219857396</v>
      </c>
      <c r="R50" s="112" t="n">
        <f aca="false">F50/R$3</f>
        <v>0</v>
      </c>
      <c r="S50" s="114" t="n">
        <f aca="false">J50/$R$3</f>
        <v>-1.176</v>
      </c>
      <c r="T50" s="114" t="n">
        <f aca="false">L50/$R$3</f>
        <v>-0</v>
      </c>
      <c r="U50" s="114" t="n">
        <f aca="false">I50/$R$3</f>
        <v>-17.528</v>
      </c>
      <c r="V50" s="114" t="n">
        <f aca="false">M50/$R$3</f>
        <v>-1142.75</v>
      </c>
      <c r="W50" s="114" t="n">
        <f aca="false">N50/$R$3</f>
        <v>-1142.75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INDEX('[4]Master Data'!$A$2:$B$8,MATCH(WEEKDAY('GNS Bolv Gas MTM'!A51,3),'[4]Master Data'!$A$2:$A$8,0),2)</f>
        <v>Th</v>
      </c>
      <c r="D51" s="112" t="n">
        <v>53395305.8733</v>
      </c>
      <c r="E51" s="112" t="n">
        <v>4180752.42117396</v>
      </c>
      <c r="F51" s="112" t="n">
        <v>0</v>
      </c>
      <c r="G51" s="112" t="n">
        <v>-18701</v>
      </c>
      <c r="I51" s="112" t="n">
        <f aca="false">IF(MONTH($A51)=MONTH($A50),IF(G51=0,I50,G51),G51)</f>
        <v>-18701</v>
      </c>
      <c r="J51" s="112" t="n">
        <f aca="false">IF(MONTH($A51)=MONTH($A50),SUM(I51-I50),I51)</f>
        <v>-1173</v>
      </c>
      <c r="K51" s="112" t="n">
        <f aca="false">IF(WEEKDAY(A51,3)&gt;4,0,(IF(A51&lt;K$2,0,IF(A51&lt;=K$3,1,0))))</f>
        <v>0</v>
      </c>
      <c r="L51" s="112" t="n">
        <f aca="false">J51*K51</f>
        <v>-0</v>
      </c>
      <c r="M51" s="112" t="n">
        <f aca="false">SUM(J$6:J51)</f>
        <v>-1143923</v>
      </c>
      <c r="N51" s="112" t="n">
        <f aca="false">SUM(J$6:J51)</f>
        <v>-1143923</v>
      </c>
      <c r="P51" s="112" t="n">
        <f aca="false">D51/P$3</f>
        <v>53.3953058733</v>
      </c>
      <c r="Q51" s="112" t="n">
        <f aca="false">E51/P$3</f>
        <v>4.18075242117396</v>
      </c>
      <c r="R51" s="112" t="n">
        <f aca="false">F51/R$3</f>
        <v>0</v>
      </c>
      <c r="S51" s="114" t="n">
        <f aca="false">J51/$R$3</f>
        <v>-1.173</v>
      </c>
      <c r="T51" s="114" t="n">
        <f aca="false">L51/$R$3</f>
        <v>-0</v>
      </c>
      <c r="U51" s="114" t="n">
        <f aca="false">I51/$R$3</f>
        <v>-18.701</v>
      </c>
      <c r="V51" s="114" t="n">
        <f aca="false">M51/$R$3</f>
        <v>-1143.923</v>
      </c>
      <c r="W51" s="114" t="n">
        <f aca="false">N51/$R$3</f>
        <v>-1143.923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INDEX('[4]Master Data'!$A$2:$B$8,MATCH(WEEKDAY('GNS Bolv Gas MTM'!A52,3),'[4]Master Data'!$A$2:$A$8,0),2)</f>
        <v>F</v>
      </c>
      <c r="D52" s="112" t="n">
        <v>53868201.6626</v>
      </c>
      <c r="E52" s="112" t="n">
        <v>4211488.80727396</v>
      </c>
      <c r="F52" s="112" t="n">
        <v>0</v>
      </c>
      <c r="G52" s="112" t="n">
        <v>-19888</v>
      </c>
      <c r="I52" s="112" t="n">
        <f aca="false">IF(MONTH($A52)=MONTH($A51),IF(G52=0,I51,G52),G52)</f>
        <v>-19888</v>
      </c>
      <c r="J52" s="112" t="n">
        <f aca="false">IF(MONTH($A52)=MONTH($A51),SUM(I52-I51),I52)</f>
        <v>-1187</v>
      </c>
      <c r="K52" s="112" t="n">
        <f aca="false">IF(WEEKDAY(A52,3)&gt;4,0,(IF(A52&lt;K$2,0,IF(A52&lt;=K$3,1,0))))</f>
        <v>0</v>
      </c>
      <c r="L52" s="112" t="n">
        <f aca="false">J52*K52</f>
        <v>-0</v>
      </c>
      <c r="M52" s="112" t="n">
        <f aca="false">SUM(J$6:J52)</f>
        <v>-1145110</v>
      </c>
      <c r="N52" s="112" t="n">
        <f aca="false">SUM(J$6:J52)</f>
        <v>-1145110</v>
      </c>
      <c r="P52" s="112" t="n">
        <f aca="false">D52/P$3</f>
        <v>53.8682016626</v>
      </c>
      <c r="Q52" s="112" t="n">
        <f aca="false">E52/P$3</f>
        <v>4.21148880727396</v>
      </c>
      <c r="R52" s="112" t="n">
        <f aca="false">F52/R$3</f>
        <v>0</v>
      </c>
      <c r="S52" s="114" t="n">
        <f aca="false">J52/$R$3</f>
        <v>-1.187</v>
      </c>
      <c r="T52" s="114" t="n">
        <f aca="false">L52/$R$3</f>
        <v>-0</v>
      </c>
      <c r="U52" s="114" t="n">
        <f aca="false">I52/$R$3</f>
        <v>-19.888</v>
      </c>
      <c r="V52" s="114" t="n">
        <f aca="false">M52/$R$3</f>
        <v>-1145.11</v>
      </c>
      <c r="W52" s="114" t="n">
        <f aca="false">N52/$R$3</f>
        <v>-1145.11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INDEX('[4]Master Data'!$A$2:$B$8,MATCH(WEEKDAY('GNS Bolv Gas MTM'!A53,3),'[4]Master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-19888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-1145110</v>
      </c>
      <c r="N53" s="112" t="n">
        <f aca="false">SUM(J$6:J53)</f>
        <v>-1145110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-19.888</v>
      </c>
      <c r="V53" s="114" t="n">
        <f aca="false">M53/$R$3</f>
        <v>-1145.11</v>
      </c>
      <c r="W53" s="114" t="n">
        <f aca="false">N53/$R$3</f>
        <v>-1145.11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INDEX('[4]Master Data'!$A$2:$B$8,MATCH(WEEKDAY('GNS Bolv Gas MTM'!A54,3),'[4]Master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-19888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-1145110</v>
      </c>
      <c r="N54" s="112" t="n">
        <f aca="false">SUM(J$6:J54)</f>
        <v>-1145110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-19.888</v>
      </c>
      <c r="V54" s="114" t="n">
        <f aca="false">M54/$R$3</f>
        <v>-1145.11</v>
      </c>
      <c r="W54" s="114" t="n">
        <f aca="false">N54/$R$3</f>
        <v>-1145.11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INDEX('[4]Master Data'!$A$2:$B$8,MATCH(WEEKDAY('GNS Bolv Gas MTM'!A55,3),'[4]Master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-19888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-1145110</v>
      </c>
      <c r="N55" s="112" t="n">
        <f aca="false">SUM(J$6:J55)</f>
        <v>-1145110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-19.888</v>
      </c>
      <c r="V55" s="114" t="n">
        <f aca="false">M55/$R$3</f>
        <v>-1145.11</v>
      </c>
      <c r="W55" s="114" t="n">
        <f aca="false">N55/$R$3</f>
        <v>-1145.11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INDEX('[4]Master Data'!$A$2:$B$8,MATCH(WEEKDAY('GNS Bolv Gas MTM'!A56,3),'[4]Master Data'!$A$2:$A$8,0),2)</f>
        <v>T</v>
      </c>
      <c r="D56" s="112" t="n">
        <v>54027519.0482</v>
      </c>
      <c r="E56" s="112" t="n">
        <v>4236688.98547396</v>
      </c>
      <c r="F56" s="112" t="n">
        <v>0</v>
      </c>
      <c r="G56" s="112" t="n">
        <v>-24476</v>
      </c>
      <c r="I56" s="112" t="n">
        <f aca="false">IF(MONTH($A56)=MONTH($A55),IF(G56=0,I55,G56),G56)</f>
        <v>-24476</v>
      </c>
      <c r="J56" s="112" t="n">
        <f aca="false">IF(MONTH($A56)=MONTH($A55),SUM(I56-I55),I56)</f>
        <v>-4588</v>
      </c>
      <c r="K56" s="112" t="n">
        <f aca="false">IF(WEEKDAY(A56,3)&gt;4,0,(IF(A56&lt;K$2,0,IF(A56&lt;=K$3,1,0))))</f>
        <v>0</v>
      </c>
      <c r="L56" s="112" t="n">
        <f aca="false">J56*K56</f>
        <v>-0</v>
      </c>
      <c r="M56" s="112" t="n">
        <f aca="false">SUM(J$6:J56)</f>
        <v>-1149698</v>
      </c>
      <c r="N56" s="112" t="n">
        <f aca="false">SUM(J$6:J56)</f>
        <v>-1149698</v>
      </c>
      <c r="P56" s="112" t="n">
        <f aca="false">D56/P$3</f>
        <v>54.0275190482</v>
      </c>
      <c r="Q56" s="112" t="n">
        <f aca="false">E56/P$3</f>
        <v>4.23668898547396</v>
      </c>
      <c r="R56" s="112" t="n">
        <f aca="false">F56/R$3</f>
        <v>0</v>
      </c>
      <c r="S56" s="114" t="n">
        <f aca="false">J56/$R$3</f>
        <v>-4.588</v>
      </c>
      <c r="T56" s="114" t="n">
        <f aca="false">L56/$R$3</f>
        <v>-0</v>
      </c>
      <c r="U56" s="114" t="n">
        <f aca="false">I56/$R$3</f>
        <v>-24.476</v>
      </c>
      <c r="V56" s="114" t="n">
        <f aca="false">M56/$R$3</f>
        <v>-1149.698</v>
      </c>
      <c r="W56" s="114" t="n">
        <f aca="false">N56/$R$3</f>
        <v>-1149.698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INDEX('[4]Master Data'!$A$2:$B$8,MATCH(WEEKDAY('GNS Bolv Gas MTM'!A57,3),'[4]Master Data'!$A$2:$A$8,0),2)</f>
        <v>W</v>
      </c>
      <c r="D57" s="112" t="n">
        <v>53964822.2715</v>
      </c>
      <c r="E57" s="112" t="n">
        <v>4243314.61837396</v>
      </c>
      <c r="F57" s="112" t="n">
        <v>0</v>
      </c>
      <c r="G57" s="112" t="n">
        <v>-25595</v>
      </c>
      <c r="I57" s="112" t="n">
        <f aca="false">IF(MONTH($A57)=MONTH($A56),IF(G57=0,I56,G57),G57)</f>
        <v>-25595</v>
      </c>
      <c r="J57" s="112" t="n">
        <f aca="false">IF(MONTH($A57)=MONTH($A56),SUM(I57-I56),I57)</f>
        <v>-1119</v>
      </c>
      <c r="K57" s="112" t="n">
        <f aca="false">IF(WEEKDAY(A57,3)&gt;4,0,(IF(A57&lt;K$2,0,IF(A57&lt;=K$3,1,0))))</f>
        <v>0</v>
      </c>
      <c r="L57" s="112" t="n">
        <f aca="false">J57*K57</f>
        <v>-0</v>
      </c>
      <c r="M57" s="112" t="n">
        <f aca="false">SUM(J$6:J57)</f>
        <v>-1150817</v>
      </c>
      <c r="N57" s="112" t="n">
        <f aca="false">SUM(J$6:J57)</f>
        <v>-1150817</v>
      </c>
      <c r="P57" s="112" t="n">
        <f aca="false">D57/P$3</f>
        <v>53.9648222715</v>
      </c>
      <c r="Q57" s="112" t="n">
        <f aca="false">E57/P$3</f>
        <v>4.24331461837396</v>
      </c>
      <c r="R57" s="112" t="n">
        <f aca="false">F57/R$3</f>
        <v>0</v>
      </c>
      <c r="S57" s="114" t="n">
        <f aca="false">J57/$R$3</f>
        <v>-1.119</v>
      </c>
      <c r="T57" s="114" t="n">
        <f aca="false">L57/$R$3</f>
        <v>-0</v>
      </c>
      <c r="U57" s="114" t="n">
        <f aca="false">I57/$R$3</f>
        <v>-25.595</v>
      </c>
      <c r="V57" s="114" t="n">
        <f aca="false">M57/$R$3</f>
        <v>-1150.817</v>
      </c>
      <c r="W57" s="114" t="n">
        <f aca="false">N57/$R$3</f>
        <v>-1150.817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INDEX('[4]Master Data'!$A$2:$B$8,MATCH(WEEKDAY('GNS Bolv Gas MTM'!A58,3),'[4]Master Data'!$A$2:$A$8,0),2)</f>
        <v>Th</v>
      </c>
      <c r="D58" s="112" t="n">
        <v>53828630.1589</v>
      </c>
      <c r="E58" s="112" t="n">
        <v>4256412.28297396</v>
      </c>
      <c r="F58" s="112" t="n">
        <v>0</v>
      </c>
      <c r="G58" s="112" t="n">
        <v>-26702</v>
      </c>
      <c r="I58" s="112" t="n">
        <f aca="false">IF(MONTH($A58)=MONTH($A57),IF(G58=0,I57,G58),G58)</f>
        <v>-26702</v>
      </c>
      <c r="J58" s="112" t="n">
        <f aca="false">IF(MONTH($A58)=MONTH($A57),SUM(I58-I57),I58)</f>
        <v>-1107</v>
      </c>
      <c r="K58" s="112" t="n">
        <f aca="false">IF(WEEKDAY(A58,3)&gt;4,0,(IF(A58&lt;K$2,0,IF(A58&lt;=K$3,1,0))))</f>
        <v>0</v>
      </c>
      <c r="L58" s="112" t="n">
        <f aca="false">J58*K58</f>
        <v>-0</v>
      </c>
      <c r="M58" s="112" t="n">
        <f aca="false">SUM(J$6:J58)</f>
        <v>-1151924</v>
      </c>
      <c r="N58" s="112" t="n">
        <f aca="false">SUM(J$6:J58)</f>
        <v>-1151924</v>
      </c>
      <c r="P58" s="112" t="n">
        <f aca="false">D58/P$3</f>
        <v>53.8286301589</v>
      </c>
      <c r="Q58" s="112" t="n">
        <f aca="false">E58/P$3</f>
        <v>4.25641228297396</v>
      </c>
      <c r="R58" s="112" t="n">
        <f aca="false">F58/R$3</f>
        <v>0</v>
      </c>
      <c r="S58" s="114" t="n">
        <f aca="false">J58/$R$3</f>
        <v>-1.107</v>
      </c>
      <c r="T58" s="114" t="n">
        <f aca="false">L58/$R$3</f>
        <v>-0</v>
      </c>
      <c r="U58" s="114" t="n">
        <f aca="false">I58/$R$3</f>
        <v>-26.702</v>
      </c>
      <c r="V58" s="114" t="n">
        <f aca="false">M58/$R$3</f>
        <v>-1151.924</v>
      </c>
      <c r="W58" s="114" t="n">
        <f aca="false">N58/$R$3</f>
        <v>-1151.924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INDEX('[4]Master Data'!$A$2:$B$8,MATCH(WEEKDAY('GNS Bolv Gas MTM'!A59,3),'[4]Master Data'!$A$2:$A$8,0),2)</f>
        <v>F</v>
      </c>
      <c r="D59" s="112" t="n">
        <v>54071318.3931</v>
      </c>
      <c r="E59" s="112" t="n">
        <v>4276944.19127396</v>
      </c>
      <c r="F59" s="112" t="n">
        <v>0</v>
      </c>
      <c r="G59" s="112" t="n">
        <v>-27809</v>
      </c>
      <c r="I59" s="112" t="n">
        <f aca="false">IF(MONTH($A59)=MONTH($A58),IF(G59=0,I58,G59),G59)</f>
        <v>-27809</v>
      </c>
      <c r="J59" s="112" t="n">
        <f aca="false">IF(MONTH($A59)=MONTH($A58),SUM(I59-I58),I59)</f>
        <v>-1107</v>
      </c>
      <c r="K59" s="112" t="n">
        <f aca="false">IF(WEEKDAY(A59,3)&gt;4,0,(IF(A59&lt;K$2,0,IF(A59&lt;=K$3,1,0))))</f>
        <v>0</v>
      </c>
      <c r="L59" s="112" t="n">
        <f aca="false">J59*K59</f>
        <v>-0</v>
      </c>
      <c r="M59" s="112" t="n">
        <f aca="false">SUM(J$6:J59)</f>
        <v>-1153031</v>
      </c>
      <c r="N59" s="112" t="n">
        <f aca="false">SUM(J$6:J59)</f>
        <v>-1153031</v>
      </c>
      <c r="P59" s="112" t="n">
        <f aca="false">D59/P$3</f>
        <v>54.0713183931</v>
      </c>
      <c r="Q59" s="112" t="n">
        <f aca="false">E59/P$3</f>
        <v>4.27694419127396</v>
      </c>
      <c r="R59" s="112" t="n">
        <f aca="false">F59/R$3</f>
        <v>0</v>
      </c>
      <c r="S59" s="114" t="n">
        <f aca="false">J59/$R$3</f>
        <v>-1.107</v>
      </c>
      <c r="T59" s="114" t="n">
        <f aca="false">L59/$R$3</f>
        <v>-0</v>
      </c>
      <c r="U59" s="114" t="n">
        <f aca="false">I59/$R$3</f>
        <v>-27.809</v>
      </c>
      <c r="V59" s="114" t="n">
        <f aca="false">M59/$R$3</f>
        <v>-1153.031</v>
      </c>
      <c r="W59" s="114" t="n">
        <f aca="false">N59/$R$3</f>
        <v>-1153.031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INDEX('[4]Master Data'!$A$2:$B$8,MATCH(WEEKDAY('GNS Bolv Gas MTM'!A60,3),'[4]Master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-27809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-1153031</v>
      </c>
      <c r="N60" s="112" t="n">
        <f aca="false">SUM(J$6:J60)</f>
        <v>-1153031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-27.809</v>
      </c>
      <c r="V60" s="114" t="n">
        <f aca="false">M60/$R$3</f>
        <v>-1153.031</v>
      </c>
      <c r="W60" s="114" t="n">
        <f aca="false">N60/$R$3</f>
        <v>-1153.031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INDEX('[4]Master Data'!$A$2:$B$8,MATCH(WEEKDAY('GNS Bolv Gas MTM'!A61,3),'[4]Master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-27809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-1153031</v>
      </c>
      <c r="N61" s="112" t="n">
        <f aca="false">SUM(J$6:J61)</f>
        <v>-1153031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-27.809</v>
      </c>
      <c r="V61" s="114" t="n">
        <f aca="false">M61/$R$3</f>
        <v>-1153.031</v>
      </c>
      <c r="W61" s="114" t="n">
        <f aca="false">N61/$R$3</f>
        <v>-1153.031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INDEX('[4]Master Data'!$A$2:$B$8,MATCH(WEEKDAY('GNS Bolv Gas MTM'!A62,3),'[4]Master Data'!$A$2:$A$8,0),2)</f>
        <v>M</v>
      </c>
      <c r="D62" s="112" t="n">
        <v>54377677.5604</v>
      </c>
      <c r="E62" s="112" t="n">
        <v>4300499.50297396</v>
      </c>
      <c r="F62" s="112" t="n">
        <v>0</v>
      </c>
      <c r="G62" s="112" t="n">
        <v>-31066</v>
      </c>
      <c r="I62" s="112" t="n">
        <f aca="false">IF(MONTH($A62)=MONTH($A61),IF(G62=0,I61,G62),G62)</f>
        <v>-31066</v>
      </c>
      <c r="J62" s="112" t="n">
        <f aca="false">IF(MONTH($A62)=MONTH($A61),SUM(I62-I61),I62)</f>
        <v>-3257</v>
      </c>
      <c r="K62" s="112" t="n">
        <f aca="false">IF(WEEKDAY(A62,3)&gt;4,0,(IF(A62&lt;K$2,0,IF(A62&lt;=K$3,1,0))))</f>
        <v>0</v>
      </c>
      <c r="L62" s="112" t="n">
        <f aca="false">J62*K62</f>
        <v>-0</v>
      </c>
      <c r="M62" s="112" t="n">
        <f aca="false">SUM(J$6:J62)</f>
        <v>-1156288</v>
      </c>
      <c r="N62" s="112" t="n">
        <f aca="false">SUM(J$6:J62)</f>
        <v>-1156288</v>
      </c>
      <c r="P62" s="112" t="n">
        <f aca="false">D62/P$3</f>
        <v>54.3776775604</v>
      </c>
      <c r="Q62" s="112" t="n">
        <f aca="false">E62/P$3</f>
        <v>4.30049950297396</v>
      </c>
      <c r="R62" s="112" t="n">
        <f aca="false">F62/R$3</f>
        <v>0</v>
      </c>
      <c r="S62" s="114" t="n">
        <f aca="false">J62/$R$3</f>
        <v>-3.257</v>
      </c>
      <c r="T62" s="114" t="n">
        <f aca="false">L62/$R$3</f>
        <v>-0</v>
      </c>
      <c r="U62" s="114" t="n">
        <f aca="false">I62/$R$3</f>
        <v>-31.066</v>
      </c>
      <c r="V62" s="114" t="n">
        <f aca="false">M62/$R$3</f>
        <v>-1156.288</v>
      </c>
      <c r="W62" s="114" t="n">
        <f aca="false">N62/$R$3</f>
        <v>-1156.288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INDEX('[4]Master Data'!$A$2:$B$8,MATCH(WEEKDAY('GNS Bolv Gas MTM'!A63,3),'[4]Master Data'!$A$2:$A$8,0),2)</f>
        <v>T</v>
      </c>
      <c r="D63" s="112" t="n">
        <v>54852035.6024</v>
      </c>
      <c r="E63" s="112" t="n">
        <v>4315963.17867396</v>
      </c>
      <c r="F63" s="112" t="n">
        <v>0</v>
      </c>
      <c r="G63" s="112" t="n">
        <v>-32134</v>
      </c>
      <c r="I63" s="112" t="n">
        <f aca="false">IF(MONTH($A63)=MONTH($A62),IF(G63=0,I62,G63),G63)</f>
        <v>-32134</v>
      </c>
      <c r="J63" s="112" t="n">
        <f aca="false">IF(MONTH($A63)=MONTH($A62),SUM(I63-I62),I63)</f>
        <v>-1068</v>
      </c>
      <c r="K63" s="112" t="n">
        <f aca="false">IF(WEEKDAY(A63,3)&gt;4,0,(IF(A63&lt;K$2,0,IF(A63&lt;=K$3,1,0))))</f>
        <v>0</v>
      </c>
      <c r="L63" s="112" t="n">
        <f aca="false">J63*K63</f>
        <v>-0</v>
      </c>
      <c r="M63" s="112" t="n">
        <f aca="false">SUM(J$6:J63)</f>
        <v>-1157356</v>
      </c>
      <c r="N63" s="112" t="n">
        <f aca="false">SUM(J$6:J63)</f>
        <v>-1157356</v>
      </c>
      <c r="P63" s="112" t="n">
        <f aca="false">D63/P$3</f>
        <v>54.8520356024</v>
      </c>
      <c r="Q63" s="112" t="n">
        <f aca="false">E63/P$3</f>
        <v>4.31596317867396</v>
      </c>
      <c r="R63" s="112" t="n">
        <f aca="false">F63/R$3</f>
        <v>0</v>
      </c>
      <c r="S63" s="114" t="n">
        <f aca="false">J63/$R$3</f>
        <v>-1.068</v>
      </c>
      <c r="T63" s="114" t="n">
        <f aca="false">L63/$R$3</f>
        <v>-0</v>
      </c>
      <c r="U63" s="114" t="n">
        <f aca="false">I63/$R$3</f>
        <v>-32.134</v>
      </c>
      <c r="V63" s="114" t="n">
        <f aca="false">M63/$R$3</f>
        <v>-1157.356</v>
      </c>
      <c r="W63" s="114" t="n">
        <f aca="false">N63/$R$3</f>
        <v>-1157.356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INDEX('[4]Master Data'!$A$2:$B$8,MATCH(WEEKDAY('GNS Bolv Gas MTM'!A64,3),'[4]Master Data'!$A$2:$A$8,0),2)</f>
        <v>W</v>
      </c>
      <c r="D64" s="112" t="n">
        <v>54015577.791</v>
      </c>
      <c r="E64" s="112" t="n">
        <v>4066894.4930219</v>
      </c>
      <c r="F64" s="112" t="n">
        <v>0</v>
      </c>
      <c r="G64" s="112" t="n">
        <v>-1590893</v>
      </c>
      <c r="I64" s="112" t="n">
        <f aca="false">IF(MONTH($A64)=MONTH($A63),IF(G64=0,I63,G64),G64)</f>
        <v>-1590893</v>
      </c>
      <c r="J64" s="112" t="n">
        <f aca="false">IF(MONTH($A64)=MONTH($A63),SUM(I64-I63),I64)</f>
        <v>-1558759</v>
      </c>
      <c r="K64" s="112" t="n">
        <f aca="false">IF(WEEKDAY(A64,3)&gt;4,0,(IF(A64&lt;K$2,0,IF(A64&lt;=K$3,1,0))))</f>
        <v>0</v>
      </c>
      <c r="L64" s="112" t="n">
        <f aca="false">J64*K64</f>
        <v>-0</v>
      </c>
      <c r="M64" s="112" t="n">
        <f aca="false">SUM(J$6:J64)</f>
        <v>-2716115</v>
      </c>
      <c r="N64" s="112" t="n">
        <f aca="false">SUM(J$6:J64)</f>
        <v>-2716115</v>
      </c>
      <c r="P64" s="112" t="n">
        <f aca="false">D64/P$3</f>
        <v>54.015577791</v>
      </c>
      <c r="Q64" s="112" t="n">
        <f aca="false">E64/P$3</f>
        <v>4.0668944930219</v>
      </c>
      <c r="R64" s="112" t="n">
        <f aca="false">F64/R$3</f>
        <v>0</v>
      </c>
      <c r="S64" s="114" t="n">
        <f aca="false">J64/$R$3</f>
        <v>-1558.759</v>
      </c>
      <c r="T64" s="114" t="n">
        <f aca="false">L64/$R$3</f>
        <v>-0</v>
      </c>
      <c r="U64" s="114" t="n">
        <f aca="false">I64/$R$3</f>
        <v>-1590.893</v>
      </c>
      <c r="V64" s="114" t="n">
        <f aca="false">M64/$R$3</f>
        <v>-2716.115</v>
      </c>
      <c r="W64" s="114" t="n">
        <f aca="false">N64/$R$3</f>
        <v>-2716.115</v>
      </c>
    </row>
    <row r="65" customFormat="false" ht="12.75" hidden="false" customHeight="false" outlineLevel="0" collapsed="false">
      <c r="A65" s="108" t="n">
        <f aca="false">A64+1</f>
        <v>36951</v>
      </c>
      <c r="B65" s="119" t="str">
        <f aca="false">INDEX('[4]Master Data'!$A$2:$B$8,MATCH(WEEKDAY('GNS Bolv Gas MTM'!A65,3),'[4]Master Data'!$A$2:$A$8,0),2)</f>
        <v>Th</v>
      </c>
      <c r="D65" s="112" t="n">
        <v>54210529.6754</v>
      </c>
      <c r="E65" s="112" t="n">
        <v>4077257.9338219</v>
      </c>
      <c r="F65" s="112" t="n">
        <v>0</v>
      </c>
      <c r="G65" s="112" t="n">
        <v>-1772</v>
      </c>
      <c r="I65" s="112" t="n">
        <f aca="false">IF(MONTH($A65)=MONTH($A64),IF(G65=0,I64,G65),G65)</f>
        <v>-1772</v>
      </c>
      <c r="J65" s="112" t="n">
        <f aca="false">IF(MONTH($A65)=MONTH($A64),SUM(I65-I64),I65)</f>
        <v>-1772</v>
      </c>
      <c r="K65" s="112" t="n">
        <f aca="false">IF(WEEKDAY(A65,3)&gt;4,0,(IF(A65&lt;K$2,0,IF(A65&lt;=K$3,1,0))))</f>
        <v>0</v>
      </c>
      <c r="L65" s="112" t="n">
        <f aca="false">J65*K65</f>
        <v>-0</v>
      </c>
      <c r="M65" s="112" t="n">
        <f aca="false">SUM(J$6:J65)</f>
        <v>-2717887</v>
      </c>
      <c r="N65" s="112" t="n">
        <f aca="false">SUM(J$6:J65)</f>
        <v>-2717887</v>
      </c>
      <c r="P65" s="112" t="n">
        <f aca="false">D65/P$3</f>
        <v>54.2105296754</v>
      </c>
      <c r="Q65" s="112" t="n">
        <f aca="false">E65/P$3</f>
        <v>4.0772579338219</v>
      </c>
      <c r="R65" s="112" t="n">
        <f aca="false">F65/R$3</f>
        <v>0</v>
      </c>
      <c r="S65" s="114" t="n">
        <f aca="false">J65/$R$3</f>
        <v>-1.772</v>
      </c>
      <c r="T65" s="114" t="n">
        <f aca="false">L65/$R$3</f>
        <v>-0</v>
      </c>
      <c r="U65" s="114" t="n">
        <f aca="false">I65/$R$3</f>
        <v>-1.772</v>
      </c>
      <c r="V65" s="114" t="n">
        <f aca="false">M65/$R$3</f>
        <v>-2717.887</v>
      </c>
      <c r="W65" s="114" t="n">
        <f aca="false">N65/$R$3</f>
        <v>-2717.887</v>
      </c>
    </row>
    <row r="66" customFormat="false" ht="12.75" hidden="false" customHeight="false" outlineLevel="0" collapsed="false">
      <c r="A66" s="108" t="n">
        <f aca="false">A65+1</f>
        <v>36952</v>
      </c>
      <c r="B66" s="119" t="str">
        <f aca="false">INDEX('[4]Master Data'!$A$2:$B$8,MATCH(WEEKDAY('GNS Bolv Gas MTM'!A66,3),'[4]Master Data'!$A$2:$A$8,0),2)</f>
        <v>F</v>
      </c>
      <c r="D66" s="112" t="n">
        <v>53942878.6069</v>
      </c>
      <c r="E66" s="112" t="n">
        <v>4068225.9796219</v>
      </c>
      <c r="F66" s="112" t="n">
        <v>0</v>
      </c>
      <c r="G66" s="112" t="n">
        <v>-3521</v>
      </c>
      <c r="I66" s="112" t="n">
        <f aca="false">IF(MONTH($A66)=MONTH($A65),IF(G66=0,I65,G66),G66)</f>
        <v>-3521</v>
      </c>
      <c r="J66" s="112" t="n">
        <f aca="false">IF(MONTH($A66)=MONTH($A65),SUM(I66-I65),I66)</f>
        <v>-1749</v>
      </c>
      <c r="K66" s="112" t="n">
        <f aca="false">IF(WEEKDAY(A66,3)&gt;4,0,(IF(A66&lt;K$2,0,IF(A66&lt;=K$3,1,0))))</f>
        <v>0</v>
      </c>
      <c r="L66" s="112" t="n">
        <f aca="false">J66*K66</f>
        <v>-0</v>
      </c>
      <c r="M66" s="112" t="n">
        <f aca="false">SUM(J$6:J66)</f>
        <v>-2719636</v>
      </c>
      <c r="N66" s="112" t="n">
        <f aca="false">SUM(J$6:J66)</f>
        <v>-2719636</v>
      </c>
      <c r="P66" s="112" t="n">
        <f aca="false">D66/P$3</f>
        <v>53.9428786069</v>
      </c>
      <c r="Q66" s="112" t="n">
        <f aca="false">E66/P$3</f>
        <v>4.0682259796219</v>
      </c>
      <c r="R66" s="112" t="n">
        <f aca="false">F66/R$3</f>
        <v>0</v>
      </c>
      <c r="S66" s="114" t="n">
        <f aca="false">J66/$R$3</f>
        <v>-1.749</v>
      </c>
      <c r="T66" s="114" t="n">
        <f aca="false">L66/$R$3</f>
        <v>-0</v>
      </c>
      <c r="U66" s="114" t="n">
        <f aca="false">I66/$R$3</f>
        <v>-3.521</v>
      </c>
      <c r="V66" s="114" t="n">
        <f aca="false">M66/$R$3</f>
        <v>-2719.636</v>
      </c>
      <c r="W66" s="114" t="n">
        <f aca="false">N66/$R$3</f>
        <v>-2719.636</v>
      </c>
    </row>
    <row r="67" customFormat="false" ht="12.75" hidden="false" customHeight="false" outlineLevel="0" collapsed="false">
      <c r="A67" s="108" t="n">
        <f aca="false">A66+1</f>
        <v>36953</v>
      </c>
      <c r="B67" s="119" t="str">
        <f aca="false">INDEX('[4]Master Data'!$A$2:$B$8,MATCH(WEEKDAY('GNS Bolv Gas MTM'!A67,3),'[4]Master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-3521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-2719636</v>
      </c>
      <c r="N67" s="112" t="n">
        <f aca="false">SUM(J$6:J67)</f>
        <v>-2719636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-3.521</v>
      </c>
      <c r="V67" s="114" t="n">
        <f aca="false">M67/$R$3</f>
        <v>-2719.636</v>
      </c>
      <c r="W67" s="114" t="n">
        <f aca="false">N67/$R$3</f>
        <v>-2719.636</v>
      </c>
    </row>
    <row r="68" customFormat="false" ht="12.75" hidden="false" customHeight="false" outlineLevel="0" collapsed="false">
      <c r="A68" s="108" t="n">
        <f aca="false">A67+1</f>
        <v>36954</v>
      </c>
      <c r="B68" s="119" t="str">
        <f aca="false">INDEX('[4]Master Data'!$A$2:$B$8,MATCH(WEEKDAY('GNS Bolv Gas MTM'!A68,3),'[4]Master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-3521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-2719636</v>
      </c>
      <c r="N68" s="112" t="n">
        <f aca="false">SUM(J$6:J68)</f>
        <v>-2719636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-3.521</v>
      </c>
      <c r="V68" s="114" t="n">
        <f aca="false">M68/$R$3</f>
        <v>-2719.636</v>
      </c>
      <c r="W68" s="114" t="n">
        <f aca="false">N68/$R$3</f>
        <v>-2719.636</v>
      </c>
    </row>
    <row r="69" customFormat="false" ht="12.75" hidden="false" customHeight="false" outlineLevel="0" collapsed="false">
      <c r="A69" s="108" t="n">
        <f aca="false">A68+1</f>
        <v>36955</v>
      </c>
      <c r="B69" s="119" t="str">
        <f aca="false">INDEX('[4]Master Data'!$A$2:$B$8,MATCH(WEEKDAY('GNS Bolv Gas MTM'!A69,3),'[4]Master Data'!$A$2:$A$8,0),2)</f>
        <v>M</v>
      </c>
      <c r="D69" s="112" t="n">
        <v>54082267.342</v>
      </c>
      <c r="E69" s="112" t="n">
        <v>4087040.3153219</v>
      </c>
      <c r="F69" s="112" t="n">
        <v>0</v>
      </c>
      <c r="G69" s="112" t="n">
        <v>-8712</v>
      </c>
      <c r="I69" s="112" t="n">
        <f aca="false">IF(MONTH($A69)=MONTH($A68),IF(G69=0,I68,G69),G69)</f>
        <v>-8712</v>
      </c>
      <c r="J69" s="112" t="n">
        <f aca="false">IF(MONTH($A69)=MONTH($A68),SUM(I69-I68),I69)</f>
        <v>-5191</v>
      </c>
      <c r="K69" s="112" t="n">
        <f aca="false">IF(WEEKDAY(A69,3)&gt;4,0,(IF(A69&lt;K$2,0,IF(A69&lt;=K$3,1,0))))</f>
        <v>0</v>
      </c>
      <c r="L69" s="112" t="n">
        <f aca="false">J69*K69</f>
        <v>-0</v>
      </c>
      <c r="M69" s="112" t="n">
        <f aca="false">SUM(J$6:J69)</f>
        <v>-2724827</v>
      </c>
      <c r="N69" s="112" t="n">
        <f aca="false">SUM(J$6:J69)</f>
        <v>-2724827</v>
      </c>
      <c r="P69" s="112" t="n">
        <f aca="false">D69/P$3</f>
        <v>54.082267342</v>
      </c>
      <c r="Q69" s="112" t="n">
        <f aca="false">E69/P$3</f>
        <v>4.0870403153219</v>
      </c>
      <c r="R69" s="112" t="n">
        <f aca="false">F69/R$3</f>
        <v>0</v>
      </c>
      <c r="S69" s="114" t="n">
        <f aca="false">J69/$R$3</f>
        <v>-5.191</v>
      </c>
      <c r="T69" s="114" t="n">
        <f aca="false">L69/$R$3</f>
        <v>-0</v>
      </c>
      <c r="U69" s="114" t="n">
        <f aca="false">I69/$R$3</f>
        <v>-8.712</v>
      </c>
      <c r="V69" s="114" t="n">
        <f aca="false">M69/$R$3</f>
        <v>-2724.827</v>
      </c>
      <c r="W69" s="114" t="n">
        <f aca="false">N69/$R$3</f>
        <v>-2724.827</v>
      </c>
    </row>
    <row r="70" customFormat="false" ht="12.75" hidden="false" customHeight="false" outlineLevel="0" collapsed="false">
      <c r="A70" s="108" t="n">
        <f aca="false">A69+1</f>
        <v>36956</v>
      </c>
      <c r="B70" s="119" t="str">
        <f aca="false">INDEX('[4]Master Data'!$A$2:$B$8,MATCH(WEEKDAY('GNS Bolv Gas MTM'!A70,3),'[4]Master Data'!$A$2:$A$8,0),2)</f>
        <v>T</v>
      </c>
      <c r="D70" s="112" t="n">
        <v>53938373.2154</v>
      </c>
      <c r="E70" s="112" t="n">
        <v>3967111.07441401</v>
      </c>
      <c r="F70" s="112" t="n">
        <v>0</v>
      </c>
      <c r="G70" s="112" t="n">
        <v>-10412</v>
      </c>
      <c r="I70" s="112" t="n">
        <f aca="false">IF(MONTH($A70)=MONTH($A69),IF(G70=0,I69,G70),G70)</f>
        <v>-10412</v>
      </c>
      <c r="J70" s="112" t="n">
        <f aca="false">IF(MONTH($A70)=MONTH($A69),SUM(I70-I69),I70)</f>
        <v>-1700</v>
      </c>
      <c r="K70" s="112" t="n">
        <f aca="false">IF(WEEKDAY(A70,3)&gt;4,0,(IF(A70&lt;K$2,0,IF(A70&lt;=K$3,1,0))))</f>
        <v>0</v>
      </c>
      <c r="L70" s="112" t="n">
        <f aca="false">J70*K70</f>
        <v>-0</v>
      </c>
      <c r="M70" s="112" t="n">
        <f aca="false">SUM(J$6:J70)</f>
        <v>-2726527</v>
      </c>
      <c r="N70" s="112" t="n">
        <f aca="false">SUM(J$6:J70)</f>
        <v>-2726527</v>
      </c>
      <c r="P70" s="112" t="n">
        <f aca="false">D70/P$3</f>
        <v>53.9383732154</v>
      </c>
      <c r="Q70" s="112" t="n">
        <f aca="false">E70/P$3</f>
        <v>3.96711107441401</v>
      </c>
      <c r="R70" s="112" t="n">
        <f aca="false">F70/R$3</f>
        <v>0</v>
      </c>
      <c r="S70" s="114" t="n">
        <f aca="false">J70/$R$3</f>
        <v>-1.7</v>
      </c>
      <c r="T70" s="114" t="n">
        <f aca="false">L70/$R$3</f>
        <v>-0</v>
      </c>
      <c r="U70" s="114" t="n">
        <f aca="false">I70/$R$3</f>
        <v>-10.412</v>
      </c>
      <c r="V70" s="114" t="n">
        <f aca="false">M70/$R$3</f>
        <v>-2726.527</v>
      </c>
      <c r="W70" s="114" t="n">
        <f aca="false">N70/$R$3</f>
        <v>-2726.527</v>
      </c>
    </row>
    <row r="71" customFormat="false" ht="12.75" hidden="false" customHeight="false" outlineLevel="0" collapsed="false">
      <c r="A71" s="108" t="n">
        <f aca="false">A70+1</f>
        <v>36957</v>
      </c>
      <c r="B71" s="119" t="str">
        <f aca="false">INDEX('[4]Master Data'!$A$2:$B$8,MATCH(WEEKDAY('GNS Bolv Gas MTM'!A71,3),'[4]Master Data'!$A$2:$A$8,0),2)</f>
        <v>W</v>
      </c>
      <c r="D71" s="112" t="n">
        <v>54197990.3972</v>
      </c>
      <c r="E71" s="112" t="n">
        <v>3969468.34031114</v>
      </c>
      <c r="F71" s="112" t="n">
        <v>0</v>
      </c>
      <c r="G71" s="112" t="n">
        <v>-12109</v>
      </c>
      <c r="I71" s="112" t="n">
        <f aca="false">IF(MONTH($A71)=MONTH($A70),IF(G71=0,I70,G71),G71)</f>
        <v>-12109</v>
      </c>
      <c r="J71" s="112" t="n">
        <f aca="false">IF(MONTH($A71)=MONTH($A70),SUM(I71-I70),I71)</f>
        <v>-1697</v>
      </c>
      <c r="K71" s="112" t="n">
        <f aca="false">IF(WEEKDAY(A71,3)&gt;4,0,(IF(A71&lt;K$2,0,IF(A71&lt;=K$3,1,0))))</f>
        <v>0</v>
      </c>
      <c r="L71" s="112" t="n">
        <f aca="false">J71*K71</f>
        <v>-0</v>
      </c>
      <c r="M71" s="112" t="n">
        <f aca="false">SUM(J$6:J71)</f>
        <v>-2728224</v>
      </c>
      <c r="N71" s="112" t="n">
        <f aca="false">SUM(J$6:J71)</f>
        <v>-2728224</v>
      </c>
      <c r="P71" s="112" t="n">
        <f aca="false">D71/P$3</f>
        <v>54.1979903972</v>
      </c>
      <c r="Q71" s="112" t="n">
        <f aca="false">E71/P$3</f>
        <v>3.96946834031114</v>
      </c>
      <c r="R71" s="112" t="n">
        <f aca="false">F71/R$3</f>
        <v>0</v>
      </c>
      <c r="S71" s="114" t="n">
        <f aca="false">J71/$R$3</f>
        <v>-1.697</v>
      </c>
      <c r="T71" s="114" t="n">
        <f aca="false">L71/$R$3</f>
        <v>-0</v>
      </c>
      <c r="U71" s="114" t="n">
        <f aca="false">I71/$R$3</f>
        <v>-12.109</v>
      </c>
      <c r="V71" s="114" t="n">
        <f aca="false">M71/$R$3</f>
        <v>-2728.224</v>
      </c>
      <c r="W71" s="114" t="n">
        <f aca="false">N71/$R$3</f>
        <v>-2728.224</v>
      </c>
    </row>
    <row r="72" customFormat="false" ht="12.75" hidden="false" customHeight="false" outlineLevel="0" collapsed="false">
      <c r="A72" s="108" t="n">
        <f aca="false">A71+1</f>
        <v>36958</v>
      </c>
      <c r="B72" s="119" t="str">
        <f aca="false">INDEX('[4]Master Data'!$A$2:$B$8,MATCH(WEEKDAY('GNS Bolv Gas MTM'!A72,3),'[4]Master Data'!$A$2:$A$8,0),2)</f>
        <v>Th</v>
      </c>
      <c r="D72" s="112" t="n">
        <v>54299897.64</v>
      </c>
      <c r="E72" s="112" t="n">
        <v>3985118.15528418</v>
      </c>
      <c r="F72" s="112" t="n">
        <v>0</v>
      </c>
      <c r="G72" s="112" t="n">
        <v>-13787</v>
      </c>
      <c r="I72" s="112" t="n">
        <f aca="false">IF(MONTH($A72)=MONTH($A71),IF(G72=0,I71,G72),G72)</f>
        <v>-13787</v>
      </c>
      <c r="J72" s="112" t="n">
        <f aca="false">IF(MONTH($A72)=MONTH($A71),SUM(I72-I71),I72)</f>
        <v>-1678</v>
      </c>
      <c r="K72" s="112" t="n">
        <f aca="false">IF(WEEKDAY(A72,3)&gt;4,0,(IF(A72&lt;K$2,0,IF(A72&lt;=K$3,1,0))))</f>
        <v>0</v>
      </c>
      <c r="L72" s="112" t="n">
        <f aca="false">J72*K72</f>
        <v>-0</v>
      </c>
      <c r="M72" s="112" t="n">
        <f aca="false">SUM(J$6:J72)</f>
        <v>-2729902</v>
      </c>
      <c r="N72" s="112" t="n">
        <f aca="false">SUM(J$6:J72)</f>
        <v>-2729902</v>
      </c>
      <c r="P72" s="112" t="n">
        <f aca="false">D72/P$3</f>
        <v>54.29989764</v>
      </c>
      <c r="Q72" s="112" t="n">
        <f aca="false">E72/P$3</f>
        <v>3.98511815528418</v>
      </c>
      <c r="R72" s="112" t="n">
        <f aca="false">F72/R$3</f>
        <v>0</v>
      </c>
      <c r="S72" s="114" t="n">
        <f aca="false">J72/$R$3</f>
        <v>-1.678</v>
      </c>
      <c r="T72" s="114" t="n">
        <f aca="false">L72/$R$3</f>
        <v>-0</v>
      </c>
      <c r="U72" s="114" t="n">
        <f aca="false">I72/$R$3</f>
        <v>-13.787</v>
      </c>
      <c r="V72" s="114" t="n">
        <f aca="false">M72/$R$3</f>
        <v>-2729.902</v>
      </c>
      <c r="W72" s="114" t="n">
        <f aca="false">N72/$R$3</f>
        <v>-2729.902</v>
      </c>
    </row>
    <row r="73" customFormat="false" ht="12.75" hidden="false" customHeight="false" outlineLevel="0" collapsed="false">
      <c r="A73" s="108" t="n">
        <f aca="false">A72+1</f>
        <v>36959</v>
      </c>
      <c r="B73" s="119" t="str">
        <f aca="false">INDEX('[4]Master Data'!$A$2:$B$8,MATCH(WEEKDAY('GNS Bolv Gas MTM'!A73,3),'[4]Master Data'!$A$2:$A$8,0),2)</f>
        <v>F</v>
      </c>
      <c r="D73" s="112" t="n">
        <v>54111343.4059</v>
      </c>
      <c r="E73" s="112" t="n">
        <v>3982784.46308508</v>
      </c>
      <c r="F73" s="112" t="n">
        <v>0</v>
      </c>
      <c r="G73" s="112" t="n">
        <v>-15447</v>
      </c>
      <c r="I73" s="112" t="n">
        <f aca="false">IF(MONTH($A73)=MONTH($A72),IF(G73=0,I72,G73),G73)</f>
        <v>-15447</v>
      </c>
      <c r="J73" s="112" t="n">
        <f aca="false">IF(MONTH($A73)=MONTH($A72),SUM(I73-I72),I73)</f>
        <v>-1660</v>
      </c>
      <c r="K73" s="112" t="n">
        <f aca="false">IF(WEEKDAY(A73,3)&gt;4,0,(IF(A73&lt;K$2,0,IF(A73&lt;=K$3,1,0))))</f>
        <v>0</v>
      </c>
      <c r="L73" s="112" t="n">
        <f aca="false">J73*K73</f>
        <v>-0</v>
      </c>
      <c r="M73" s="112" t="n">
        <f aca="false">SUM(J$6:J73)</f>
        <v>-2731562</v>
      </c>
      <c r="N73" s="112" t="n">
        <f aca="false">SUM(J$6:J73)</f>
        <v>-2731562</v>
      </c>
      <c r="P73" s="112" t="n">
        <f aca="false">D73/P$3</f>
        <v>54.1113434059</v>
      </c>
      <c r="Q73" s="112" t="n">
        <f aca="false">E73/P$3</f>
        <v>3.98278446308508</v>
      </c>
      <c r="R73" s="112" t="n">
        <f aca="false">F73/R$3</f>
        <v>0</v>
      </c>
      <c r="S73" s="114" t="n">
        <f aca="false">J73/$R$3</f>
        <v>-1.66</v>
      </c>
      <c r="T73" s="114" t="n">
        <f aca="false">L73/$R$3</f>
        <v>-0</v>
      </c>
      <c r="U73" s="114" t="n">
        <f aca="false">I73/$R$3</f>
        <v>-15.447</v>
      </c>
      <c r="V73" s="114" t="n">
        <f aca="false">M73/$R$3</f>
        <v>-2731.562</v>
      </c>
      <c r="W73" s="114" t="n">
        <f aca="false">N73/$R$3</f>
        <v>-2731.562</v>
      </c>
    </row>
    <row r="74" customFormat="false" ht="12.75" hidden="false" customHeight="false" outlineLevel="0" collapsed="false">
      <c r="A74" s="108" t="n">
        <f aca="false">A73+1</f>
        <v>36960</v>
      </c>
      <c r="B74" s="119" t="str">
        <f aca="false">INDEX('[4]Master Data'!$A$2:$B$8,MATCH(WEEKDAY('GNS Bolv Gas MTM'!A74,3),'[4]Master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-15447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-2731562</v>
      </c>
      <c r="N74" s="112" t="n">
        <f aca="false">SUM(J$6:J74)</f>
        <v>-2731562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-15.447</v>
      </c>
      <c r="V74" s="114" t="n">
        <f aca="false">M74/$R$3</f>
        <v>-2731.562</v>
      </c>
      <c r="W74" s="114" t="n">
        <f aca="false">N74/$R$3</f>
        <v>-2731.562</v>
      </c>
    </row>
    <row r="75" customFormat="false" ht="12.75" hidden="false" customHeight="false" outlineLevel="0" collapsed="false">
      <c r="A75" s="108" t="n">
        <f aca="false">A74+1</f>
        <v>36961</v>
      </c>
      <c r="B75" s="119" t="str">
        <f aca="false">INDEX('[4]Master Data'!$A$2:$B$8,MATCH(WEEKDAY('GNS Bolv Gas MTM'!A75,3),'[4]Master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-15447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-2731562</v>
      </c>
      <c r="N75" s="112" t="n">
        <f aca="false">SUM(J$6:J75)</f>
        <v>-2731562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-15.447</v>
      </c>
      <c r="V75" s="114" t="n">
        <f aca="false">M75/$R$3</f>
        <v>-2731.562</v>
      </c>
      <c r="W75" s="114" t="n">
        <f aca="false">N75/$R$3</f>
        <v>-2731.562</v>
      </c>
    </row>
    <row r="76" customFormat="false" ht="12.75" hidden="false" customHeight="false" outlineLevel="0" collapsed="false">
      <c r="A76" s="108" t="n">
        <f aca="false">A75+1</f>
        <v>36962</v>
      </c>
      <c r="B76" s="119" t="str">
        <f aca="false">INDEX('[4]Master Data'!$A$2:$B$8,MATCH(WEEKDAY('GNS Bolv Gas MTM'!A76,3),'[4]Master Data'!$A$2:$A$8,0),2)</f>
        <v>M</v>
      </c>
      <c r="D76" s="112" t="n">
        <v>54274760.2364</v>
      </c>
      <c r="E76" s="112" t="n">
        <v>4001631.0131159</v>
      </c>
      <c r="F76" s="112" t="n">
        <v>0</v>
      </c>
      <c r="G76" s="112" t="n">
        <v>-20364</v>
      </c>
      <c r="I76" s="112" t="n">
        <f aca="false">IF(MONTH($A76)=MONTH($A75),IF(G76=0,I75,G76),G76)</f>
        <v>-20364</v>
      </c>
      <c r="J76" s="112" t="n">
        <f aca="false">IF(MONTH($A76)=MONTH($A75),SUM(I76-I75),I76)</f>
        <v>-4917</v>
      </c>
      <c r="K76" s="112" t="n">
        <f aca="false">IF(WEEKDAY(A76,3)&gt;4,0,(IF(A76&lt;K$2,0,IF(A76&lt;=K$3,1,0))))</f>
        <v>0</v>
      </c>
      <c r="L76" s="112" t="n">
        <f aca="false">J76*K76</f>
        <v>-0</v>
      </c>
      <c r="M76" s="112" t="n">
        <f aca="false">SUM(J$6:J76)</f>
        <v>-2736479</v>
      </c>
      <c r="N76" s="112" t="n">
        <f aca="false">SUM(J$6:J76)</f>
        <v>-2736479</v>
      </c>
      <c r="P76" s="112" t="n">
        <f aca="false">D76/P$3</f>
        <v>54.2747602364</v>
      </c>
      <c r="Q76" s="112" t="n">
        <f aca="false">E76/P$3</f>
        <v>4.0016310131159</v>
      </c>
      <c r="R76" s="112" t="n">
        <f aca="false">F76/R$3</f>
        <v>0</v>
      </c>
      <c r="S76" s="114" t="n">
        <f aca="false">J76/$R$3</f>
        <v>-4.917</v>
      </c>
      <c r="T76" s="114" t="n">
        <f aca="false">L76/$R$3</f>
        <v>-0</v>
      </c>
      <c r="U76" s="114" t="n">
        <f aca="false">I76/$R$3</f>
        <v>-20.364</v>
      </c>
      <c r="V76" s="114" t="n">
        <f aca="false">M76/$R$3</f>
        <v>-2736.479</v>
      </c>
      <c r="W76" s="114" t="n">
        <f aca="false">N76/$R$3</f>
        <v>-2736.479</v>
      </c>
    </row>
    <row r="77" customFormat="false" ht="12.75" hidden="false" customHeight="false" outlineLevel="0" collapsed="false">
      <c r="A77" s="108" t="n">
        <f aca="false">A76+1</f>
        <v>36963</v>
      </c>
      <c r="B77" s="119" t="str">
        <f aca="false">INDEX('[4]Master Data'!$A$2:$B$8,MATCH(WEEKDAY('GNS Bolv Gas MTM'!A77,3),'[4]Master Data'!$A$2:$A$8,0),2)</f>
        <v>T</v>
      </c>
      <c r="D77" s="112" t="n">
        <v>54104652.5738</v>
      </c>
      <c r="E77" s="112" t="n">
        <v>4011098.76679443</v>
      </c>
      <c r="F77" s="112" t="n">
        <v>0</v>
      </c>
      <c r="G77" s="112" t="n">
        <v>-21969</v>
      </c>
      <c r="I77" s="112" t="n">
        <f aca="false">IF(MONTH($A77)=MONTH($A76),IF(G77=0,I76,G77),G77)</f>
        <v>-21969</v>
      </c>
      <c r="J77" s="112" t="n">
        <f aca="false">IF(MONTH($A77)=MONTH($A76),SUM(I77-I76),I77)</f>
        <v>-1605</v>
      </c>
      <c r="K77" s="112" t="n">
        <f aca="false">IF(WEEKDAY(A77,3)&gt;4,0,(IF(A77&lt;K$2,0,IF(A77&lt;=K$3,1,0))))</f>
        <v>0</v>
      </c>
      <c r="L77" s="112" t="n">
        <f aca="false">J77*K77</f>
        <v>-0</v>
      </c>
      <c r="M77" s="112" t="n">
        <f aca="false">SUM(J$6:J77)</f>
        <v>-2738084</v>
      </c>
      <c r="N77" s="112" t="n">
        <f aca="false">SUM(J$6:J77)</f>
        <v>-2738084</v>
      </c>
      <c r="P77" s="112" t="n">
        <f aca="false">D77/P$3</f>
        <v>54.1046525738</v>
      </c>
      <c r="Q77" s="112" t="n">
        <f aca="false">E77/P$3</f>
        <v>4.01109876679443</v>
      </c>
      <c r="R77" s="112" t="n">
        <f aca="false">F77/R$3</f>
        <v>0</v>
      </c>
      <c r="S77" s="114" t="n">
        <f aca="false">J77/$R$3</f>
        <v>-1.605</v>
      </c>
      <c r="T77" s="114" t="n">
        <f aca="false">L77/$R$3</f>
        <v>-0</v>
      </c>
      <c r="U77" s="114" t="n">
        <f aca="false">I77/$R$3</f>
        <v>-21.969</v>
      </c>
      <c r="V77" s="114" t="n">
        <f aca="false">M77/$R$3</f>
        <v>-2738.084</v>
      </c>
      <c r="W77" s="114" t="n">
        <f aca="false">N77/$R$3</f>
        <v>-2738.084</v>
      </c>
    </row>
    <row r="78" customFormat="false" ht="12.75" hidden="false" customHeight="false" outlineLevel="0" collapsed="false">
      <c r="A78" s="108" t="n">
        <f aca="false">A77+1</f>
        <v>36964</v>
      </c>
      <c r="B78" s="119" t="str">
        <f aca="false">INDEX('[4]Master Data'!$A$2:$B$8,MATCH(WEEKDAY('GNS Bolv Gas MTM'!A78,3),'[4]Master Data'!$A$2:$A$8,0),2)</f>
        <v>W</v>
      </c>
      <c r="D78" s="112" t="n">
        <v>54572822.1679</v>
      </c>
      <c r="E78" s="112" t="n">
        <v>4049170.25801834</v>
      </c>
      <c r="F78" s="112" t="n">
        <v>0</v>
      </c>
      <c r="G78" s="112" t="n">
        <v>-23577</v>
      </c>
      <c r="I78" s="112" t="n">
        <f aca="false">IF(MONTH($A78)=MONTH($A77),IF(G78=0,I77,G78),G78)</f>
        <v>-23577</v>
      </c>
      <c r="J78" s="112" t="n">
        <f aca="false">IF(MONTH($A78)=MONTH($A77),SUM(I78-I77),I78)</f>
        <v>-1608</v>
      </c>
      <c r="K78" s="112" t="n">
        <f aca="false">IF(WEEKDAY(A78,3)&gt;4,0,(IF(A78&lt;K$2,0,IF(A78&lt;=K$3,1,0))))</f>
        <v>0</v>
      </c>
      <c r="L78" s="112" t="n">
        <f aca="false">J78*K78</f>
        <v>-0</v>
      </c>
      <c r="M78" s="112" t="n">
        <f aca="false">SUM(J$6:J78)</f>
        <v>-2739692</v>
      </c>
      <c r="N78" s="112" t="n">
        <f aca="false">SUM(J$6:J78)</f>
        <v>-2739692</v>
      </c>
      <c r="P78" s="112" t="n">
        <f aca="false">D78/P$3</f>
        <v>54.5728221679</v>
      </c>
      <c r="Q78" s="112" t="n">
        <f aca="false">E78/P$3</f>
        <v>4.04917025801834</v>
      </c>
      <c r="R78" s="112" t="n">
        <f aca="false">F78/R$3</f>
        <v>0</v>
      </c>
      <c r="S78" s="114" t="n">
        <f aca="false">J78/$R$3</f>
        <v>-1.608</v>
      </c>
      <c r="T78" s="114" t="n">
        <f aca="false">L78/$R$3</f>
        <v>-0</v>
      </c>
      <c r="U78" s="114" t="n">
        <f aca="false">I78/$R$3</f>
        <v>-23.577</v>
      </c>
      <c r="V78" s="114" t="n">
        <f aca="false">M78/$R$3</f>
        <v>-2739.692</v>
      </c>
      <c r="W78" s="114" t="n">
        <f aca="false">N78/$R$3</f>
        <v>-2739.692</v>
      </c>
    </row>
    <row r="79" customFormat="false" ht="12.75" hidden="false" customHeight="false" outlineLevel="0" collapsed="false">
      <c r="A79" s="108" t="n">
        <f aca="false">A78+1</f>
        <v>36965</v>
      </c>
      <c r="B79" s="119" t="str">
        <f aca="false">INDEX('[4]Master Data'!$A$2:$B$8,MATCH(WEEKDAY('GNS Bolv Gas MTM'!A79,3),'[4]Master Data'!$A$2:$A$8,0),2)</f>
        <v>Th</v>
      </c>
      <c r="D79" s="112" t="n">
        <v>54883713.252</v>
      </c>
      <c r="E79" s="112" t="n">
        <v>4057551.08693499</v>
      </c>
      <c r="F79" s="112" t="n">
        <v>0</v>
      </c>
      <c r="G79" s="112" t="n">
        <v>-25168</v>
      </c>
      <c r="I79" s="112" t="n">
        <f aca="false">IF(MONTH($A79)=MONTH($A78),IF(G79=0,I78,G79),G79)</f>
        <v>-25168</v>
      </c>
      <c r="J79" s="112" t="n">
        <f aca="false">IF(MONTH($A79)=MONTH($A78),SUM(I79-I78),I79)</f>
        <v>-1591</v>
      </c>
      <c r="K79" s="112" t="n">
        <f aca="false">IF(WEEKDAY(A79,3)&gt;4,0,(IF(A79&lt;K$2,0,IF(A79&lt;=K$3,1,0))))</f>
        <v>0</v>
      </c>
      <c r="L79" s="112" t="n">
        <f aca="false">J79*K79</f>
        <v>-0</v>
      </c>
      <c r="M79" s="112" t="n">
        <f aca="false">SUM(J$6:J79)</f>
        <v>-2741283</v>
      </c>
      <c r="N79" s="112" t="n">
        <f aca="false">SUM(J$6:J79)</f>
        <v>-2741283</v>
      </c>
      <c r="P79" s="112" t="n">
        <f aca="false">D79/P$3</f>
        <v>54.883713252</v>
      </c>
      <c r="Q79" s="112" t="n">
        <f aca="false">E79/P$3</f>
        <v>4.05755108693499</v>
      </c>
      <c r="R79" s="112" t="n">
        <f aca="false">F79/R$3</f>
        <v>0</v>
      </c>
      <c r="S79" s="114" t="n">
        <f aca="false">J79/$R$3</f>
        <v>-1.591</v>
      </c>
      <c r="T79" s="114" t="n">
        <f aca="false">L79/$R$3</f>
        <v>-0</v>
      </c>
      <c r="U79" s="114" t="n">
        <f aca="false">I79/$R$3</f>
        <v>-25.168</v>
      </c>
      <c r="V79" s="114" t="n">
        <f aca="false">M79/$R$3</f>
        <v>-2741.283</v>
      </c>
      <c r="W79" s="114" t="n">
        <f aca="false">N79/$R$3</f>
        <v>-2741.283</v>
      </c>
    </row>
    <row r="80" customFormat="false" ht="12.75" hidden="false" customHeight="false" outlineLevel="0" collapsed="false">
      <c r="A80" s="108" t="n">
        <f aca="false">A79+1</f>
        <v>36966</v>
      </c>
      <c r="B80" s="119" t="str">
        <f aca="false">INDEX('[4]Master Data'!$A$2:$B$8,MATCH(WEEKDAY('GNS Bolv Gas MTM'!A80,3),'[4]Master Data'!$A$2:$A$8,0),2)</f>
        <v>F</v>
      </c>
      <c r="D80" s="112" t="n">
        <v>55049950.4926</v>
      </c>
      <c r="E80" s="112" t="n">
        <v>4069739.03921357</v>
      </c>
      <c r="F80" s="112" t="n">
        <v>0</v>
      </c>
      <c r="G80" s="112" t="n">
        <v>-26740</v>
      </c>
      <c r="I80" s="112" t="n">
        <f aca="false">IF(MONTH($A80)=MONTH($A79),IF(G80=0,I79,G80),G80)</f>
        <v>-26740</v>
      </c>
      <c r="J80" s="112" t="n">
        <f aca="false">IF(MONTH($A80)=MONTH($A79),SUM(I80-I79),I80)</f>
        <v>-1572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-2742855</v>
      </c>
      <c r="N80" s="112" t="n">
        <f aca="false">SUM(J$6:J80)</f>
        <v>-2742855</v>
      </c>
      <c r="P80" s="112" t="n">
        <f aca="false">D80/P$3</f>
        <v>55.0499504926</v>
      </c>
      <c r="Q80" s="112" t="n">
        <f aca="false">E80/P$3</f>
        <v>4.06973903921357</v>
      </c>
      <c r="R80" s="112" t="n">
        <f aca="false">F80/R$3</f>
        <v>0</v>
      </c>
      <c r="S80" s="114" t="n">
        <f aca="false">J80/$R$3</f>
        <v>-1.572</v>
      </c>
      <c r="T80" s="114" t="n">
        <f aca="false">L80/$R$3</f>
        <v>-0</v>
      </c>
      <c r="U80" s="114" t="n">
        <f aca="false">I80/$R$3</f>
        <v>-26.74</v>
      </c>
      <c r="V80" s="114" t="n">
        <f aca="false">M80/$R$3</f>
        <v>-2742.855</v>
      </c>
      <c r="W80" s="114" t="n">
        <f aca="false">N80/$R$3</f>
        <v>-2742.855</v>
      </c>
    </row>
    <row r="81" customFormat="false" ht="12.75" hidden="false" customHeight="false" outlineLevel="0" collapsed="false">
      <c r="A81" s="108" t="n">
        <f aca="false">A80+1</f>
        <v>36967</v>
      </c>
      <c r="B81" s="119" t="str">
        <f aca="false">INDEX('[4]Master Data'!$A$2:$B$8,MATCH(WEEKDAY('GNS Bolv Gas MTM'!A81,3),'[4]Master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-26740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-2742855</v>
      </c>
      <c r="N81" s="112" t="n">
        <f aca="false">SUM(J$6:J81)</f>
        <v>-2742855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-26.74</v>
      </c>
      <c r="V81" s="114" t="n">
        <f aca="false">M81/$R$3</f>
        <v>-2742.855</v>
      </c>
      <c r="W81" s="114" t="n">
        <f aca="false">N81/$R$3</f>
        <v>-2742.855</v>
      </c>
    </row>
    <row r="82" customFormat="false" ht="12.75" hidden="false" customHeight="false" outlineLevel="0" collapsed="false">
      <c r="A82" s="108" t="n">
        <f aca="false">A81+1</f>
        <v>36968</v>
      </c>
      <c r="B82" s="119" t="str">
        <f aca="false">INDEX('[4]Master Data'!$A$2:$B$8,MATCH(WEEKDAY('GNS Bolv Gas MTM'!A82,3),'[4]Master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-26740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-2742855</v>
      </c>
      <c r="N82" s="112" t="n">
        <f aca="false">SUM(J$6:J82)</f>
        <v>-2742855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-26.74</v>
      </c>
      <c r="V82" s="114" t="n">
        <f aca="false">M82/$R$3</f>
        <v>-2742.855</v>
      </c>
      <c r="W82" s="114" t="n">
        <f aca="false">N82/$R$3</f>
        <v>-2742.855</v>
      </c>
    </row>
    <row r="83" customFormat="false" ht="12.75" hidden="false" customHeight="false" outlineLevel="0" collapsed="false">
      <c r="A83" s="108" t="n">
        <f aca="false">A82+1</f>
        <v>36969</v>
      </c>
      <c r="B83" s="119" t="str">
        <f aca="false">INDEX('[4]Master Data'!$A$2:$B$8,MATCH(WEEKDAY('GNS Bolv Gas MTM'!A83,3),'[4]Master Data'!$A$2:$A$8,0),2)</f>
        <v>M</v>
      </c>
      <c r="D83" s="112" t="n">
        <v>55986144.1498</v>
      </c>
      <c r="E83" s="112" t="n">
        <v>4376117.45547893</v>
      </c>
      <c r="F83" s="112" t="n">
        <v>0</v>
      </c>
      <c r="G83" s="112" t="n">
        <v>1554719</v>
      </c>
      <c r="I83" s="112" t="n">
        <f aca="false">IF(MONTH($A83)=MONTH($A82),IF(G83=0,I82,G83),G83)</f>
        <v>1554719</v>
      </c>
      <c r="J83" s="112" t="n">
        <f aca="false">IF(MONTH($A83)=MONTH($A82),SUM(I83-I82),I83)</f>
        <v>1581459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-1161396</v>
      </c>
      <c r="N83" s="112" t="n">
        <f aca="false">SUM(J$6:J83)</f>
        <v>-1161396</v>
      </c>
      <c r="P83" s="112" t="n">
        <f aca="false">D83/P$3</f>
        <v>55.9861441498</v>
      </c>
      <c r="Q83" s="112" t="n">
        <f aca="false">E83/P$3</f>
        <v>4.37611745547893</v>
      </c>
      <c r="R83" s="112" t="n">
        <f aca="false">F83/R$3</f>
        <v>0</v>
      </c>
      <c r="S83" s="114" t="n">
        <f aca="false">J83/$R$3</f>
        <v>1581.459</v>
      </c>
      <c r="T83" s="114" t="n">
        <f aca="false">L83/$R$3</f>
        <v>0</v>
      </c>
      <c r="U83" s="114" t="n">
        <f aca="false">I83/$R$3</f>
        <v>1554.719</v>
      </c>
      <c r="V83" s="114" t="n">
        <f aca="false">M83/$R$3</f>
        <v>-1161.396</v>
      </c>
      <c r="W83" s="114" t="n">
        <f aca="false">N83/$R$3</f>
        <v>-1161.396</v>
      </c>
    </row>
    <row r="84" customFormat="false" ht="12.75" hidden="false" customHeight="false" outlineLevel="0" collapsed="false">
      <c r="A84" s="108" t="n">
        <f aca="false">A83+1</f>
        <v>36970</v>
      </c>
      <c r="B84" s="119" t="str">
        <f aca="false">INDEX('[4]Master Data'!$A$2:$B$8,MATCH(WEEKDAY('GNS Bolv Gas MTM'!A84,3),'[4]Master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1554719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-1161396</v>
      </c>
      <c r="N84" s="112" t="n">
        <f aca="false">SUM(J$6:J84)</f>
        <v>-1161396</v>
      </c>
      <c r="P84" s="112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1554.719</v>
      </c>
      <c r="V84" s="114" t="n">
        <f aca="false">M84/$R$3</f>
        <v>-1161.396</v>
      </c>
      <c r="W84" s="114" t="n">
        <f aca="false">N84/$R$3</f>
        <v>-1161.396</v>
      </c>
    </row>
    <row r="85" customFormat="false" ht="12.75" hidden="false" customHeight="false" outlineLevel="0" collapsed="false">
      <c r="A85" s="108" t="n">
        <f aca="false">A84+1</f>
        <v>36971</v>
      </c>
      <c r="B85" s="119" t="str">
        <f aca="false">INDEX('[4]Master Data'!$A$2:$B$8,MATCH(WEEKDAY('GNS Bolv Gas MTM'!A85,3),'[4]Master Data'!$A$2:$A$8,0),2)</f>
        <v>W</v>
      </c>
      <c r="D85" s="112" t="n">
        <v>0</v>
      </c>
      <c r="E85" s="133" t="n">
        <v>0</v>
      </c>
      <c r="F85" s="112" t="n">
        <v>0</v>
      </c>
      <c r="G85" s="112" t="n">
        <v>0</v>
      </c>
      <c r="I85" s="112" t="n">
        <f aca="false">IF(MONTH($A85)=MONTH($A84),IF(G85=0,I84,G85),G85)</f>
        <v>1554719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-1161396</v>
      </c>
      <c r="N85" s="112" t="n">
        <f aca="false">SUM(J$6:J85)</f>
        <v>-1161396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1554.719</v>
      </c>
      <c r="V85" s="114" t="n">
        <f aca="false">M85/$R$3</f>
        <v>-1161.396</v>
      </c>
      <c r="W85" s="114" t="n">
        <f aca="false">N85/$R$3</f>
        <v>-1161.396</v>
      </c>
    </row>
    <row r="86" customFormat="false" ht="12.75" hidden="false" customHeight="false" outlineLevel="0" collapsed="false">
      <c r="A86" s="108" t="n">
        <f aca="false">A85+1</f>
        <v>36972</v>
      </c>
      <c r="B86" s="119" t="str">
        <f aca="false">INDEX('[4]Master Data'!$A$2:$B$8,MATCH(WEEKDAY('GNS Bolv Gas MTM'!A86,3),'[4]Master Data'!$A$2:$A$8,0),2)</f>
        <v>Th</v>
      </c>
      <c r="D86" s="133" t="n">
        <v>0</v>
      </c>
      <c r="E86" s="133" t="n">
        <v>0</v>
      </c>
      <c r="F86" s="112" t="n">
        <v>0</v>
      </c>
      <c r="G86" s="133" t="n">
        <v>2678876</v>
      </c>
      <c r="I86" s="112" t="n">
        <f aca="false">IF(MONTH($A86)=MONTH($A85),IF(G86=0,I85,G86),G86)</f>
        <v>2678876</v>
      </c>
      <c r="J86" s="112" t="n">
        <f aca="false">IF(MONTH($A86)=MONTH($A85),SUM(I86-I85),I86)</f>
        <v>1124157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-37239</v>
      </c>
      <c r="N86" s="112" t="n">
        <f aca="false">SUM(J$6:J86)</f>
        <v>-37239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1124.157</v>
      </c>
      <c r="T86" s="114" t="n">
        <f aca="false">L86/$R$3</f>
        <v>0</v>
      </c>
      <c r="U86" s="114" t="n">
        <f aca="false">I86/$R$3</f>
        <v>2678.876</v>
      </c>
      <c r="V86" s="114" t="n">
        <f aca="false">M86/$R$3</f>
        <v>-37.239</v>
      </c>
      <c r="W86" s="114" t="n">
        <f aca="false">N86/$R$3</f>
        <v>-37.239</v>
      </c>
    </row>
    <row r="87" customFormat="false" ht="12.75" hidden="false" customHeight="false" outlineLevel="0" collapsed="false">
      <c r="A87" s="108" t="n">
        <f aca="false">A86+1</f>
        <v>36973</v>
      </c>
      <c r="B87" s="119" t="str">
        <f aca="false">INDEX('[4]Master Data'!$A$2:$B$8,MATCH(WEEKDAY('GNS Bolv Gas MTM'!A87,3),'[4]Master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2678876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-37239</v>
      </c>
      <c r="N87" s="112" t="n">
        <f aca="false">SUM(J$6:J87)</f>
        <v>-37239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2678.876</v>
      </c>
      <c r="V87" s="114" t="n">
        <f aca="false">M87/$R$3</f>
        <v>-37.239</v>
      </c>
      <c r="W87" s="114" t="n">
        <f aca="false">N87/$R$3</f>
        <v>-37.239</v>
      </c>
    </row>
    <row r="88" customFormat="false" ht="12.75" hidden="false" customHeight="false" outlineLevel="0" collapsed="false">
      <c r="A88" s="108" t="n">
        <f aca="false">A87+1</f>
        <v>36974</v>
      </c>
      <c r="B88" s="119" t="str">
        <f aca="false">INDEX('[4]Master Data'!$A$2:$B$8,MATCH(WEEKDAY('GNS Bolv Gas MTM'!A88,3),'[4]Master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2678876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-37239</v>
      </c>
      <c r="N88" s="112" t="n">
        <f aca="false">SUM(J$6:J88)</f>
        <v>-37239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2678.876</v>
      </c>
      <c r="V88" s="114" t="n">
        <f aca="false">M88/$R$3</f>
        <v>-37.239</v>
      </c>
      <c r="W88" s="114" t="n">
        <f aca="false">N88/$R$3</f>
        <v>-37.239</v>
      </c>
    </row>
    <row r="89" customFormat="false" ht="12.75" hidden="false" customHeight="false" outlineLevel="0" collapsed="false">
      <c r="A89" s="108" t="n">
        <f aca="false">A88+1</f>
        <v>36975</v>
      </c>
      <c r="B89" s="119" t="str">
        <f aca="false">INDEX('[4]Master Data'!$A$2:$B$8,MATCH(WEEKDAY('GNS Bolv Gas MTM'!A89,3),'[4]Master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2678876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-37239</v>
      </c>
      <c r="N89" s="112" t="n">
        <f aca="false">SUM(J$6:J89)</f>
        <v>-37239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2678.876</v>
      </c>
      <c r="V89" s="114" t="n">
        <f aca="false">M89/$R$3</f>
        <v>-37.239</v>
      </c>
      <c r="W89" s="114" t="n">
        <f aca="false">N89/$R$3</f>
        <v>-37.239</v>
      </c>
    </row>
    <row r="90" customFormat="false" ht="12.75" hidden="false" customHeight="false" outlineLevel="0" collapsed="false">
      <c r="A90" s="108" t="n">
        <f aca="false">A89+1</f>
        <v>36976</v>
      </c>
      <c r="B90" s="119" t="str">
        <f aca="false">INDEX('[4]Master Data'!$A$2:$B$8,MATCH(WEEKDAY('GNS Bolv Gas MTM'!A90,3),'[4]Master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2678876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-37239</v>
      </c>
      <c r="N90" s="112" t="n">
        <f aca="false">SUM(J$6:J90)</f>
        <v>-37239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2678.876</v>
      </c>
      <c r="V90" s="114" t="n">
        <f aca="false">M90/$R$3</f>
        <v>-37.239</v>
      </c>
      <c r="W90" s="114" t="n">
        <f aca="false">N90/$R$3</f>
        <v>-37.239</v>
      </c>
    </row>
    <row r="91" customFormat="false" ht="12.75" hidden="false" customHeight="false" outlineLevel="0" collapsed="false">
      <c r="A91" s="108" t="n">
        <f aca="false">A90+1</f>
        <v>36977</v>
      </c>
      <c r="B91" s="119" t="str">
        <f aca="false">INDEX('[4]Master Data'!$A$2:$B$8,MATCH(WEEKDAY('GNS Bolv Gas MTM'!A91,3),'[4]Master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2678876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-37239</v>
      </c>
      <c r="N91" s="112" t="n">
        <f aca="false">SUM(J$6:J91)</f>
        <v>-37239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2678.876</v>
      </c>
      <c r="V91" s="114" t="n">
        <f aca="false">M91/$R$3</f>
        <v>-37.239</v>
      </c>
      <c r="W91" s="114" t="n">
        <f aca="false">N91/$R$3</f>
        <v>-37.239</v>
      </c>
    </row>
    <row r="92" customFormat="false" ht="12.75" hidden="false" customHeight="false" outlineLevel="0" collapsed="false">
      <c r="A92" s="108" t="n">
        <f aca="false">A91+1</f>
        <v>36978</v>
      </c>
      <c r="B92" s="119" t="str">
        <f aca="false">INDEX('[4]Master Data'!$A$2:$B$8,MATCH(WEEKDAY('GNS Bolv Gas MTM'!A92,3),'[4]Master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2678876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-37239</v>
      </c>
      <c r="N92" s="112" t="n">
        <f aca="false">SUM(J$6:J92)</f>
        <v>-37239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2678.876</v>
      </c>
      <c r="V92" s="114" t="n">
        <f aca="false">M92/$R$3</f>
        <v>-37.239</v>
      </c>
      <c r="W92" s="114" t="n">
        <f aca="false">N92/$R$3</f>
        <v>-37.239</v>
      </c>
    </row>
    <row r="93" customFormat="false" ht="12.75" hidden="false" customHeight="false" outlineLevel="0" collapsed="false">
      <c r="A93" s="108" t="n">
        <f aca="false">A92+1</f>
        <v>36979</v>
      </c>
      <c r="B93" s="119" t="str">
        <f aca="false">INDEX('[4]Master Data'!$A$2:$B$8,MATCH(WEEKDAY('GNS Bolv Gas MTM'!A93,3),'[4]Master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2678876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-37239</v>
      </c>
      <c r="N93" s="112" t="n">
        <f aca="false">SUM(J$6:J93)</f>
        <v>-37239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2678.876</v>
      </c>
      <c r="V93" s="114" t="n">
        <f aca="false">M93/$R$3</f>
        <v>-37.239</v>
      </c>
      <c r="W93" s="114" t="n">
        <f aca="false">N93/$R$3</f>
        <v>-37.239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INDEX('[4]Master Data'!$A$2:$B$8,MATCH(WEEKDAY('GNS Bolv Gas MTM'!A94,3),'[4]Master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2678876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-37239</v>
      </c>
      <c r="N94" s="112" t="n">
        <f aca="false">SUM(J$6:J94)</f>
        <v>-37239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2678.876</v>
      </c>
      <c r="V94" s="114" t="n">
        <f aca="false">M94/$R$3</f>
        <v>-37.239</v>
      </c>
      <c r="W94" s="114" t="n">
        <f aca="false">N94/$R$3</f>
        <v>-37.239</v>
      </c>
    </row>
    <row r="95" customFormat="false" ht="12.75" hidden="false" customHeight="false" outlineLevel="0" collapsed="false">
      <c r="A95" s="108" t="n">
        <f aca="false">A94+1</f>
        <v>36981</v>
      </c>
      <c r="B95" s="119" t="str">
        <f aca="false">INDEX('[4]Master Data'!$A$2:$B$8,MATCH(WEEKDAY('GNS Bolv Gas MTM'!A95,3),'[4]Master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2678876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-37239</v>
      </c>
      <c r="N95" s="112" t="n">
        <f aca="false">SUM(J$6:J95)</f>
        <v>-37239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2678.876</v>
      </c>
      <c r="V95" s="114" t="n">
        <f aca="false">M95/$R$3</f>
        <v>-37.239</v>
      </c>
      <c r="W95" s="114" t="n">
        <f aca="false">N95/$R$3</f>
        <v>-37.239</v>
      </c>
    </row>
    <row r="96" customFormat="false" ht="12.75" hidden="false" customHeight="false" outlineLevel="0" collapsed="false">
      <c r="A96" s="108" t="n">
        <f aca="false">A95+1</f>
        <v>36982</v>
      </c>
      <c r="B96" s="119" t="str">
        <f aca="false">INDEX('[4]Master Data'!$A$2:$B$8,MATCH(WEEKDAY('GNS Bolv Gas MTM'!A96,3),'[4]Master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-37239</v>
      </c>
      <c r="N96" s="112" t="n">
        <f aca="false">SUM(J$6:J96)</f>
        <v>-37239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-37.239</v>
      </c>
      <c r="W96" s="114" t="n">
        <f aca="false">N96/$R$3</f>
        <v>-37.239</v>
      </c>
    </row>
    <row r="97" customFormat="false" ht="12.75" hidden="false" customHeight="false" outlineLevel="0" collapsed="false">
      <c r="A97" s="108" t="n">
        <f aca="false">A96+1</f>
        <v>36983</v>
      </c>
      <c r="B97" s="119" t="str">
        <f aca="false">INDEX('[4]Master Data'!$A$2:$B$8,MATCH(WEEKDAY('GNS Bolv Gas MTM'!A97,3),'[4]Master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-37239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-37.239</v>
      </c>
    </row>
    <row r="98" customFormat="false" ht="12.75" hidden="false" customHeight="false" outlineLevel="0" collapsed="false">
      <c r="A98" s="108" t="n">
        <f aca="false">A97+1</f>
        <v>36984</v>
      </c>
      <c r="B98" s="119" t="str">
        <f aca="false">INDEX('[4]Master Data'!$A$2:$B$8,MATCH(WEEKDAY('GNS Bolv Gas MTM'!A98,3),'[4]Master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-37239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-37.239</v>
      </c>
    </row>
    <row r="99" customFormat="false" ht="12.75" hidden="false" customHeight="false" outlineLevel="0" collapsed="false">
      <c r="A99" s="108" t="n">
        <f aca="false">A98+1</f>
        <v>36985</v>
      </c>
      <c r="B99" s="119" t="str">
        <f aca="false">INDEX('[4]Master Data'!$A$2:$B$8,MATCH(WEEKDAY('GNS Bolv Gas MTM'!A99,3),'[4]Master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-37239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-37.239</v>
      </c>
    </row>
    <row r="100" customFormat="false" ht="12.75" hidden="false" customHeight="false" outlineLevel="0" collapsed="false">
      <c r="A100" s="108" t="n">
        <f aca="false">A99+1</f>
        <v>36986</v>
      </c>
      <c r="B100" s="119" t="str">
        <f aca="false">INDEX('[4]Master Data'!$A$2:$B$8,MATCH(WEEKDAY('GNS Bolv Gas MTM'!A100,3),'[4]Master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-37239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-37.239</v>
      </c>
    </row>
    <row r="101" customFormat="false" ht="12.75" hidden="false" customHeight="false" outlineLevel="0" collapsed="false">
      <c r="A101" s="108" t="n">
        <f aca="false">A100+1</f>
        <v>36987</v>
      </c>
      <c r="B101" s="119" t="str">
        <f aca="false">INDEX('[4]Master Data'!$A$2:$B$8,MATCH(WEEKDAY('GNS Bolv Gas MTM'!A101,3),'[4]Master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-37239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-37.239</v>
      </c>
    </row>
    <row r="102" customFormat="false" ht="12.75" hidden="false" customHeight="false" outlineLevel="0" collapsed="false">
      <c r="A102" s="108" t="n">
        <f aca="false">A101+1</f>
        <v>36988</v>
      </c>
      <c r="B102" s="119" t="str">
        <f aca="false">INDEX('[4]Master Data'!$A$2:$B$8,MATCH(WEEKDAY('GNS Bolv Gas MTM'!A102,3),'[4]Master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-37239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-37.239</v>
      </c>
    </row>
    <row r="103" customFormat="false" ht="12.75" hidden="false" customHeight="false" outlineLevel="0" collapsed="false">
      <c r="A103" s="108" t="n">
        <f aca="false">A102+1</f>
        <v>36989</v>
      </c>
      <c r="B103" s="119" t="str">
        <f aca="false">INDEX('[4]Master Data'!$A$2:$B$8,MATCH(WEEKDAY('GNS Bolv Gas MTM'!A103,3),'[4]Master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-37239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-37.239</v>
      </c>
    </row>
    <row r="104" customFormat="false" ht="12.75" hidden="false" customHeight="false" outlineLevel="0" collapsed="false">
      <c r="A104" s="108" t="n">
        <f aca="false">A103+1</f>
        <v>36990</v>
      </c>
      <c r="B104" s="119" t="str">
        <f aca="false">INDEX('[4]Master Data'!$A$2:$B$8,MATCH(WEEKDAY('GNS Bolv Gas MTM'!A104,3),'[4]Master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-37239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-37.239</v>
      </c>
    </row>
    <row r="105" customFormat="false" ht="12.75" hidden="false" customHeight="false" outlineLevel="0" collapsed="false">
      <c r="A105" s="108" t="n">
        <f aca="false">A104+1</f>
        <v>36991</v>
      </c>
      <c r="B105" s="119" t="str">
        <f aca="false">INDEX('[4]Master Data'!$A$2:$B$8,MATCH(WEEKDAY('GNS Bolv Gas MTM'!A105,3),'[4]Master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-37239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-37.239</v>
      </c>
    </row>
    <row r="106" customFormat="false" ht="12.75" hidden="false" customHeight="false" outlineLevel="0" collapsed="false">
      <c r="A106" s="108" t="n">
        <f aca="false">A105+1</f>
        <v>36992</v>
      </c>
      <c r="B106" s="119" t="str">
        <f aca="false">INDEX('[4]Master Data'!$A$2:$B$8,MATCH(WEEKDAY('GNS Bolv Gas MTM'!A106,3),'[4]Master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-37239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-37.239</v>
      </c>
    </row>
    <row r="107" customFormat="false" ht="12.75" hidden="false" customHeight="false" outlineLevel="0" collapsed="false">
      <c r="A107" s="108" t="n">
        <f aca="false">A106+1</f>
        <v>36993</v>
      </c>
      <c r="B107" s="119" t="str">
        <f aca="false">INDEX('[4]Master Data'!$A$2:$B$8,MATCH(WEEKDAY('GNS Bolv Gas MTM'!A107,3),'[4]Master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-37239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-37.239</v>
      </c>
    </row>
    <row r="108" customFormat="false" ht="12.75" hidden="false" customHeight="false" outlineLevel="0" collapsed="false">
      <c r="A108" s="108" t="n">
        <f aca="false">A107+1</f>
        <v>36994</v>
      </c>
      <c r="B108" s="119" t="str">
        <f aca="false">INDEX('[4]Master Data'!$A$2:$B$8,MATCH(WEEKDAY('GNS Bolv Gas MTM'!A108,3),'[4]Master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-37239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-37.239</v>
      </c>
    </row>
    <row r="109" customFormat="false" ht="12.75" hidden="false" customHeight="false" outlineLevel="0" collapsed="false">
      <c r="A109" s="108" t="n">
        <f aca="false">A108+1</f>
        <v>36995</v>
      </c>
      <c r="B109" s="119" t="str">
        <f aca="false">INDEX('[4]Master Data'!$A$2:$B$8,MATCH(WEEKDAY('GNS Bolv Gas MTM'!A109,3),'[4]Master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-37239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-37.239</v>
      </c>
    </row>
    <row r="110" customFormat="false" ht="12.75" hidden="false" customHeight="false" outlineLevel="0" collapsed="false">
      <c r="A110" s="108" t="n">
        <f aca="false">A109+1</f>
        <v>36996</v>
      </c>
      <c r="B110" s="119" t="str">
        <f aca="false">INDEX('[4]Master Data'!$A$2:$B$8,MATCH(WEEKDAY('GNS Bolv Gas MTM'!A110,3),'[4]Master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-37239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-37.239</v>
      </c>
    </row>
    <row r="111" customFormat="false" ht="12.75" hidden="false" customHeight="false" outlineLevel="0" collapsed="false">
      <c r="A111" s="108" t="n">
        <f aca="false">A110+1</f>
        <v>36997</v>
      </c>
      <c r="B111" s="119" t="str">
        <f aca="false">INDEX('[4]Master Data'!$A$2:$B$8,MATCH(WEEKDAY('GNS Bolv Gas MTM'!A111,3),'[4]Master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-37239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-37.239</v>
      </c>
    </row>
    <row r="112" customFormat="false" ht="12.75" hidden="false" customHeight="false" outlineLevel="0" collapsed="false">
      <c r="A112" s="108" t="n">
        <f aca="false">A111+1</f>
        <v>36998</v>
      </c>
      <c r="B112" s="119" t="str">
        <f aca="false">INDEX('[4]Master Data'!$A$2:$B$8,MATCH(WEEKDAY('GNS Bolv Gas MTM'!A112,3),'[4]Master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-37239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-37.239</v>
      </c>
    </row>
    <row r="113" customFormat="false" ht="12.75" hidden="false" customHeight="false" outlineLevel="0" collapsed="false">
      <c r="A113" s="108" t="n">
        <f aca="false">A112+1</f>
        <v>36999</v>
      </c>
      <c r="B113" s="119" t="str">
        <f aca="false">INDEX('[4]Master Data'!$A$2:$B$8,MATCH(WEEKDAY('GNS Bolv Gas MTM'!A113,3),'[4]Master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-37239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-37.239</v>
      </c>
    </row>
    <row r="114" customFormat="false" ht="12.75" hidden="false" customHeight="false" outlineLevel="0" collapsed="false">
      <c r="A114" s="108" t="n">
        <f aca="false">A113+1</f>
        <v>37000</v>
      </c>
      <c r="B114" s="119" t="str">
        <f aca="false">INDEX('[4]Master Data'!$A$2:$B$8,MATCH(WEEKDAY('GNS Bolv Gas MTM'!A114,3),'[4]Master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-37239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-37.239</v>
      </c>
    </row>
    <row r="115" customFormat="false" ht="12.75" hidden="false" customHeight="false" outlineLevel="0" collapsed="false">
      <c r="A115" s="108" t="n">
        <f aca="false">A114+1</f>
        <v>37001</v>
      </c>
      <c r="B115" s="119" t="str">
        <f aca="false">INDEX('[4]Master Data'!$A$2:$B$8,MATCH(WEEKDAY('GNS Bolv Gas MTM'!A115,3),'[4]Master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-37239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-37.239</v>
      </c>
    </row>
    <row r="116" customFormat="false" ht="12.75" hidden="false" customHeight="false" outlineLevel="0" collapsed="false">
      <c r="A116" s="108" t="n">
        <f aca="false">A115+1</f>
        <v>37002</v>
      </c>
      <c r="B116" s="119" t="str">
        <f aca="false">INDEX('[4]Master Data'!$A$2:$B$8,MATCH(WEEKDAY('GNS Bolv Gas MTM'!A116,3),'[4]Master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-37239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-37.239</v>
      </c>
    </row>
    <row r="117" customFormat="false" ht="12.75" hidden="false" customHeight="false" outlineLevel="0" collapsed="false">
      <c r="A117" s="108" t="n">
        <f aca="false">A116+1</f>
        <v>37003</v>
      </c>
      <c r="B117" s="119" t="str">
        <f aca="false">INDEX('[4]Master Data'!$A$2:$B$8,MATCH(WEEKDAY('GNS Bolv Gas MTM'!A117,3),'[4]Master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-37239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-37.239</v>
      </c>
    </row>
    <row r="118" customFormat="false" ht="12.75" hidden="false" customHeight="false" outlineLevel="0" collapsed="false">
      <c r="A118" s="108" t="n">
        <f aca="false">A117+1</f>
        <v>37004</v>
      </c>
      <c r="B118" s="119" t="str">
        <f aca="false">INDEX('[4]Master Data'!$A$2:$B$8,MATCH(WEEKDAY('GNS Bolv Gas MTM'!A118,3),'[4]Master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-37239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-37.239</v>
      </c>
    </row>
    <row r="119" customFormat="false" ht="12.75" hidden="false" customHeight="false" outlineLevel="0" collapsed="false">
      <c r="A119" s="108" t="n">
        <f aca="false">A118+1</f>
        <v>37005</v>
      </c>
      <c r="B119" s="119" t="str">
        <f aca="false">INDEX('[4]Master Data'!$A$2:$B$8,MATCH(WEEKDAY('GNS Bolv Gas MTM'!A119,3),'[4]Master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-37239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-37.239</v>
      </c>
    </row>
    <row r="120" customFormat="false" ht="12.75" hidden="false" customHeight="false" outlineLevel="0" collapsed="false">
      <c r="A120" s="108" t="n">
        <f aca="false">A119+1</f>
        <v>37006</v>
      </c>
      <c r="B120" s="119" t="str">
        <f aca="false">INDEX('[4]Master Data'!$A$2:$B$8,MATCH(WEEKDAY('GNS Bolv Gas MTM'!A120,3),'[4]Master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-37239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-37.239</v>
      </c>
    </row>
    <row r="121" customFormat="false" ht="12.75" hidden="false" customHeight="false" outlineLevel="0" collapsed="false">
      <c r="A121" s="108" t="n">
        <f aca="false">A120+1</f>
        <v>37007</v>
      </c>
      <c r="B121" s="119" t="str">
        <f aca="false">INDEX('[4]Master Data'!$A$2:$B$8,MATCH(WEEKDAY('GNS Bolv Gas MTM'!A121,3),'[4]Master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-37239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-37.239</v>
      </c>
    </row>
    <row r="122" customFormat="false" ht="12.75" hidden="false" customHeight="false" outlineLevel="0" collapsed="false">
      <c r="A122" s="108" t="n">
        <f aca="false">A121+1</f>
        <v>37008</v>
      </c>
      <c r="B122" s="119" t="str">
        <f aca="false">INDEX('[4]Master Data'!$A$2:$B$8,MATCH(WEEKDAY('GNS Bolv Gas MTM'!A122,3),'[4]Master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-37239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-37.239</v>
      </c>
    </row>
    <row r="123" customFormat="false" ht="12.75" hidden="false" customHeight="false" outlineLevel="0" collapsed="false">
      <c r="A123" s="108" t="n">
        <f aca="false">A122+1</f>
        <v>37009</v>
      </c>
      <c r="B123" s="119" t="str">
        <f aca="false">INDEX('[4]Master Data'!$A$2:$B$8,MATCH(WEEKDAY('GNS Bolv Gas MTM'!A123,3),'[4]Master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-37239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-37.239</v>
      </c>
    </row>
    <row r="124" customFormat="false" ht="12.75" hidden="false" customHeight="false" outlineLevel="0" collapsed="false">
      <c r="A124" s="108" t="n">
        <f aca="false">A123+1</f>
        <v>37010</v>
      </c>
      <c r="B124" s="119" t="str">
        <f aca="false">INDEX('[4]Master Data'!$A$2:$B$8,MATCH(WEEKDAY('GNS Bolv Gas MTM'!A124,3),'[4]Master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-37239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-37.239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INDEX('[4]Master Data'!$A$2:$B$8,MATCH(WEEKDAY('GNS Bolv Gas MTM'!A125,3),'[4]Master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-37239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-37.239</v>
      </c>
    </row>
    <row r="126" customFormat="false" ht="12.75" hidden="false" customHeight="false" outlineLevel="0" collapsed="false">
      <c r="A126" s="108" t="n">
        <f aca="false">A125+1</f>
        <v>37012</v>
      </c>
      <c r="B126" s="119" t="str">
        <f aca="false">INDEX('[4]Master Data'!$A$2:$B$8,MATCH(WEEKDAY('GNS Bolv Gas MTM'!A126,3),'[4]Master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-37239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-37.239</v>
      </c>
    </row>
    <row r="127" customFormat="false" ht="12.75" hidden="false" customHeight="false" outlineLevel="0" collapsed="false">
      <c r="A127" s="108" t="n">
        <f aca="false">A126+1</f>
        <v>37013</v>
      </c>
      <c r="B127" s="119" t="str">
        <f aca="false">INDEX('[4]Master Data'!$A$2:$B$8,MATCH(WEEKDAY('GNS Bolv Gas MTM'!A127,3),'[4]Master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-37239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-37.239</v>
      </c>
    </row>
    <row r="128" customFormat="false" ht="12.75" hidden="false" customHeight="false" outlineLevel="0" collapsed="false">
      <c r="A128" s="108" t="n">
        <f aca="false">A127+1</f>
        <v>37014</v>
      </c>
      <c r="B128" s="119" t="str">
        <f aca="false">INDEX('[4]Master Data'!$A$2:$B$8,MATCH(WEEKDAY('GNS Bolv Gas MTM'!A128,3),'[4]Master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-37239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-37.239</v>
      </c>
    </row>
    <row r="129" customFormat="false" ht="12.75" hidden="false" customHeight="false" outlineLevel="0" collapsed="false">
      <c r="A129" s="108" t="n">
        <f aca="false">A128+1</f>
        <v>37015</v>
      </c>
      <c r="B129" s="119" t="str">
        <f aca="false">INDEX('[4]Master Data'!$A$2:$B$8,MATCH(WEEKDAY('GNS Bolv Gas MTM'!A129,3),'[4]Master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-37239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-37.239</v>
      </c>
    </row>
    <row r="130" customFormat="false" ht="12.75" hidden="false" customHeight="false" outlineLevel="0" collapsed="false">
      <c r="A130" s="108" t="n">
        <f aca="false">A129+1</f>
        <v>37016</v>
      </c>
      <c r="B130" s="119" t="str">
        <f aca="false">INDEX('[4]Master Data'!$A$2:$B$8,MATCH(WEEKDAY('GNS Bolv Gas MTM'!A130,3),'[4]Master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-37239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-37.239</v>
      </c>
    </row>
    <row r="131" customFormat="false" ht="12.75" hidden="false" customHeight="false" outlineLevel="0" collapsed="false">
      <c r="A131" s="108" t="n">
        <f aca="false">A130+1</f>
        <v>37017</v>
      </c>
      <c r="B131" s="119" t="str">
        <f aca="false">INDEX('[4]Master Data'!$A$2:$B$8,MATCH(WEEKDAY('GNS Bolv Gas MTM'!A131,3),'[4]Master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-37239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-37.239</v>
      </c>
    </row>
    <row r="132" customFormat="false" ht="12.75" hidden="false" customHeight="false" outlineLevel="0" collapsed="false">
      <c r="A132" s="108" t="n">
        <f aca="false">A131+1</f>
        <v>37018</v>
      </c>
      <c r="B132" s="119" t="str">
        <f aca="false">INDEX('[4]Master Data'!$A$2:$B$8,MATCH(WEEKDAY('GNS Bolv Gas MTM'!A132,3),'[4]Master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-37239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-37.239</v>
      </c>
    </row>
    <row r="133" customFormat="false" ht="12.75" hidden="false" customHeight="false" outlineLevel="0" collapsed="false">
      <c r="A133" s="108" t="n">
        <f aca="false">A132+1</f>
        <v>37019</v>
      </c>
      <c r="B133" s="119" t="str">
        <f aca="false">INDEX('[4]Master Data'!$A$2:$B$8,MATCH(WEEKDAY('GNS Bolv Gas MTM'!A133,3),'[4]Master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-37239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-37.239</v>
      </c>
    </row>
    <row r="134" customFormat="false" ht="12.75" hidden="false" customHeight="false" outlineLevel="0" collapsed="false">
      <c r="A134" s="108" t="n">
        <f aca="false">A133+1</f>
        <v>37020</v>
      </c>
      <c r="B134" s="119" t="str">
        <f aca="false">INDEX('[4]Master Data'!$A$2:$B$8,MATCH(WEEKDAY('GNS Bolv Gas MTM'!A134,3),'[4]Master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-37239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-37.239</v>
      </c>
    </row>
    <row r="135" customFormat="false" ht="12.75" hidden="false" customHeight="false" outlineLevel="0" collapsed="false">
      <c r="A135" s="108" t="n">
        <f aca="false">A134+1</f>
        <v>37021</v>
      </c>
      <c r="B135" s="119" t="str">
        <f aca="false">INDEX('[4]Master Data'!$A$2:$B$8,MATCH(WEEKDAY('GNS Bolv Gas MTM'!A135,3),'[4]Master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-37239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-37.239</v>
      </c>
    </row>
    <row r="136" customFormat="false" ht="12.75" hidden="false" customHeight="false" outlineLevel="0" collapsed="false">
      <c r="A136" s="108" t="n">
        <f aca="false">A135+1</f>
        <v>37022</v>
      </c>
      <c r="B136" s="119" t="str">
        <f aca="false">INDEX('[4]Master Data'!$A$2:$B$8,MATCH(WEEKDAY('GNS Bolv Gas MTM'!A136,3),'[4]Master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-37239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-37.239</v>
      </c>
    </row>
    <row r="137" customFormat="false" ht="12.75" hidden="false" customHeight="false" outlineLevel="0" collapsed="false">
      <c r="A137" s="108" t="n">
        <f aca="false">A136+1</f>
        <v>37023</v>
      </c>
      <c r="B137" s="119" t="str">
        <f aca="false">INDEX('[4]Master Data'!$A$2:$B$8,MATCH(WEEKDAY('GNS Bolv Gas MTM'!A137,3),'[4]Master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-37239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-37.239</v>
      </c>
    </row>
    <row r="138" customFormat="false" ht="12.75" hidden="false" customHeight="false" outlineLevel="0" collapsed="false">
      <c r="A138" s="108" t="n">
        <f aca="false">A137+1</f>
        <v>37024</v>
      </c>
      <c r="B138" s="119" t="str">
        <f aca="false">INDEX('[4]Master Data'!$A$2:$B$8,MATCH(WEEKDAY('GNS Bolv Gas MTM'!A138,3),'[4]Master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-37239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-37.239</v>
      </c>
    </row>
    <row r="139" customFormat="false" ht="12.75" hidden="false" customHeight="false" outlineLevel="0" collapsed="false">
      <c r="A139" s="108" t="n">
        <f aca="false">A138+1</f>
        <v>37025</v>
      </c>
      <c r="B139" s="119" t="str">
        <f aca="false">INDEX('[4]Master Data'!$A$2:$B$8,MATCH(WEEKDAY('GNS Bolv Gas MTM'!A139,3),'[4]Master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-37239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-37.239</v>
      </c>
    </row>
    <row r="140" customFormat="false" ht="12.75" hidden="false" customHeight="false" outlineLevel="0" collapsed="false">
      <c r="A140" s="108" t="n">
        <f aca="false">A139+1</f>
        <v>37026</v>
      </c>
      <c r="B140" s="119" t="str">
        <f aca="false">INDEX('[4]Master Data'!$A$2:$B$8,MATCH(WEEKDAY('GNS Bolv Gas MTM'!A140,3),'[4]Master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-37239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-37.239</v>
      </c>
    </row>
    <row r="141" customFormat="false" ht="12.75" hidden="false" customHeight="false" outlineLevel="0" collapsed="false">
      <c r="A141" s="108" t="n">
        <f aca="false">A140+1</f>
        <v>37027</v>
      </c>
      <c r="B141" s="119" t="str">
        <f aca="false">INDEX('[4]Master Data'!$A$2:$B$8,MATCH(WEEKDAY('GNS Bolv Gas MTM'!A141,3),'[4]Master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-37239</v>
      </c>
      <c r="P141" s="112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-37.239</v>
      </c>
    </row>
    <row r="142" customFormat="false" ht="12.75" hidden="false" customHeight="false" outlineLevel="0" collapsed="false">
      <c r="A142" s="108" t="n">
        <f aca="false">A141+1</f>
        <v>37028</v>
      </c>
      <c r="B142" s="119" t="str">
        <f aca="false">INDEX('[4]Master Data'!$A$2:$B$8,MATCH(WEEKDAY('GNS Bolv Gas MTM'!A142,3),'[4]Master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-37239</v>
      </c>
      <c r="P142" s="112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-37.239</v>
      </c>
    </row>
    <row r="143" customFormat="false" ht="12.75" hidden="false" customHeight="false" outlineLevel="0" collapsed="false">
      <c r="A143" s="108" t="n">
        <f aca="false">A142+1</f>
        <v>37029</v>
      </c>
      <c r="B143" s="119" t="str">
        <f aca="false">INDEX('[4]Master Data'!$A$2:$B$8,MATCH(WEEKDAY('GNS Bolv Gas MTM'!A143,3),'[4]Master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-37239</v>
      </c>
      <c r="P143" s="112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-37.239</v>
      </c>
    </row>
    <row r="144" customFormat="false" ht="12.75" hidden="false" customHeight="false" outlineLevel="0" collapsed="false">
      <c r="A144" s="108" t="n">
        <f aca="false">A143+1</f>
        <v>37030</v>
      </c>
      <c r="B144" s="119" t="str">
        <f aca="false">INDEX('[4]Master Data'!$A$2:$B$8,MATCH(WEEKDAY('GNS Bolv Gas MTM'!A144,3),'[4]Master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-37239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-37.239</v>
      </c>
    </row>
    <row r="145" customFormat="false" ht="12.75" hidden="false" customHeight="false" outlineLevel="0" collapsed="false">
      <c r="A145" s="108" t="n">
        <f aca="false">A144+1</f>
        <v>37031</v>
      </c>
      <c r="B145" s="119" t="str">
        <f aca="false">INDEX('[4]Master Data'!$A$2:$B$8,MATCH(WEEKDAY('GNS Bolv Gas MTM'!A145,3),'[4]Master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-37239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-37.239</v>
      </c>
    </row>
    <row r="146" customFormat="false" ht="12.75" hidden="false" customHeight="false" outlineLevel="0" collapsed="false">
      <c r="A146" s="108" t="n">
        <f aca="false">A145+1</f>
        <v>37032</v>
      </c>
      <c r="B146" s="119" t="str">
        <f aca="false">INDEX('[4]Master Data'!$A$2:$B$8,MATCH(WEEKDAY('GNS Bolv Gas MTM'!A146,3),'[4]Master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-37239</v>
      </c>
      <c r="P146" s="112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-37.239</v>
      </c>
    </row>
    <row r="147" customFormat="false" ht="12.75" hidden="false" customHeight="false" outlineLevel="0" collapsed="false">
      <c r="A147" s="108" t="n">
        <f aca="false">A146+1</f>
        <v>37033</v>
      </c>
      <c r="B147" s="119" t="str">
        <f aca="false">INDEX('[4]Master Data'!$A$2:$B$8,MATCH(WEEKDAY('GNS Bolv Gas MTM'!A147,3),'[4]Master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-37239</v>
      </c>
      <c r="P147" s="112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-37.239</v>
      </c>
    </row>
    <row r="148" customFormat="false" ht="12.75" hidden="false" customHeight="false" outlineLevel="0" collapsed="false">
      <c r="A148" s="108" t="n">
        <f aca="false">A147+1</f>
        <v>37034</v>
      </c>
      <c r="B148" s="119" t="str">
        <f aca="false">INDEX('[4]Master Data'!$A$2:$B$8,MATCH(WEEKDAY('GNS Bolv Gas MTM'!A148,3),'[4]Master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-37239</v>
      </c>
      <c r="P148" s="112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-37.239</v>
      </c>
    </row>
    <row r="149" customFormat="false" ht="12.75" hidden="false" customHeight="false" outlineLevel="0" collapsed="false">
      <c r="A149" s="108" t="n">
        <f aca="false">A148+1</f>
        <v>37035</v>
      </c>
      <c r="B149" s="119" t="str">
        <f aca="false">INDEX('[4]Master Data'!$A$2:$B$8,MATCH(WEEKDAY('GNS Bolv Gas MTM'!A149,3),'[4]Master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-37239</v>
      </c>
      <c r="P149" s="112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-37.239</v>
      </c>
    </row>
    <row r="150" customFormat="false" ht="12.75" hidden="false" customHeight="false" outlineLevel="0" collapsed="false">
      <c r="A150" s="108" t="n">
        <f aca="false">A149+1</f>
        <v>37036</v>
      </c>
      <c r="B150" s="119" t="str">
        <f aca="false">INDEX('[4]Master Data'!$A$2:$B$8,MATCH(WEEKDAY('GNS Bolv Gas MTM'!A150,3),'[4]Master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-37239</v>
      </c>
      <c r="P150" s="112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-37.239</v>
      </c>
    </row>
    <row r="151" customFormat="false" ht="12.75" hidden="false" customHeight="false" outlineLevel="0" collapsed="false">
      <c r="A151" s="108" t="n">
        <f aca="false">A150+1</f>
        <v>37037</v>
      </c>
      <c r="B151" s="119" t="str">
        <f aca="false">INDEX('[4]Master Data'!$A$2:$B$8,MATCH(WEEKDAY('GNS Bolv Gas MTM'!A151,3),'[4]Master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-37239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-37.239</v>
      </c>
    </row>
    <row r="152" customFormat="false" ht="12.75" hidden="false" customHeight="false" outlineLevel="0" collapsed="false">
      <c r="A152" s="108" t="n">
        <f aca="false">A151+1</f>
        <v>37038</v>
      </c>
      <c r="B152" s="119" t="str">
        <f aca="false">INDEX('[4]Master Data'!$A$2:$B$8,MATCH(WEEKDAY('GNS Bolv Gas MTM'!A152,3),'[4]Master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-37239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-37.239</v>
      </c>
    </row>
    <row r="153" customFormat="false" ht="12.75" hidden="false" customHeight="false" outlineLevel="0" collapsed="false">
      <c r="A153" s="108" t="n">
        <f aca="false">A152+1</f>
        <v>37039</v>
      </c>
      <c r="B153" s="119" t="str">
        <f aca="false">INDEX('[4]Master Data'!$A$2:$B$8,MATCH(WEEKDAY('GNS Bolv Gas MTM'!A153,3),'[4]Master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-37239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-37.239</v>
      </c>
    </row>
    <row r="154" customFormat="false" ht="12.75" hidden="false" customHeight="false" outlineLevel="0" collapsed="false">
      <c r="A154" s="108" t="n">
        <f aca="false">A153+1</f>
        <v>37040</v>
      </c>
      <c r="B154" s="119" t="str">
        <f aca="false">INDEX('[4]Master Data'!$A$2:$B$8,MATCH(WEEKDAY('GNS Bolv Gas MTM'!A154,3),'[4]Master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-37239</v>
      </c>
      <c r="P154" s="112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-37.239</v>
      </c>
    </row>
    <row r="155" customFormat="false" ht="12.75" hidden="false" customHeight="false" outlineLevel="0" collapsed="false">
      <c r="A155" s="108" t="n">
        <f aca="false">A154+1</f>
        <v>37041</v>
      </c>
      <c r="B155" s="119" t="str">
        <f aca="false">INDEX('[4]Master Data'!$A$2:$B$8,MATCH(WEEKDAY('GNS Bolv Gas MTM'!A155,3),'[4]Master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-37239</v>
      </c>
      <c r="P155" s="112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-37.239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INDEX('[4]Master Data'!$A$2:$B$8,MATCH(WEEKDAY('GNS Bolv Gas MTM'!A156,3),'[4]Master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-37239</v>
      </c>
      <c r="P156" s="112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-37.239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INDEX('[4]Master Data'!$A$2:$B$8,MATCH(WEEKDAY('GNS Bolv Gas MTM'!A157,3),'[4]Master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-37239</v>
      </c>
      <c r="P157" s="112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-37.239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INDEX('[4]Master Data'!$A$2:$B$8,MATCH(WEEKDAY('GNS Bolv Gas MTM'!A158,3),'[4]Master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-37239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-37.239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INDEX('[4]Master Data'!$A$2:$B$8,MATCH(WEEKDAY('GNS Bolv Gas MTM'!A159,3),'[4]Master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-37239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-37.239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INDEX('[4]Master Data'!$A$2:$B$8,MATCH(WEEKDAY('GNS Bolv Gas MTM'!A160,3),'[4]Master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-37239</v>
      </c>
      <c r="P160" s="112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-37.239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INDEX('[4]Master Data'!$A$2:$B$8,MATCH(WEEKDAY('GNS Bolv Gas MTM'!A161,3),'[4]Master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-37239</v>
      </c>
      <c r="P161" s="112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-37.239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INDEX('[4]Master Data'!$A$2:$B$8,MATCH(WEEKDAY('GNS Bolv Gas MTM'!A162,3),'[4]Master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-37239</v>
      </c>
      <c r="P162" s="112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-37.239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INDEX('[4]Master Data'!$A$2:$B$8,MATCH(WEEKDAY('GNS Bolv Gas MTM'!A163,3),'[4]Master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-37239</v>
      </c>
      <c r="P163" s="112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-37.239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INDEX('[4]Master Data'!$A$2:$B$8,MATCH(WEEKDAY('GNS Bolv Gas MTM'!A164,3),'[4]Master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-37239</v>
      </c>
      <c r="P164" s="112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-37.239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INDEX('[4]Master Data'!$A$2:$B$8,MATCH(WEEKDAY('GNS Bolv Gas MTM'!A165,3),'[4]Master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-37239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-37.239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INDEX('[4]Master Data'!$A$2:$B$8,MATCH(WEEKDAY('GNS Bolv Gas MTM'!A166,3),'[4]Master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-37239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-37.239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INDEX('[4]Master Data'!$A$2:$B$8,MATCH(WEEKDAY('GNS Bolv Gas MTM'!A167,3),'[4]Master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-37239</v>
      </c>
      <c r="P167" s="112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-37.239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INDEX('[4]Master Data'!$A$2:$B$8,MATCH(WEEKDAY('GNS Bolv Gas MTM'!A168,3),'[4]Master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-37239</v>
      </c>
      <c r="P168" s="112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-37.239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INDEX('[4]Master Data'!$A$2:$B$8,MATCH(WEEKDAY('GNS Bolv Gas MTM'!A169,3),'[4]Master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-37239</v>
      </c>
      <c r="P169" s="112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-37.239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INDEX('[4]Master Data'!$A$2:$B$8,MATCH(WEEKDAY('GNS Bolv Gas MTM'!A170,3),'[4]Master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-37239</v>
      </c>
      <c r="P170" s="112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-37.239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INDEX('[4]Master Data'!$A$2:$B$8,MATCH(WEEKDAY('GNS Bolv Gas MTM'!A171,3),'[4]Master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-37239</v>
      </c>
      <c r="P171" s="112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-37.239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INDEX('[4]Master Data'!$A$2:$B$8,MATCH(WEEKDAY('GNS Bolv Gas MTM'!A172,3),'[4]Master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-37239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-37.239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INDEX('[4]Master Data'!$A$2:$B$8,MATCH(WEEKDAY('GNS Bolv Gas MTM'!A173,3),'[4]Master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-37239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-37.239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INDEX('[4]Master Data'!$A$2:$B$8,MATCH(WEEKDAY('GNS Bolv Gas MTM'!A174,3),'[4]Master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-37239</v>
      </c>
      <c r="P174" s="112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-37.239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INDEX('[4]Master Data'!$A$2:$B$8,MATCH(WEEKDAY('GNS Bolv Gas MTM'!A175,3),'[4]Master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-37239</v>
      </c>
      <c r="P175" s="112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-37.239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INDEX('[4]Master Data'!$A$2:$B$8,MATCH(WEEKDAY('GNS Bolv Gas MTM'!A176,3),'[4]Master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-37239</v>
      </c>
      <c r="P176" s="112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-37.239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INDEX('[4]Master Data'!$A$2:$B$8,MATCH(WEEKDAY('GNS Bolv Gas MTM'!A177,3),'[4]Master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-37239</v>
      </c>
      <c r="P177" s="112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-37.239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INDEX('[4]Master Data'!$A$2:$B$8,MATCH(WEEKDAY('GNS Bolv Gas MTM'!A178,3),'[4]Master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-37239</v>
      </c>
      <c r="P178" s="112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-37.239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INDEX('[4]Master Data'!$A$2:$B$8,MATCH(WEEKDAY('GNS Bolv Gas MTM'!A179,3),'[4]Master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-37239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-37.239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INDEX('[4]Master Data'!$A$2:$B$8,MATCH(WEEKDAY('GNS Bolv Gas MTM'!A180,3),'[4]Master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-37239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-37.239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INDEX('[4]Master Data'!$A$2:$B$8,MATCH(WEEKDAY('GNS Bolv Gas MTM'!A181,3),'[4]Master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-37239</v>
      </c>
      <c r="P181" s="112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-37.239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INDEX('[4]Master Data'!$A$2:$B$8,MATCH(WEEKDAY('GNS Bolv Gas MTM'!A182,3),'[4]Master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-37239</v>
      </c>
      <c r="P182" s="112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-37.239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INDEX('[4]Master Data'!$A$2:$B$8,MATCH(WEEKDAY('GNS Bolv Gas MTM'!A183,3),'[4]Master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-37239</v>
      </c>
      <c r="P183" s="112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-37.239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INDEX('[4]Master Data'!$A$2:$B$8,MATCH(WEEKDAY('GNS Bolv Gas MTM'!A184,3),'[4]Master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-37239</v>
      </c>
      <c r="P184" s="112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-37.239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INDEX('[4]Master Data'!$A$2:$B$8,MATCH(WEEKDAY('GNS Bolv Gas MTM'!A185,3),'[4]Master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-37239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-37.239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INDEX('[4]Master Data'!$A$2:$B$8,MATCH(WEEKDAY('GNS Bolv Gas MTM'!A186,3),'[4]Master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-37239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-37.239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INDEX('[4]Master Data'!$A$2:$B$8,MATCH(WEEKDAY('GNS Bolv Gas MTM'!A187,3),'[4]Master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-37239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-37.239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INDEX('[4]Master Data'!$A$2:$B$8,MATCH(WEEKDAY('GNS Bolv Gas MTM'!A188,3),'[4]Master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-37239</v>
      </c>
      <c r="P188" s="112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-37.239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INDEX('[4]Master Data'!$A$2:$B$8,MATCH(WEEKDAY('GNS Bolv Gas MTM'!A189,3),'[4]Master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-37239</v>
      </c>
      <c r="P189" s="112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-37.239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INDEX('[4]Master Data'!$A$2:$B$8,MATCH(WEEKDAY('GNS Bolv Gas MTM'!A190,3),'[4]Master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-37239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-37.239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INDEX('[4]Master Data'!$A$2:$B$8,MATCH(WEEKDAY('GNS Bolv Gas MTM'!A191,3),'[4]Master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-37239</v>
      </c>
      <c r="P191" s="112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-37.239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INDEX('[4]Master Data'!$A$2:$B$8,MATCH(WEEKDAY('GNS Bolv Gas MTM'!A192,3),'[4]Master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-37239</v>
      </c>
      <c r="P192" s="112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-37.239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INDEX('[4]Master Data'!$A$2:$B$8,MATCH(WEEKDAY('GNS Bolv Gas MTM'!A193,3),'[4]Master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-37239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-37.239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INDEX('[4]Master Data'!$A$2:$B$8,MATCH(WEEKDAY('GNS Bolv Gas MTM'!A194,3),'[4]Master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-37239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-37.239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INDEX('[4]Master Data'!$A$2:$B$8,MATCH(WEEKDAY('GNS Bolv Gas MTM'!A195,3),'[4]Master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-37239</v>
      </c>
      <c r="P195" s="112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-37.239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INDEX('[4]Master Data'!$A$2:$B$8,MATCH(WEEKDAY('GNS Bolv Gas MTM'!A196,3),'[4]Master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-37239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-37.239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INDEX('[4]Master Data'!$A$2:$B$8,MATCH(WEEKDAY('GNS Bolv Gas MTM'!A197,3),'[4]Master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-37239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-37.239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INDEX('[4]Master Data'!$A$2:$B$8,MATCH(WEEKDAY('GNS Bolv Gas MTM'!A198,3),'[4]Master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-37239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-37.239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INDEX('[4]Master Data'!$A$2:$B$8,MATCH(WEEKDAY('GNS Bolv Gas MTM'!A199,3),'[4]Master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-37239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-37.239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INDEX('[4]Master Data'!$A$2:$B$8,MATCH(WEEKDAY('GNS Bolv Gas MTM'!A200,3),'[4]Master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-37239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-37.239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INDEX('[4]Master Data'!$A$2:$B$8,MATCH(WEEKDAY('GNS Bolv Gas MTM'!A201,3),'[4]Master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-37239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-37.239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INDEX('[4]Master Data'!$A$2:$B$8,MATCH(WEEKDAY('GNS Bolv Gas MTM'!A202,3),'[4]Master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-37239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-37.239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INDEX('[4]Master Data'!$A$2:$B$8,MATCH(WEEKDAY('GNS Bolv Gas MTM'!A203,3),'[4]Master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-37239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-37.239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INDEX('[4]Master Data'!$A$2:$B$8,MATCH(WEEKDAY('GNS Bolv Gas MTM'!A204,3),'[4]Master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-37239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-37.239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INDEX('[4]Master Data'!$A$2:$B$8,MATCH(WEEKDAY('GNS Bolv Gas MTM'!A205,3),'[4]Master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-37239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-37.239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INDEX('[4]Master Data'!$A$2:$B$8,MATCH(WEEKDAY('GNS Bolv Gas MTM'!A206,3),'[4]Master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-37239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-37.239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INDEX('[4]Master Data'!$A$2:$B$8,MATCH(WEEKDAY('GNS Bolv Gas MTM'!A207,3),'[4]Master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-37239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-37.239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INDEX('[4]Master Data'!$A$2:$B$8,MATCH(WEEKDAY('GNS Bolv Gas MTM'!A208,3),'[4]Master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-37239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-37.239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INDEX('[4]Master Data'!$A$2:$B$8,MATCH(WEEKDAY('GNS Bolv Gas MTM'!A209,3),'[4]Master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-37239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-37.239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INDEX('[4]Master Data'!$A$2:$B$8,MATCH(WEEKDAY('GNS Bolv Gas MTM'!A210,3),'[4]Master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-37239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-37.239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INDEX('[4]Master Data'!$A$2:$B$8,MATCH(WEEKDAY('GNS Bolv Gas MTM'!A211,3),'[4]Master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-37239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-37.239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INDEX('[4]Master Data'!$A$2:$B$8,MATCH(WEEKDAY('GNS Bolv Gas MTM'!A212,3),'[4]Master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-37239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-37.239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INDEX('[4]Master Data'!$A$2:$B$8,MATCH(WEEKDAY('GNS Bolv Gas MTM'!A213,3),'[4]Master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-37239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-37.239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INDEX('[4]Master Data'!$A$2:$B$8,MATCH(WEEKDAY('GNS Bolv Gas MTM'!A214,3),'[4]Master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-37239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-37.239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INDEX('[4]Master Data'!$A$2:$B$8,MATCH(WEEKDAY('GNS Bolv Gas MTM'!A215,3),'[4]Master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-37239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-37.239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INDEX('[4]Master Data'!$A$2:$B$8,MATCH(WEEKDAY('GNS Bolv Gas MTM'!A216,3),'[4]Master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-37239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-37.239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INDEX('[4]Master Data'!$A$2:$B$8,MATCH(WEEKDAY('GNS Bolv Gas MTM'!A217,3),'[4]Master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-37239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-37.239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INDEX('[4]Master Data'!$A$2:$B$8,MATCH(WEEKDAY('GNS Bolv Gas MTM'!A218,3),'[4]Master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-37239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-37.239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INDEX('[4]Master Data'!$A$2:$B$8,MATCH(WEEKDAY('GNS Bolv Gas MTM'!A219,3),'[4]Master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-37239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-37.239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INDEX('[4]Master Data'!$A$2:$B$8,MATCH(WEEKDAY('GNS Bolv Gas MTM'!A220,3),'[4]Master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-37239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-37.239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INDEX('[4]Master Data'!$A$2:$B$8,MATCH(WEEKDAY('GNS Bolv Gas MTM'!A221,3),'[4]Master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-37239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-37.239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INDEX('[4]Master Data'!$A$2:$B$8,MATCH(WEEKDAY('GNS Bolv Gas MTM'!A222,3),'[4]Master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-37239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-37.239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INDEX('[4]Master Data'!$A$2:$B$8,MATCH(WEEKDAY('GNS Bolv Gas MTM'!A223,3),'[4]Master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-37239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-37.239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INDEX('[4]Master Data'!$A$2:$B$8,MATCH(WEEKDAY('GNS Bolv Gas MTM'!A224,3),'[4]Master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-37239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-37.239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INDEX('[4]Master Data'!$A$2:$B$8,MATCH(WEEKDAY('GNS Bolv Gas MTM'!A225,3),'[4]Master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-37239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-37.239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INDEX('[4]Master Data'!$A$2:$B$8,MATCH(WEEKDAY('GNS Bolv Gas MTM'!A226,3),'[4]Master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-37239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-37.239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INDEX('[4]Master Data'!$A$2:$B$8,MATCH(WEEKDAY('GNS Bolv Gas MTM'!A227,3),'[4]Master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-37239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-37.239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INDEX('[4]Master Data'!$A$2:$B$8,MATCH(WEEKDAY('GNS Bolv Gas MTM'!A228,3),'[4]Master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-37239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-37.239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INDEX('[4]Master Data'!$A$2:$B$8,MATCH(WEEKDAY('GNS Bolv Gas MTM'!A229,3),'[4]Master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-37239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-37.239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INDEX('[4]Master Data'!$A$2:$B$8,MATCH(WEEKDAY('GNS Bolv Gas MTM'!A230,3),'[4]Master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-37239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-37.239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INDEX('[4]Master Data'!$A$2:$B$8,MATCH(WEEKDAY('GNS Bolv Gas MTM'!A231,3),'[4]Master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-37239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-37.239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INDEX('[4]Master Data'!$A$2:$B$8,MATCH(WEEKDAY('GNS Bolv Gas MTM'!A232,3),'[4]Master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-37239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-37.239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INDEX('[4]Master Data'!$A$2:$B$8,MATCH(WEEKDAY('GNS Bolv Gas MTM'!A233,3),'[4]Master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-37239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-37.239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INDEX('[4]Master Data'!$A$2:$B$8,MATCH(WEEKDAY('GNS Bolv Gas MTM'!A234,3),'[4]Master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-37239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-37.239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INDEX('[4]Master Data'!$A$2:$B$8,MATCH(WEEKDAY('GNS Bolv Gas MTM'!A235,3),'[4]Master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-37239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-37.239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INDEX('[4]Master Data'!$A$2:$B$8,MATCH(WEEKDAY('GNS Bolv Gas MTM'!A236,3),'[4]Master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-37239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-37.239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INDEX('[4]Master Data'!$A$2:$B$8,MATCH(WEEKDAY('GNS Bolv Gas MTM'!A237,3),'[4]Master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-37239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-37.239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INDEX('[4]Master Data'!$A$2:$B$8,MATCH(WEEKDAY('GNS Bolv Gas MTM'!A238,3),'[4]Master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-37239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-37.239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INDEX('[4]Master Data'!$A$2:$B$8,MATCH(WEEKDAY('GNS Bolv Gas MTM'!A239,3),'[4]Master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-37239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-37.239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INDEX('[4]Master Data'!$A$2:$B$8,MATCH(WEEKDAY('GNS Bolv Gas MTM'!A240,3),'[4]Master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-37239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-37.239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INDEX('[4]Master Data'!$A$2:$B$8,MATCH(WEEKDAY('GNS Bolv Gas MTM'!A241,3),'[4]Master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-37239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-37.239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INDEX('[4]Master Data'!$A$2:$B$8,MATCH(WEEKDAY('GNS Bolv Gas MTM'!A242,3),'[4]Master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-37239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-37.239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INDEX('[4]Master Data'!$A$2:$B$8,MATCH(WEEKDAY('GNS Bolv Gas MTM'!A243,3),'[4]Master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-37239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-37.239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INDEX('[4]Master Data'!$A$2:$B$8,MATCH(WEEKDAY('GNS Bolv Gas MTM'!A244,3),'[4]Master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-37239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-37.239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INDEX('[4]Master Data'!$A$2:$B$8,MATCH(WEEKDAY('GNS Bolv Gas MTM'!A245,3),'[4]Master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-37239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-37.239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INDEX('[4]Master Data'!$A$2:$B$8,MATCH(WEEKDAY('GNS Bolv Gas MTM'!A246,3),'[4]Master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-37239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-37.239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INDEX('[4]Master Data'!$A$2:$B$8,MATCH(WEEKDAY('GNS Bolv Gas MTM'!A247,3),'[4]Master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-37239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-37.239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INDEX('[4]Master Data'!$A$2:$B$8,MATCH(WEEKDAY('GNS Bolv Gas MTM'!A248,3),'[4]Master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-37239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-37.239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INDEX('[4]Master Data'!$A$2:$B$8,MATCH(WEEKDAY('GNS Bolv Gas MTM'!A249,3),'[4]Master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-37239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-37.239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INDEX('[4]Master Data'!$A$2:$B$8,MATCH(WEEKDAY('GNS Bolv Gas MTM'!A250,3),'[4]Master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-37239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-37.239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INDEX('[4]Master Data'!$A$2:$B$8,MATCH(WEEKDAY('GNS Bolv Gas MTM'!A251,3),'[4]Master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-37239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-37.239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INDEX('[4]Master Data'!$A$2:$B$8,MATCH(WEEKDAY('GNS Bolv Gas MTM'!A252,3),'[4]Master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-37239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-37.239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INDEX('[4]Master Data'!$A$2:$B$8,MATCH(WEEKDAY('GNS Bolv Gas MTM'!A253,3),'[4]Master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-37239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-37.239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INDEX('[4]Master Data'!$A$2:$B$8,MATCH(WEEKDAY('GNS Bolv Gas MTM'!A254,3),'[4]Master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-37239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-37.239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INDEX('[4]Master Data'!$A$2:$B$8,MATCH(WEEKDAY('GNS Bolv Gas MTM'!A255,3),'[4]Master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-37239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-37.239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INDEX('[4]Master Data'!$A$2:$B$8,MATCH(WEEKDAY('GNS Bolv Gas MTM'!A256,3),'[4]Master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-37239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-37.239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INDEX('[4]Master Data'!$A$2:$B$8,MATCH(WEEKDAY('GNS Bolv Gas MTM'!A257,3),'[4]Master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-37239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-37.239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INDEX('[4]Master Data'!$A$2:$B$8,MATCH(WEEKDAY('GNS Bolv Gas MTM'!A258,3),'[4]Master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-37239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-37.239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INDEX('[4]Master Data'!$A$2:$B$8,MATCH(WEEKDAY('GNS Bolv Gas MTM'!A259,3),'[4]Master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-37239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-37.239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INDEX('[4]Master Data'!$A$2:$B$8,MATCH(WEEKDAY('GNS Bolv Gas MTM'!A260,3),'[4]Master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-37239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-37.239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INDEX('[4]Master Data'!$A$2:$B$8,MATCH(WEEKDAY('GNS Bolv Gas MTM'!A261,3),'[4]Master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-37239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-37.239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INDEX('[4]Master Data'!$A$2:$B$8,MATCH(WEEKDAY('GNS Bolv Gas MTM'!A262,3),'[4]Master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-37239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-37.239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INDEX('[4]Master Data'!$A$2:$B$8,MATCH(WEEKDAY('GNS Bolv Gas MTM'!A263,3),'[4]Master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-37239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-37.239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INDEX('[4]Master Data'!$A$2:$B$8,MATCH(WEEKDAY('GNS Bolv Gas MTM'!A264,3),'[4]Master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-37239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-37.239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INDEX('[4]Master Data'!$A$2:$B$8,MATCH(WEEKDAY('GNS Bolv Gas MTM'!A265,3),'[4]Master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-37239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-37.239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INDEX('[4]Master Data'!$A$2:$B$8,MATCH(WEEKDAY('GNS Bolv Gas MTM'!A266,3),'[4]Master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-37239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-37.239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INDEX('[4]Master Data'!$A$2:$B$8,MATCH(WEEKDAY('GNS Bolv Gas MTM'!A267,3),'[4]Master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-37239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-37.239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INDEX('[4]Master Data'!$A$2:$B$8,MATCH(WEEKDAY('GNS Bolv Gas MTM'!A268,3),'[4]Master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-37239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-37.239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INDEX('[4]Master Data'!$A$2:$B$8,MATCH(WEEKDAY('GNS Bolv Gas MTM'!A269,3),'[4]Master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-37239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-37.239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INDEX('[4]Master Data'!$A$2:$B$8,MATCH(WEEKDAY('GNS Bolv Gas MTM'!A270,3),'[4]Master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-37239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-37.239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INDEX('[4]Master Data'!$A$2:$B$8,MATCH(WEEKDAY('GNS Bolv Gas MTM'!A271,3),'[4]Master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-37239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-37.239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INDEX('[4]Master Data'!$A$2:$B$8,MATCH(WEEKDAY('GNS Bolv Gas MTM'!A272,3),'[4]Master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-37239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-37.239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INDEX('[4]Master Data'!$A$2:$B$8,MATCH(WEEKDAY('GNS Bolv Gas MTM'!A273,3),'[4]Master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-37239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-37.239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INDEX('[4]Master Data'!$A$2:$B$8,MATCH(WEEKDAY('GNS Bolv Gas MTM'!A274,3),'[4]Master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-37239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-37.239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INDEX('[4]Master Data'!$A$2:$B$8,MATCH(WEEKDAY('GNS Bolv Gas MTM'!A275,3),'[4]Master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-37239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-37.239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INDEX('[4]Master Data'!$A$2:$B$8,MATCH(WEEKDAY('GNS Bolv Gas MTM'!A276,3),'[4]Master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-37239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-37.239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INDEX('[4]Master Data'!$A$2:$B$8,MATCH(WEEKDAY('GNS Bolv Gas MTM'!A277,3),'[4]Master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-37239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-37.239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INDEX('[4]Master Data'!$A$2:$B$8,MATCH(WEEKDAY('GNS Bolv Gas MTM'!A278,3),'[4]Master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-37239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-37.239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INDEX('[4]Master Data'!$A$2:$B$8,MATCH(WEEKDAY('GNS Bolv Gas MTM'!A279,3),'[4]Master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-37239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-37.239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INDEX('[4]Master Data'!$A$2:$B$8,MATCH(WEEKDAY('GNS Bolv Gas MTM'!A280,3),'[4]Master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-37239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-37.239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INDEX('[4]Master Data'!$A$2:$B$8,MATCH(WEEKDAY('GNS Bolv Gas MTM'!A281,3),'[4]Master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-37239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-37.239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INDEX('[4]Master Data'!$A$2:$B$8,MATCH(WEEKDAY('GNS Bolv Gas MTM'!A282,3),'[4]Master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-37239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-37.239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INDEX('[4]Master Data'!$A$2:$B$8,MATCH(WEEKDAY('GNS Bolv Gas MTM'!A283,3),'[4]Master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-37239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-37.239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INDEX('[4]Master Data'!$A$2:$B$8,MATCH(WEEKDAY('GNS Bolv Gas MTM'!A284,3),'[4]Master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-37239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-37.239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INDEX('[4]Master Data'!$A$2:$B$8,MATCH(WEEKDAY('GNS Bolv Gas MTM'!A285,3),'[4]Master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-37239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-37.239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INDEX('[4]Master Data'!$A$2:$B$8,MATCH(WEEKDAY('GNS Bolv Gas MTM'!A286,3),'[4]Master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-37239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-37.239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INDEX('[4]Master Data'!$A$2:$B$8,MATCH(WEEKDAY('GNS Bolv Gas MTM'!A287,3),'[4]Master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-37239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-37.239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INDEX('[4]Master Data'!$A$2:$B$8,MATCH(WEEKDAY('GNS Bolv Gas MTM'!A288,3),'[4]Master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-37239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-37.239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INDEX('[4]Master Data'!$A$2:$B$8,MATCH(WEEKDAY('GNS Bolv Gas MTM'!A289,3),'[4]Master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-37239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-37.239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INDEX('[4]Master Data'!$A$2:$B$8,MATCH(WEEKDAY('GNS Bolv Gas MTM'!A290,3),'[4]Master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-37239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-37.239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INDEX('[4]Master Data'!$A$2:$B$8,MATCH(WEEKDAY('GNS Bolv Gas MTM'!A291,3),'[4]Master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-37239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-37.239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INDEX('[4]Master Data'!$A$2:$B$8,MATCH(WEEKDAY('GNS Bolv Gas MTM'!A292,3),'[4]Master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-37239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-37.239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INDEX('[4]Master Data'!$A$2:$B$8,MATCH(WEEKDAY('GNS Bolv Gas MTM'!A293,3),'[4]Master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-37239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-37.239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INDEX('[4]Master Data'!$A$2:$B$8,MATCH(WEEKDAY('GNS Bolv Gas MTM'!A294,3),'[4]Master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-37239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-37.239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INDEX('[4]Master Data'!$A$2:$B$8,MATCH(WEEKDAY('GNS Bolv Gas MTM'!A295,3),'[4]Master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-37239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-37.239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INDEX('[4]Master Data'!$A$2:$B$8,MATCH(WEEKDAY('GNS Bolv Gas MTM'!A296,3),'[4]Master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-37239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-37.239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INDEX('[4]Master Data'!$A$2:$B$8,MATCH(WEEKDAY('GNS Bolv Gas MTM'!A297,3),'[4]Master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-37239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-37.239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INDEX('[4]Master Data'!$A$2:$B$8,MATCH(WEEKDAY('GNS Bolv Gas MTM'!A298,3),'[4]Master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-37239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-37.239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INDEX('[4]Master Data'!$A$2:$B$8,MATCH(WEEKDAY('GNS Bolv Gas MTM'!A299,3),'[4]Master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-37239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-37.239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INDEX('[4]Master Data'!$A$2:$B$8,MATCH(WEEKDAY('GNS Bolv Gas MTM'!A300,3),'[4]Master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-37239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-37.239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INDEX('[4]Master Data'!$A$2:$B$8,MATCH(WEEKDAY('GNS Bolv Gas MTM'!A301,3),'[4]Master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-37239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-37.239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INDEX('[4]Master Data'!$A$2:$B$8,MATCH(WEEKDAY('GNS Bolv Gas MTM'!A302,3),'[4]Master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-37239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-37.239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INDEX('[4]Master Data'!$A$2:$B$8,MATCH(WEEKDAY('GNS Bolv Gas MTM'!A303,3),'[4]Master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-37239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-37.239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INDEX('[4]Master Data'!$A$2:$B$8,MATCH(WEEKDAY('GNS Bolv Gas MTM'!A304,3),'[4]Master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-37239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-37.239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INDEX('[4]Master Data'!$A$2:$B$8,MATCH(WEEKDAY('GNS Bolv Gas MTM'!A305,3),'[4]Master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-37239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-37.239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INDEX('[4]Master Data'!$A$2:$B$8,MATCH(WEEKDAY('GNS Bolv Gas MTM'!A306,3),'[4]Master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-37239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-37.239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INDEX('[4]Master Data'!$A$2:$B$8,MATCH(WEEKDAY('GNS Bolv Gas MTM'!A307,3),'[4]Master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-37239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-37.239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INDEX('[4]Master Data'!$A$2:$B$8,MATCH(WEEKDAY('GNS Bolv Gas MTM'!A308,3),'[4]Master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-37239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-37.239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INDEX('[4]Master Data'!$A$2:$B$8,MATCH(WEEKDAY('GNS Bolv Gas MTM'!A309,3),'[4]Master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-37239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-37.239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INDEX('[4]Master Data'!$A$2:$B$8,MATCH(WEEKDAY('GNS Bolv Gas MTM'!A310,3),'[4]Master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-37239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-37.239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INDEX('[4]Master Data'!$A$2:$B$8,MATCH(WEEKDAY('GNS Bolv Gas MTM'!A311,3),'[4]Master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-37239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-37.239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INDEX('[4]Master Data'!$A$2:$B$8,MATCH(WEEKDAY('GNS Bolv Gas MTM'!A312,3),'[4]Master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-37239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-37.239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INDEX('[4]Master Data'!$A$2:$B$8,MATCH(WEEKDAY('GNS Bolv Gas MTM'!A313,3),'[4]Master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-37239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-37.239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INDEX('[4]Master Data'!$A$2:$B$8,MATCH(WEEKDAY('GNS Bolv Gas MTM'!A314,3),'[4]Master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-37239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-37.239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INDEX('[4]Master Data'!$A$2:$B$8,MATCH(WEEKDAY('GNS Bolv Gas MTM'!A315,3),'[4]Master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-37239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-37.239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INDEX('[4]Master Data'!$A$2:$B$8,MATCH(WEEKDAY('GNS Bolv Gas MTM'!A316,3),'[4]Master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-37239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-37.239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INDEX('[4]Master Data'!$A$2:$B$8,MATCH(WEEKDAY('GNS Bolv Gas MTM'!A317,3),'[4]Master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-37239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-37.239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INDEX('[4]Master Data'!$A$2:$B$8,MATCH(WEEKDAY('GNS Bolv Gas MTM'!A318,3),'[4]Master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-37239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-37.239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INDEX('[4]Master Data'!$A$2:$B$8,MATCH(WEEKDAY('GNS Bolv Gas MTM'!A319,3),'[4]Master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-37239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-37.239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INDEX('[4]Master Data'!$A$2:$B$8,MATCH(WEEKDAY('GNS Bolv Gas MTM'!A320,3),'[4]Master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-37239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-37.239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INDEX('[4]Master Data'!$A$2:$B$8,MATCH(WEEKDAY('GNS Bolv Gas MTM'!A321,3),'[4]Master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-37239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-37.239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INDEX('[4]Master Data'!$A$2:$B$8,MATCH(WEEKDAY('GNS Bolv Gas MTM'!A322,3),'[4]Master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-37239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-37.239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INDEX('[4]Master Data'!$A$2:$B$8,MATCH(WEEKDAY('GNS Bolv Gas MTM'!A323,3),'[4]Master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-37239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-37.239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INDEX('[4]Master Data'!$A$2:$B$8,MATCH(WEEKDAY('GNS Bolv Gas MTM'!A324,3),'[4]Master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-37239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-37.239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INDEX('[4]Master Data'!$A$2:$B$8,MATCH(WEEKDAY('GNS Bolv Gas MTM'!A325,3),'[4]Master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-37239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-37.239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INDEX('[4]Master Data'!$A$2:$B$8,MATCH(WEEKDAY('GNS Bolv Gas MTM'!A326,3),'[4]Master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-37239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-37.239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INDEX('[4]Master Data'!$A$2:$B$8,MATCH(WEEKDAY('GNS Bolv Gas MTM'!A327,3),'[4]Master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-37239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-37.239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INDEX('[4]Master Data'!$A$2:$B$8,MATCH(WEEKDAY('GNS Bolv Gas MTM'!A328,3),'[4]Master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-37239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-37.239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INDEX('[4]Master Data'!$A$2:$B$8,MATCH(WEEKDAY('GNS Bolv Gas MTM'!A329,3),'[4]Master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-37239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-37.239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INDEX('[4]Master Data'!$A$2:$B$8,MATCH(WEEKDAY('GNS Bolv Gas MTM'!A330,3),'[4]Master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-37239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-37.239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INDEX('[4]Master Data'!$A$2:$B$8,MATCH(WEEKDAY('GNS Bolv Gas MTM'!A331,3),'[4]Master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-37239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-37.239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INDEX('[4]Master Data'!$A$2:$B$8,MATCH(WEEKDAY('GNS Bolv Gas MTM'!A332,3),'[4]Master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-37239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-37.239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INDEX('[4]Master Data'!$A$2:$B$8,MATCH(WEEKDAY('GNS Bolv Gas MTM'!A333,3),'[4]Master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-37239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-37.239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INDEX('[4]Master Data'!$A$2:$B$8,MATCH(WEEKDAY('GNS Bolv Gas MTM'!A334,3),'[4]Master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-37239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-37.239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INDEX('[4]Master Data'!$A$2:$B$8,MATCH(WEEKDAY('GNS Bolv Gas MTM'!A335,3),'[4]Master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-37239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-37.239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INDEX('[4]Master Data'!$A$2:$B$8,MATCH(WEEKDAY('GNS Bolv Gas MTM'!A336,3),'[4]Master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-37239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-37.239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INDEX('[4]Master Data'!$A$2:$B$8,MATCH(WEEKDAY('GNS Bolv Gas MTM'!A337,3),'[4]Master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-37239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-37.239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INDEX('[4]Master Data'!$A$2:$B$8,MATCH(WEEKDAY('GNS Bolv Gas MTM'!A338,3),'[4]Master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-37239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-37.239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INDEX('[4]Master Data'!$A$2:$B$8,MATCH(WEEKDAY('GNS Bolv Gas MTM'!A339,3),'[4]Master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-37239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-37.239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INDEX('[4]Master Data'!$A$2:$B$8,MATCH(WEEKDAY('GNS Bolv Gas MTM'!A340,3),'[4]Master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-37239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-37.239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INDEX('[4]Master Data'!$A$2:$B$8,MATCH(WEEKDAY('GNS Bolv Gas MTM'!A341,3),'[4]Master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-37239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-37.239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INDEX('[4]Master Data'!$A$2:$B$8,MATCH(WEEKDAY('GNS Bolv Gas MTM'!A342,3),'[4]Master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-37239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-37.239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INDEX('[4]Master Data'!$A$2:$B$8,MATCH(WEEKDAY('GNS Bolv Gas MTM'!A343,3),'[4]Master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-37239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-37.239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INDEX('[4]Master Data'!$A$2:$B$8,MATCH(WEEKDAY('GNS Bolv Gas MTM'!A344,3),'[4]Master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-37239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-37.239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INDEX('[4]Master Data'!$A$2:$B$8,MATCH(WEEKDAY('GNS Bolv Gas MTM'!A345,3),'[4]Master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-37239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-37.239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INDEX('[4]Master Data'!$A$2:$B$8,MATCH(WEEKDAY('GNS Bolv Gas MTM'!A346,3),'[4]Master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-37239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-37.239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INDEX('[4]Master Data'!$A$2:$B$8,MATCH(WEEKDAY('GNS Bolv Gas MTM'!A347,3),'[4]Master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-37239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-37.239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INDEX('[4]Master Data'!$A$2:$B$8,MATCH(WEEKDAY('GNS Bolv Gas MTM'!A348,3),'[4]Master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-37239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-37.239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INDEX('[4]Master Data'!$A$2:$B$8,MATCH(WEEKDAY('GNS Bolv Gas MTM'!A349,3),'[4]Master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-37239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-37.239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INDEX('[4]Master Data'!$A$2:$B$8,MATCH(WEEKDAY('GNS Bolv Gas MTM'!A350,3),'[4]Master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-37239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-37.239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INDEX('[4]Master Data'!$A$2:$B$8,MATCH(WEEKDAY('GNS Bolv Gas MTM'!A351,3),'[4]Master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-37239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-37.239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INDEX('[4]Master Data'!$A$2:$B$8,MATCH(WEEKDAY('GNS Bolv Gas MTM'!A352,3),'[4]Master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-37239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-37.239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INDEX('[4]Master Data'!$A$2:$B$8,MATCH(WEEKDAY('GNS Bolv Gas MTM'!A353,3),'[4]Master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-37239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-37.239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INDEX('[4]Master Data'!$A$2:$B$8,MATCH(WEEKDAY('GNS Bolv Gas MTM'!A354,3),'[4]Master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-37239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-37.239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INDEX('[4]Master Data'!$A$2:$B$8,MATCH(WEEKDAY('GNS Bolv Gas MTM'!A355,3),'[4]Master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-37239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-37.239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INDEX('[4]Master Data'!$A$2:$B$8,MATCH(WEEKDAY('GNS Bolv Gas MTM'!A356,3),'[4]Master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-37239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-37.239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INDEX('[4]Master Data'!$A$2:$B$8,MATCH(WEEKDAY('GNS Bolv Gas MTM'!A357,3),'[4]Master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-37239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-37.239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INDEX('[4]Master Data'!$A$2:$B$8,MATCH(WEEKDAY('GNS Bolv Gas MTM'!A358,3),'[4]Master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-37239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-37.239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INDEX('[4]Master Data'!$A$2:$B$8,MATCH(WEEKDAY('GNS Bolv Gas MTM'!A359,3),'[4]Master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-37239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-37.239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INDEX('[4]Master Data'!$A$2:$B$8,MATCH(WEEKDAY('GNS Bolv Gas MTM'!A360,3),'[4]Master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-37239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-37.239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INDEX('[4]Master Data'!$A$2:$B$8,MATCH(WEEKDAY('GNS Bolv Gas MTM'!A361,3),'[4]Master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-37239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-37.239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INDEX('[4]Master Data'!$A$2:$B$8,MATCH(WEEKDAY('GNS Bolv Gas MTM'!A362,3),'[4]Master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-37239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-37.239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INDEX('[4]Master Data'!$A$2:$B$8,MATCH(WEEKDAY('GNS Bolv Gas MTM'!A363,3),'[4]Master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-37239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-37.239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INDEX('[4]Master Data'!$A$2:$B$8,MATCH(WEEKDAY('GNS Bolv Gas MTM'!A364,3),'[4]Master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-37239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-37.239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INDEX('[4]Master Data'!$A$2:$B$8,MATCH(WEEKDAY('GNS Bolv Gas MTM'!A365,3),'[4]Master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-37239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-37.239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INDEX('[4]Master Data'!$A$2:$B$8,MATCH(WEEKDAY('GNS Bolv Gas MTM'!A366,3),'[4]Master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-37239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-37.239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INDEX('[4]Master Data'!$A$2:$B$8,MATCH(WEEKDAY('GNS Bolv Gas MTM'!A367,3),'[4]Master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-37239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-37.239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INDEX('[4]Master Data'!$A$2:$B$8,MATCH(WEEKDAY('GNS Bolv Gas MTM'!A368,3),'[4]Master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-37239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-37.239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INDEX('[4]Master Data'!$A$2:$B$8,MATCH(WEEKDAY('GNS Bolv Gas MTM'!A369,3),'[4]Master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-37239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-37.239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INDEX('[4]Master Data'!$A$2:$B$8,MATCH(WEEKDAY('GNS Bolv Gas MTM'!A370,3),'[4]Master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-37239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-37.239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INDEX('[4]Master Data'!$A$2:$B$8,MATCH(WEEKDAY('GNS Bolv Gas MTM'!A371,3),'[4]Master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-37239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INDEX('[4]Master Data'!$A$2:$B$8,MATCH(WEEKDAY('SC Gas MTM'!A6,3),'[4]Master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INDEX('[4]Master Data'!$A$2:$B$8,MATCH(WEEKDAY('SC Gas MTM'!A7,3),'[4]Master Data'!$A$2:$A$8,0),2)</f>
        <v>T</v>
      </c>
      <c r="D7" s="112" t="n">
        <v>-15482286.1813372</v>
      </c>
      <c r="E7" s="112" t="n">
        <v>0</v>
      </c>
      <c r="F7" s="112" t="n">
        <v>0</v>
      </c>
      <c r="G7" s="112" t="n">
        <v>224756</v>
      </c>
      <c r="I7" s="112" t="n">
        <f aca="false">IF(MONTH($A7)=MONTH($A6),IF(G7=0,I6,G7),0)</f>
        <v>224756</v>
      </c>
      <c r="J7" s="112" t="n">
        <f aca="false">IF(MONTH($A7)=MONTH($A6),SUM(I7-I6),I7)</f>
        <v>224756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224756</v>
      </c>
      <c r="N7" s="112" t="n">
        <f aca="false">SUM(J$6:J7)</f>
        <v>224756</v>
      </c>
      <c r="P7" s="112" t="n">
        <f aca="false">D7/P$3</f>
        <v>-15.4822861813372</v>
      </c>
      <c r="Q7" s="112" t="n">
        <f aca="false">E7/P$3</f>
        <v>0</v>
      </c>
      <c r="R7" s="112" t="n">
        <f aca="false">F7/R$3</f>
        <v>0</v>
      </c>
      <c r="S7" s="114" t="n">
        <f aca="false">J7/$R$3</f>
        <v>224.756</v>
      </c>
      <c r="T7" s="114" t="n">
        <f aca="false">L7/$R$3</f>
        <v>0</v>
      </c>
      <c r="U7" s="114" t="n">
        <f aca="false">I7/$R$3</f>
        <v>224.756</v>
      </c>
      <c r="V7" s="114" t="n">
        <f aca="false">M7/$R$3</f>
        <v>224.756</v>
      </c>
      <c r="W7" s="114" t="n">
        <f aca="false">N7/$R$3</f>
        <v>224.756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INDEX('[4]Master Data'!$A$2:$B$8,MATCH(WEEKDAY('SC Gas MTM'!A8,3),'[4]Master Data'!$A$2:$A$8,0),2)</f>
        <v>W</v>
      </c>
      <c r="D8" s="112" t="n">
        <v>-15284567.4505878</v>
      </c>
      <c r="E8" s="112" t="n">
        <v>0</v>
      </c>
      <c r="F8" s="112" t="n">
        <v>0</v>
      </c>
      <c r="G8" s="112" t="n">
        <v>101202</v>
      </c>
      <c r="I8" s="112" t="n">
        <f aca="false">IF(MONTH($A8)=MONTH($A7),IF(G8=0,I7,G8),0)</f>
        <v>101202</v>
      </c>
      <c r="J8" s="112" t="n">
        <f aca="false">IF(MONTH($A8)=MONTH($A7),SUM(I8-I7),I8)</f>
        <v>-123554</v>
      </c>
      <c r="K8" s="112" t="n">
        <f aca="false">IF(WEEKDAY(A8,3)&gt;4,0,(IF(A8&lt;K$2,0,IF(A8&lt;=K$3,1,0))))</f>
        <v>0</v>
      </c>
      <c r="L8" s="112" t="n">
        <f aca="false">J8*K8</f>
        <v>-0</v>
      </c>
      <c r="M8" s="112" t="n">
        <f aca="false">SUM(J$6:J8)</f>
        <v>101202</v>
      </c>
      <c r="N8" s="112" t="n">
        <f aca="false">SUM(J$6:J8)</f>
        <v>101202</v>
      </c>
      <c r="P8" s="112" t="n">
        <f aca="false">D8/P$3</f>
        <v>-15.2845674505878</v>
      </c>
      <c r="Q8" s="112" t="n">
        <f aca="false">E8/P$3</f>
        <v>0</v>
      </c>
      <c r="R8" s="112" t="n">
        <f aca="false">F8/R$3</f>
        <v>0</v>
      </c>
      <c r="S8" s="114" t="n">
        <f aca="false">J8/$R$3</f>
        <v>-123.554</v>
      </c>
      <c r="T8" s="114" t="n">
        <f aca="false">L8/$R$3</f>
        <v>-0</v>
      </c>
      <c r="U8" s="114" t="n">
        <f aca="false">I8/$R$3</f>
        <v>101.202</v>
      </c>
      <c r="V8" s="114" t="n">
        <f aca="false">M8/$R$3</f>
        <v>101.202</v>
      </c>
      <c r="W8" s="114" t="n">
        <f aca="false">N8/$R$3</f>
        <v>101.202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INDEX('[4]Master Data'!$A$2:$B$8,MATCH(WEEKDAY('SC Gas MTM'!A9,3),'[4]Master Data'!$A$2:$A$8,0),2)</f>
        <v>Th</v>
      </c>
      <c r="D9" s="112" t="n">
        <v>-15487580.3222384</v>
      </c>
      <c r="E9" s="112" t="n">
        <v>0</v>
      </c>
      <c r="F9" s="112" t="n">
        <v>0</v>
      </c>
      <c r="G9" s="112" t="n">
        <v>236694</v>
      </c>
      <c r="I9" s="112" t="n">
        <f aca="false">IF(MONTH($A9)=MONTH($A8),IF(G9=0,I8,G9),0)</f>
        <v>236694</v>
      </c>
      <c r="J9" s="112" t="n">
        <f aca="false">IF(MONTH($A9)=MONTH($A8),SUM(I9-I8),I9)</f>
        <v>135492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236694</v>
      </c>
      <c r="N9" s="112" t="n">
        <f aca="false">SUM(J$6:J9)</f>
        <v>236694</v>
      </c>
      <c r="P9" s="112" t="n">
        <f aca="false">D9/P$3</f>
        <v>-15.4875803222384</v>
      </c>
      <c r="Q9" s="112" t="n">
        <f aca="false">E9/P$3</f>
        <v>0</v>
      </c>
      <c r="R9" s="112" t="n">
        <f aca="false">F9/R$3</f>
        <v>0</v>
      </c>
      <c r="S9" s="114" t="n">
        <f aca="false">J9/$R$3</f>
        <v>135.492</v>
      </c>
      <c r="T9" s="114" t="n">
        <f aca="false">L9/$R$3</f>
        <v>0</v>
      </c>
      <c r="U9" s="114" t="n">
        <f aca="false">I9/$R$3</f>
        <v>236.694</v>
      </c>
      <c r="V9" s="114" t="n">
        <f aca="false">M9/$R$3</f>
        <v>236.694</v>
      </c>
      <c r="W9" s="114" t="n">
        <f aca="false">N9/$R$3</f>
        <v>236.694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INDEX('[4]Master Data'!$A$2:$B$8,MATCH(WEEKDAY('SC Gas MTM'!A10,3),'[4]Master Data'!$A$2:$A$8,0),2)</f>
        <v>F</v>
      </c>
      <c r="D10" s="112" t="n">
        <v>-16024089.8985913</v>
      </c>
      <c r="E10" s="112" t="n">
        <v>0</v>
      </c>
      <c r="F10" s="112" t="n">
        <v>0</v>
      </c>
      <c r="G10" s="112" t="n">
        <v>527311</v>
      </c>
      <c r="I10" s="112" t="n">
        <f aca="false">IF(MONTH($A10)=MONTH($A9),IF(G10=0,I9,G10),0)</f>
        <v>527311</v>
      </c>
      <c r="J10" s="112" t="n">
        <f aca="false">IF(MONTH($A10)=MONTH($A9),SUM(I10-I9),I10)</f>
        <v>290617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527311</v>
      </c>
      <c r="N10" s="112" t="n">
        <f aca="false">SUM(J$6:J10)</f>
        <v>527311</v>
      </c>
      <c r="P10" s="112" t="n">
        <f aca="false">D10/P$3</f>
        <v>-16.0240898985913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290.617</v>
      </c>
      <c r="T10" s="114" t="n">
        <f aca="false">L10/$R$3</f>
        <v>0</v>
      </c>
      <c r="U10" s="114" t="n">
        <f aca="false">I10/$R$3</f>
        <v>527.311</v>
      </c>
      <c r="V10" s="114" t="n">
        <f aca="false">M10/$R$3</f>
        <v>527.311</v>
      </c>
      <c r="W10" s="114" t="n">
        <f aca="false">N10/$R$3</f>
        <v>527.311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INDEX('[4]Master Data'!$A$2:$B$8,MATCH(WEEKDAY('SC Gas MTM'!A11,3),'[4]Master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527311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527311</v>
      </c>
      <c r="N11" s="112" t="n">
        <f aca="false">SUM(J$6:J11)</f>
        <v>527311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527.311</v>
      </c>
      <c r="V11" s="114" t="n">
        <f aca="false">M11/$R$3</f>
        <v>527.311</v>
      </c>
      <c r="W11" s="114" t="n">
        <f aca="false">N11/$R$3</f>
        <v>527.311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INDEX('[4]Master Data'!$A$2:$B$8,MATCH(WEEKDAY('SC Gas MTM'!A12,3),'[4]Master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527311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527311</v>
      </c>
      <c r="N12" s="112" t="n">
        <f aca="false">SUM(J$6:J12)</f>
        <v>527311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527.311</v>
      </c>
      <c r="V12" s="114" t="n">
        <f aca="false">M12/$R$3</f>
        <v>527.311</v>
      </c>
      <c r="W12" s="114" t="n">
        <f aca="false">N12/$R$3</f>
        <v>527.311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INDEX('[4]Master Data'!$A$2:$B$8,MATCH(WEEKDAY('SC Gas MTM'!A13,3),'[4]Master Data'!$A$2:$A$8,0),2)</f>
        <v>M</v>
      </c>
      <c r="D13" s="112" t="n">
        <v>-16008378.1899807</v>
      </c>
      <c r="E13" s="112" t="n">
        <v>0</v>
      </c>
      <c r="F13" s="112" t="n">
        <v>0</v>
      </c>
      <c r="G13" s="112" t="n">
        <v>459862</v>
      </c>
      <c r="I13" s="112" t="n">
        <f aca="false">IF(MONTH($A13)=MONTH($A12),IF(G13=0,I12,G13),0)</f>
        <v>459862</v>
      </c>
      <c r="J13" s="112" t="n">
        <f aca="false">IF(MONTH($A13)=MONTH($A12),SUM(I13-I12),I13)</f>
        <v>-67449</v>
      </c>
      <c r="K13" s="112" t="n">
        <f aca="false">IF(WEEKDAY(A13,3)&gt;4,0,(IF(A13&lt;K$2,0,IF(A13&lt;=K$3,1,0))))</f>
        <v>0</v>
      </c>
      <c r="L13" s="112" t="n">
        <f aca="false">J13*K13</f>
        <v>-0</v>
      </c>
      <c r="M13" s="112" t="n">
        <f aca="false">SUM(J$6:J13)</f>
        <v>459862</v>
      </c>
      <c r="N13" s="112" t="n">
        <f aca="false">SUM(J$6:J13)</f>
        <v>459862</v>
      </c>
      <c r="P13" s="112" t="n">
        <f aca="false">D13/P$3</f>
        <v>-16.0083781899807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-67.449</v>
      </c>
      <c r="T13" s="114" t="n">
        <f aca="false">L13/$R$3</f>
        <v>-0</v>
      </c>
      <c r="U13" s="114" t="n">
        <f aca="false">I13/$R$3</f>
        <v>459.862</v>
      </c>
      <c r="V13" s="114" t="n">
        <f aca="false">M13/$R$3</f>
        <v>459.862</v>
      </c>
      <c r="W13" s="114" t="n">
        <f aca="false">N13/$R$3</f>
        <v>459.862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INDEX('[4]Master Data'!$A$2:$B$8,MATCH(WEEKDAY('SC Gas MTM'!A14,3),'[4]Master Data'!$A$2:$A$8,0),2)</f>
        <v>T</v>
      </c>
      <c r="D14" s="112" t="n">
        <v>-15987977.8771223</v>
      </c>
      <c r="E14" s="112" t="n">
        <v>0</v>
      </c>
      <c r="F14" s="112" t="n">
        <v>0</v>
      </c>
      <c r="G14" s="112" t="n">
        <v>482163</v>
      </c>
      <c r="I14" s="112" t="n">
        <f aca="false">IF(MONTH($A14)=MONTH($A13),IF(G14=0,I13,G14),0)</f>
        <v>482163</v>
      </c>
      <c r="J14" s="112" t="n">
        <f aca="false">IF(MONTH($A14)=MONTH($A13),SUM(I14-I13),I14)</f>
        <v>22301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482163</v>
      </c>
      <c r="N14" s="112" t="n">
        <f aca="false">SUM(J$6:J14)</f>
        <v>482163</v>
      </c>
      <c r="P14" s="112" t="n">
        <f aca="false">D14/P$3</f>
        <v>-15.9879778771223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22.301</v>
      </c>
      <c r="T14" s="114" t="n">
        <f aca="false">L14/$R$3</f>
        <v>0</v>
      </c>
      <c r="U14" s="114" t="n">
        <f aca="false">I14/$R$3</f>
        <v>482.163</v>
      </c>
      <c r="V14" s="114" t="n">
        <f aca="false">M14/$R$3</f>
        <v>482.163</v>
      </c>
      <c r="W14" s="114" t="n">
        <f aca="false">N14/$R$3</f>
        <v>482.163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INDEX('[4]Master Data'!$A$2:$B$8,MATCH(WEEKDAY('SC Gas MTM'!A15,3),'[4]Master Data'!$A$2:$A$8,0),2)</f>
        <v>W</v>
      </c>
      <c r="D15" s="112" t="n">
        <v>-15911221.2023323</v>
      </c>
      <c r="E15" s="112" t="n">
        <v>0</v>
      </c>
      <c r="F15" s="112" t="n">
        <v>0</v>
      </c>
      <c r="G15" s="112" t="n">
        <v>485596</v>
      </c>
      <c r="I15" s="112" t="n">
        <f aca="false">IF(MONTH($A15)=MONTH($A14),IF(G15=0,I14,G15),0)</f>
        <v>485596</v>
      </c>
      <c r="J15" s="112" t="n">
        <f aca="false">IF(MONTH($A15)=MONTH($A14),SUM(I15-I14),I15)</f>
        <v>3433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485596</v>
      </c>
      <c r="N15" s="112" t="n">
        <f aca="false">SUM(J$6:J15)</f>
        <v>485596</v>
      </c>
      <c r="P15" s="112" t="n">
        <f aca="false">D15/P$3</f>
        <v>-15.9112212023323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3.433</v>
      </c>
      <c r="T15" s="114" t="n">
        <f aca="false">L15/$R$3</f>
        <v>0</v>
      </c>
      <c r="U15" s="114" t="n">
        <f aca="false">I15/$R$3</f>
        <v>485.596</v>
      </c>
      <c r="V15" s="114" t="n">
        <f aca="false">M15/$R$3</f>
        <v>485.596</v>
      </c>
      <c r="W15" s="114" t="n">
        <f aca="false">N15/$R$3</f>
        <v>485.596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INDEX('[4]Master Data'!$A$2:$B$8,MATCH(WEEKDAY('SC Gas MTM'!A16,3),'[4]Master Data'!$A$2:$A$8,0),2)</f>
        <v>Th</v>
      </c>
      <c r="D16" s="112" t="n">
        <v>-15910852.1472323</v>
      </c>
      <c r="E16" s="112" t="n">
        <v>0</v>
      </c>
      <c r="F16" s="112" t="n">
        <v>0</v>
      </c>
      <c r="G16" s="112" t="n">
        <v>470104</v>
      </c>
      <c r="I16" s="112" t="n">
        <f aca="false">IF(MONTH($A16)=MONTH($A15),IF(G16=0,I15,G16),0)</f>
        <v>470104</v>
      </c>
      <c r="J16" s="112" t="n">
        <f aca="false">IF(MONTH($A16)=MONTH($A15),SUM(I16-I15),I16)</f>
        <v>-15492</v>
      </c>
      <c r="K16" s="112" t="n">
        <f aca="false">IF(WEEKDAY(A16,3)&gt;4,0,(IF(A16&lt;K$2,0,IF(A16&lt;=K$3,1,0))))</f>
        <v>0</v>
      </c>
      <c r="L16" s="112" t="n">
        <f aca="false">J16*K16</f>
        <v>-0</v>
      </c>
      <c r="M16" s="112" t="n">
        <f aca="false">SUM(J$6:J16)</f>
        <v>470104</v>
      </c>
      <c r="N16" s="112" t="n">
        <f aca="false">SUM(J$6:J16)</f>
        <v>470104</v>
      </c>
      <c r="P16" s="112" t="n">
        <f aca="false">D16/P$3</f>
        <v>-15.9108521472323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-15.492</v>
      </c>
      <c r="T16" s="114" t="n">
        <f aca="false">L16/$R$3</f>
        <v>-0</v>
      </c>
      <c r="U16" s="114" t="n">
        <f aca="false">I16/$R$3</f>
        <v>470.104</v>
      </c>
      <c r="V16" s="114" t="n">
        <f aca="false">M16/$R$3</f>
        <v>470.104</v>
      </c>
      <c r="W16" s="114" t="n">
        <f aca="false">N16/$R$3</f>
        <v>470.104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INDEX('[4]Master Data'!$A$2:$B$8,MATCH(WEEKDAY('SC Gas MTM'!A17,3),'[4]Master Data'!$A$2:$A$8,0),2)</f>
        <v>F</v>
      </c>
      <c r="D17" s="112" t="n">
        <v>-15911056.6435323</v>
      </c>
      <c r="E17" s="112" t="n">
        <v>0</v>
      </c>
      <c r="F17" s="112" t="n">
        <v>0</v>
      </c>
      <c r="G17" s="112" t="n">
        <v>354429</v>
      </c>
      <c r="I17" s="112" t="n">
        <f aca="false">IF(MONTH($A17)=MONTH($A16),IF(G17=0,I16,G17),0)</f>
        <v>354429</v>
      </c>
      <c r="J17" s="112" t="n">
        <f aca="false">IF(MONTH($A17)=MONTH($A16),SUM(I17-I16),I17)</f>
        <v>-115675</v>
      </c>
      <c r="K17" s="112" t="n">
        <f aca="false">IF(WEEKDAY(A17,3)&gt;4,0,(IF(A17&lt;K$2,0,IF(A17&lt;=K$3,1,0))))</f>
        <v>0</v>
      </c>
      <c r="L17" s="112" t="n">
        <f aca="false">J17*K17</f>
        <v>-0</v>
      </c>
      <c r="M17" s="112" t="n">
        <f aca="false">SUM(J$6:J17)</f>
        <v>354429</v>
      </c>
      <c r="N17" s="112" t="n">
        <f aca="false">SUM(J$6:J17)</f>
        <v>354429</v>
      </c>
      <c r="P17" s="112" t="n">
        <f aca="false">D17/P$3</f>
        <v>-15.9110566435323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-115.675</v>
      </c>
      <c r="T17" s="114" t="n">
        <f aca="false">L17/$R$3</f>
        <v>-0</v>
      </c>
      <c r="U17" s="114" t="n">
        <f aca="false">I17/$R$3</f>
        <v>354.429</v>
      </c>
      <c r="V17" s="114" t="n">
        <f aca="false">M17/$R$3</f>
        <v>354.429</v>
      </c>
      <c r="W17" s="114" t="n">
        <f aca="false">N17/$R$3</f>
        <v>354.429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INDEX('[4]Master Data'!$A$2:$B$8,MATCH(WEEKDAY('SC Gas MTM'!A18,3),'[4]Master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354429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354429</v>
      </c>
      <c r="N18" s="112" t="n">
        <f aca="false">SUM(J$6:J18)</f>
        <v>354429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354.429</v>
      </c>
      <c r="V18" s="114" t="n">
        <f aca="false">M18/$R$3</f>
        <v>354.429</v>
      </c>
      <c r="W18" s="114" t="n">
        <f aca="false">N18/$R$3</f>
        <v>354.429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INDEX('[4]Master Data'!$A$2:$B$8,MATCH(WEEKDAY('SC Gas MTM'!A19,3),'[4]Master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354429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354429</v>
      </c>
      <c r="N19" s="112" t="n">
        <f aca="false">SUM(J$6:J19)</f>
        <v>354429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354.429</v>
      </c>
      <c r="V19" s="114" t="n">
        <f aca="false">M19/$R$3</f>
        <v>354.429</v>
      </c>
      <c r="W19" s="114" t="n">
        <f aca="false">N19/$R$3</f>
        <v>354.429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INDEX('[4]Master Data'!$A$2:$B$8,MATCH(WEEKDAY('SC Gas MTM'!A20,3),'[4]Master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354429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354429</v>
      </c>
      <c r="N20" s="112" t="n">
        <f aca="false">SUM(J$6:J20)</f>
        <v>354429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354.429</v>
      </c>
      <c r="V20" s="114" t="n">
        <f aca="false">M20/$R$3</f>
        <v>354.429</v>
      </c>
      <c r="W20" s="114" t="n">
        <f aca="false">N20/$R$3</f>
        <v>354.429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INDEX('[4]Master Data'!$A$2:$B$8,MATCH(WEEKDAY('SC Gas MTM'!A21,3),'[4]Master Data'!$A$2:$A$8,0),2)</f>
        <v>T</v>
      </c>
      <c r="D21" s="112" t="n">
        <v>-15909290.1983323</v>
      </c>
      <c r="E21" s="112" t="n">
        <v>0</v>
      </c>
      <c r="F21" s="112" t="n">
        <v>0</v>
      </c>
      <c r="G21" s="112" t="n">
        <v>347438</v>
      </c>
      <c r="I21" s="112" t="n">
        <f aca="false">IF(MONTH($A21)=MONTH($A20),IF(G21=0,I20,G21),0)</f>
        <v>347438</v>
      </c>
      <c r="J21" s="112" t="n">
        <f aca="false">IF(MONTH($A21)=MONTH($A20),SUM(I21-I20),I21)</f>
        <v>-6991</v>
      </c>
      <c r="K21" s="112" t="n">
        <f aca="false">IF(WEEKDAY(A21,3)&gt;4,0,(IF(A21&lt;K$2,0,IF(A21&lt;=K$3,1,0))))</f>
        <v>0</v>
      </c>
      <c r="L21" s="112" t="n">
        <f aca="false">J21*K21</f>
        <v>-0</v>
      </c>
      <c r="M21" s="112" t="n">
        <f aca="false">SUM(J$6:J21)</f>
        <v>347438</v>
      </c>
      <c r="N21" s="112" t="n">
        <f aca="false">SUM(J$6:J21)</f>
        <v>347438</v>
      </c>
      <c r="P21" s="112" t="n">
        <f aca="false">D21/P$3</f>
        <v>-15.9092901983323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-6.991</v>
      </c>
      <c r="T21" s="114" t="n">
        <f aca="false">L21/$R$3</f>
        <v>-0</v>
      </c>
      <c r="U21" s="114" t="n">
        <f aca="false">I21/$R$3</f>
        <v>347.438</v>
      </c>
      <c r="V21" s="114" t="n">
        <f aca="false">M21/$R$3</f>
        <v>347.438</v>
      </c>
      <c r="W21" s="114" t="n">
        <f aca="false">N21/$R$3</f>
        <v>347.438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INDEX('[4]Master Data'!$A$2:$B$8,MATCH(WEEKDAY('SC Gas MTM'!A22,3),'[4]Master Data'!$A$2:$A$8,0),2)</f>
        <v>W</v>
      </c>
      <c r="D22" s="112" t="n">
        <v>-15908656.8249323</v>
      </c>
      <c r="E22" s="112" t="n">
        <v>0</v>
      </c>
      <c r="F22" s="112" t="n">
        <v>0</v>
      </c>
      <c r="G22" s="112" t="n">
        <v>445931</v>
      </c>
      <c r="I22" s="112" t="n">
        <f aca="false">IF(MONTH($A22)=MONTH($A21),IF(G22=0,I21,G22),0)</f>
        <v>445931</v>
      </c>
      <c r="J22" s="112" t="n">
        <f aca="false">IF(MONTH($A22)=MONTH($A21),SUM(I22-I21),I22)</f>
        <v>98493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445931</v>
      </c>
      <c r="N22" s="112" t="n">
        <f aca="false">SUM(J$6:J22)</f>
        <v>445931</v>
      </c>
      <c r="P22" s="112" t="n">
        <f aca="false">D22/P$3</f>
        <v>-15.9086568249323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98.493</v>
      </c>
      <c r="T22" s="114" t="n">
        <f aca="false">L22/$R$3</f>
        <v>0</v>
      </c>
      <c r="U22" s="114" t="n">
        <f aca="false">I22/$R$3</f>
        <v>445.931</v>
      </c>
      <c r="V22" s="114" t="n">
        <f aca="false">M22/$R$3</f>
        <v>445.931</v>
      </c>
      <c r="W22" s="114" t="n">
        <f aca="false">N22/$R$3</f>
        <v>445.931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INDEX('[4]Master Data'!$A$2:$B$8,MATCH(WEEKDAY('SC Gas MTM'!A23,3),'[4]Master Data'!$A$2:$A$8,0),2)</f>
        <v>Th</v>
      </c>
      <c r="D23" s="112" t="n">
        <v>-15907808.7842323</v>
      </c>
      <c r="E23" s="112" t="n">
        <v>0</v>
      </c>
      <c r="F23" s="112" t="n">
        <v>0</v>
      </c>
      <c r="G23" s="112" t="n">
        <v>477470</v>
      </c>
      <c r="I23" s="112" t="n">
        <f aca="false">IF(MONTH($A23)=MONTH($A22),IF(G23=0,I22,G23),0)</f>
        <v>477470</v>
      </c>
      <c r="J23" s="112" t="n">
        <f aca="false">IF(MONTH($A23)=MONTH($A22),SUM(I23-I22),I23)</f>
        <v>31539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477470</v>
      </c>
      <c r="N23" s="112" t="n">
        <f aca="false">SUM(J$6:J23)</f>
        <v>477470</v>
      </c>
      <c r="P23" s="112" t="n">
        <f aca="false">D23/P$3</f>
        <v>-15.9078087842323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31.539</v>
      </c>
      <c r="T23" s="114" t="n">
        <f aca="false">L23/$R$3</f>
        <v>0</v>
      </c>
      <c r="U23" s="114" t="n">
        <f aca="false">I23/$R$3</f>
        <v>477.47</v>
      </c>
      <c r="V23" s="114" t="n">
        <f aca="false">M23/$R$3</f>
        <v>477.47</v>
      </c>
      <c r="W23" s="114" t="n">
        <f aca="false">N23/$R$3</f>
        <v>477.47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INDEX('[4]Master Data'!$A$2:$B$8,MATCH(WEEKDAY('SC Gas MTM'!A24,3),'[4]Master Data'!$A$2:$A$8,0),2)</f>
        <v>F</v>
      </c>
      <c r="D24" s="112" t="n">
        <v>-15906631.1037323</v>
      </c>
      <c r="E24" s="112" t="n">
        <v>0</v>
      </c>
      <c r="F24" s="112" t="n">
        <v>0</v>
      </c>
      <c r="G24" s="112" t="n">
        <v>469851</v>
      </c>
      <c r="I24" s="112" t="n">
        <f aca="false">IF(MONTH($A24)=MONTH($A23),IF(G24=0,I23,G24),0)</f>
        <v>469851</v>
      </c>
      <c r="J24" s="112" t="n">
        <f aca="false">IF(MONTH($A24)=MONTH($A23),SUM(I24-I23),I24)</f>
        <v>-7619</v>
      </c>
      <c r="K24" s="112" t="n">
        <f aca="false">IF(WEEKDAY(A24,3)&gt;4,0,(IF(A24&lt;K$2,0,IF(A24&lt;=K$3,1,0))))</f>
        <v>0</v>
      </c>
      <c r="L24" s="112" t="n">
        <f aca="false">J24*K24</f>
        <v>-0</v>
      </c>
      <c r="M24" s="112" t="n">
        <f aca="false">SUM(J$6:J24)</f>
        <v>469851</v>
      </c>
      <c r="N24" s="112" t="n">
        <f aca="false">SUM(J$6:J24)</f>
        <v>469851</v>
      </c>
      <c r="P24" s="112" t="n">
        <f aca="false">D24/P$3</f>
        <v>-15.9066311037323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-7.619</v>
      </c>
      <c r="T24" s="114" t="n">
        <f aca="false">L24/$R$3</f>
        <v>-0</v>
      </c>
      <c r="U24" s="114" t="n">
        <f aca="false">I24/$R$3</f>
        <v>469.851</v>
      </c>
      <c r="V24" s="114" t="n">
        <f aca="false">M24/$R$3</f>
        <v>469.851</v>
      </c>
      <c r="W24" s="114" t="n">
        <f aca="false">N24/$R$3</f>
        <v>469.851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INDEX('[4]Master Data'!$A$2:$B$8,MATCH(WEEKDAY('SC Gas MTM'!A25,3),'[4]Master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469851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469851</v>
      </c>
      <c r="N25" s="112" t="n">
        <f aca="false">SUM(J$6:J25)</f>
        <v>469851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469.851</v>
      </c>
      <c r="V25" s="114" t="n">
        <f aca="false">M25/$R$3</f>
        <v>469.851</v>
      </c>
      <c r="W25" s="114" t="n">
        <f aca="false">N25/$R$3</f>
        <v>469.851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INDEX('[4]Master Data'!$A$2:$B$8,MATCH(WEEKDAY('SC Gas MTM'!A26,3),'[4]Master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469851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469851</v>
      </c>
      <c r="N26" s="112" t="n">
        <f aca="false">SUM(J$6:J26)</f>
        <v>469851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469.851</v>
      </c>
      <c r="V26" s="114" t="n">
        <f aca="false">M26/$R$3</f>
        <v>469.851</v>
      </c>
      <c r="W26" s="114" t="n">
        <f aca="false">N26/$R$3</f>
        <v>469.851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INDEX('[4]Master Data'!$A$2:$B$8,MATCH(WEEKDAY('SC Gas MTM'!A27,3),'[4]Master Data'!$A$2:$A$8,0),2)</f>
        <v>M</v>
      </c>
      <c r="D27" s="112" t="n">
        <v>-15905046.1439323</v>
      </c>
      <c r="E27" s="112" t="n">
        <v>0</v>
      </c>
      <c r="F27" s="112" t="n">
        <v>0</v>
      </c>
      <c r="G27" s="112" t="n">
        <v>537761</v>
      </c>
      <c r="I27" s="112" t="n">
        <f aca="false">IF(MONTH($A27)=MONTH($A26),IF(G27=0,I26,G27),0)</f>
        <v>537761</v>
      </c>
      <c r="J27" s="112" t="n">
        <f aca="false">IF(MONTH($A27)=MONTH($A26),SUM(I27-I26),I27)</f>
        <v>67910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537761</v>
      </c>
      <c r="N27" s="112" t="n">
        <f aca="false">SUM(J$6:J27)</f>
        <v>537761</v>
      </c>
      <c r="P27" s="112" t="n">
        <f aca="false">D27/P$3</f>
        <v>-15.9050461439323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67.91</v>
      </c>
      <c r="T27" s="114" t="n">
        <f aca="false">L27/$R$3</f>
        <v>0</v>
      </c>
      <c r="U27" s="114" t="n">
        <f aca="false">I27/$R$3</f>
        <v>537.761</v>
      </c>
      <c r="V27" s="114" t="n">
        <f aca="false">M27/$R$3</f>
        <v>537.761</v>
      </c>
      <c r="W27" s="114" t="n">
        <f aca="false">N27/$R$3</f>
        <v>537.761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INDEX('[4]Master Data'!$A$2:$B$8,MATCH(WEEKDAY('SC Gas MTM'!A28,3),'[4]Master Data'!$A$2:$A$8,0),2)</f>
        <v>T</v>
      </c>
      <c r="D28" s="112" t="n">
        <v>-15904950.1963323</v>
      </c>
      <c r="E28" s="112" t="n">
        <v>0</v>
      </c>
      <c r="F28" s="112" t="n">
        <v>0</v>
      </c>
      <c r="G28" s="112" t="n">
        <v>323157</v>
      </c>
      <c r="I28" s="112" t="n">
        <f aca="false">IF(MONTH($A28)=MONTH($A27),IF(G28=0,I27,G28),0)</f>
        <v>323157</v>
      </c>
      <c r="J28" s="112" t="n">
        <f aca="false">IF(MONTH($A28)=MONTH($A27),SUM(I28-I27),I28)</f>
        <v>-214604</v>
      </c>
      <c r="K28" s="112" t="n">
        <f aca="false">IF(WEEKDAY(A28,3)&gt;4,0,(IF(A28&lt;K$2,0,IF(A28&lt;=K$3,1,0))))</f>
        <v>0</v>
      </c>
      <c r="L28" s="112" t="n">
        <f aca="false">J28*K28</f>
        <v>-0</v>
      </c>
      <c r="M28" s="112" t="n">
        <f aca="false">SUM(J$6:J28)</f>
        <v>323157</v>
      </c>
      <c r="N28" s="112" t="n">
        <f aca="false">SUM(J$6:J28)</f>
        <v>323157</v>
      </c>
      <c r="P28" s="112" t="n">
        <f aca="false">D28/P$3</f>
        <v>-15.9049501963323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-214.604</v>
      </c>
      <c r="T28" s="114" t="n">
        <f aca="false">L28/$R$3</f>
        <v>-0</v>
      </c>
      <c r="U28" s="114" t="n">
        <f aca="false">I28/$R$3</f>
        <v>323.157</v>
      </c>
      <c r="V28" s="114" t="n">
        <f aca="false">M28/$R$3</f>
        <v>323.157</v>
      </c>
      <c r="W28" s="114" t="n">
        <f aca="false">N28/$R$3</f>
        <v>323.157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INDEX('[4]Master Data'!$A$2:$B$8,MATCH(WEEKDAY('SC Gas MTM'!A29,3),'[4]Master Data'!$A$2:$A$8,0),2)</f>
        <v>W</v>
      </c>
      <c r="D29" s="112" t="n">
        <v>-15904699.5547323</v>
      </c>
      <c r="E29" s="112" t="n">
        <v>0</v>
      </c>
      <c r="F29" s="112" t="n">
        <v>0</v>
      </c>
      <c r="G29" s="112" t="n">
        <v>269902</v>
      </c>
      <c r="I29" s="112" t="n">
        <f aca="false">IF(MONTH($A29)=MONTH($A28),IF(G29=0,I28,G29),0)</f>
        <v>269902</v>
      </c>
      <c r="J29" s="112" t="n">
        <f aca="false">IF(MONTH($A29)=MONTH($A28),SUM(I29-I28),I29)</f>
        <v>-53255</v>
      </c>
      <c r="K29" s="112" t="n">
        <f aca="false">IF(WEEKDAY(A29,3)&gt;4,0,(IF(A29&lt;K$2,0,IF(A29&lt;=K$3,1,0))))</f>
        <v>0</v>
      </c>
      <c r="L29" s="112" t="n">
        <f aca="false">J29*K29</f>
        <v>-0</v>
      </c>
      <c r="M29" s="112" t="n">
        <f aca="false">SUM(J$6:J29)</f>
        <v>269902</v>
      </c>
      <c r="N29" s="112" t="n">
        <f aca="false">SUM(J$6:J29)</f>
        <v>269902</v>
      </c>
      <c r="P29" s="112" t="n">
        <f aca="false">D29/P$3</f>
        <v>-15.9046995547323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-53.255</v>
      </c>
      <c r="T29" s="114" t="n">
        <f aca="false">L29/$R$3</f>
        <v>-0</v>
      </c>
      <c r="U29" s="114" t="n">
        <f aca="false">I29/$R$3</f>
        <v>269.902</v>
      </c>
      <c r="V29" s="114" t="n">
        <f aca="false">M29/$R$3</f>
        <v>269.902</v>
      </c>
      <c r="W29" s="114" t="n">
        <f aca="false">N29/$R$3</f>
        <v>269.902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INDEX('[4]Master Data'!$A$2:$B$8,MATCH(WEEKDAY('SC Gas MTM'!A30,3),'[4]Master Data'!$A$2:$A$8,0),2)</f>
        <v>Th</v>
      </c>
      <c r="D30" s="112" t="n">
        <v>-15904149.1086323</v>
      </c>
      <c r="E30" s="112" t="n">
        <v>0</v>
      </c>
      <c r="F30" s="112" t="n">
        <v>0</v>
      </c>
      <c r="G30" s="112" t="n">
        <v>372325</v>
      </c>
      <c r="I30" s="112" t="n">
        <f aca="false">IF(MONTH($A30)=MONTH($A29),IF(G30=0,I29,G30),0)</f>
        <v>372325</v>
      </c>
      <c r="J30" s="112" t="n">
        <f aca="false">IF(MONTH($A30)=MONTH($A29),SUM(I30-I29),I30)</f>
        <v>102423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372325</v>
      </c>
      <c r="N30" s="112" t="n">
        <f aca="false">SUM(J$6:J30)</f>
        <v>372325</v>
      </c>
      <c r="P30" s="112" t="n">
        <f aca="false">D30/P$3</f>
        <v>-15.9041491086323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102.423</v>
      </c>
      <c r="T30" s="114" t="n">
        <f aca="false">L30/$R$3</f>
        <v>0</v>
      </c>
      <c r="U30" s="114" t="n">
        <f aca="false">I30/$R$3</f>
        <v>372.325</v>
      </c>
      <c r="V30" s="114" t="n">
        <f aca="false">M30/$R$3</f>
        <v>372.325</v>
      </c>
      <c r="W30" s="114" t="n">
        <f aca="false">N30/$R$3</f>
        <v>372.325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INDEX('[4]Master Data'!$A$2:$B$8,MATCH(WEEKDAY('SC Gas MTM'!A31,3),'[4]Master Data'!$A$2:$A$8,0),2)</f>
        <v>F</v>
      </c>
      <c r="D31" s="112" t="n">
        <v>-15903347.0423323</v>
      </c>
      <c r="E31" s="112" t="n">
        <v>0</v>
      </c>
      <c r="F31" s="112" t="n">
        <v>0</v>
      </c>
      <c r="G31" s="112" t="n">
        <v>389087</v>
      </c>
      <c r="I31" s="112" t="n">
        <f aca="false">IF(MONTH($A31)=MONTH($A30),IF(G31=0,I30,G31),0)</f>
        <v>389087</v>
      </c>
      <c r="J31" s="112" t="n">
        <f aca="false">IF(MONTH($A31)=MONTH($A30),SUM(I31-I30),I31)</f>
        <v>16762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389087</v>
      </c>
      <c r="N31" s="112" t="n">
        <f aca="false">SUM(J$6:J31)</f>
        <v>389087</v>
      </c>
      <c r="P31" s="112" t="n">
        <f aca="false">D31/P$3</f>
        <v>-15.9033470423323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16.762</v>
      </c>
      <c r="T31" s="114" t="n">
        <f aca="false">L31/$R$3</f>
        <v>0</v>
      </c>
      <c r="U31" s="114" t="n">
        <f aca="false">I31/$R$3</f>
        <v>389.087</v>
      </c>
      <c r="V31" s="114" t="n">
        <f aca="false">M31/$R$3</f>
        <v>389.087</v>
      </c>
      <c r="W31" s="114" t="n">
        <f aca="false">N31/$R$3</f>
        <v>389.087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INDEX('[4]Master Data'!$A$2:$B$8,MATCH(WEEKDAY('SC Gas MTM'!A32,3),'[4]Master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389087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389087</v>
      </c>
      <c r="N32" s="112" t="n">
        <f aca="false">SUM(J$6:J32)</f>
        <v>389087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389.087</v>
      </c>
      <c r="V32" s="114" t="n">
        <f aca="false">M32/$R$3</f>
        <v>389.087</v>
      </c>
      <c r="W32" s="114" t="n">
        <f aca="false">N32/$R$3</f>
        <v>389.087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INDEX('[4]Master Data'!$A$2:$B$8,MATCH(WEEKDAY('SC Gas MTM'!A33,3),'[4]Master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389087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389087</v>
      </c>
      <c r="N33" s="112" t="n">
        <f aca="false">SUM(J$6:J33)</f>
        <v>389087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389.087</v>
      </c>
      <c r="V33" s="114" t="n">
        <f aca="false">M33/$R$3</f>
        <v>389.087</v>
      </c>
      <c r="W33" s="114" t="n">
        <f aca="false">N33/$R$3</f>
        <v>389.087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INDEX('[4]Master Data'!$A$2:$B$8,MATCH(WEEKDAY('SC Gas MTM'!A34,3),'[4]Master Data'!$A$2:$A$8,0),2)</f>
        <v>M</v>
      </c>
      <c r="D34" s="112" t="n">
        <v>-15901700.6300323</v>
      </c>
      <c r="E34" s="112" t="n">
        <v>0</v>
      </c>
      <c r="F34" s="112" t="n">
        <v>0</v>
      </c>
      <c r="G34" s="112" t="n">
        <v>391092</v>
      </c>
      <c r="I34" s="112" t="n">
        <f aca="false">IF(MONTH($A34)=MONTH($A33),IF(G34=0,I33,G34),0)</f>
        <v>391092</v>
      </c>
      <c r="J34" s="112" t="n">
        <f aca="false">IF(MONTH($A34)=MONTH($A33),SUM(I34-I33),I34)</f>
        <v>2005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391092</v>
      </c>
      <c r="N34" s="112" t="n">
        <f aca="false">SUM(J$6:J34)</f>
        <v>391092</v>
      </c>
      <c r="P34" s="112" t="n">
        <f aca="false">D34/P$3</f>
        <v>-15.9017006300323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2.005</v>
      </c>
      <c r="T34" s="114" t="n">
        <f aca="false">L34/$R$3</f>
        <v>0</v>
      </c>
      <c r="U34" s="114" t="n">
        <f aca="false">I34/$R$3</f>
        <v>391.092</v>
      </c>
      <c r="V34" s="114" t="n">
        <f aca="false">M34/$R$3</f>
        <v>391.092</v>
      </c>
      <c r="W34" s="114" t="n">
        <f aca="false">N34/$R$3</f>
        <v>391.092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INDEX('[4]Master Data'!$A$2:$B$8,MATCH(WEEKDAY('SC Gas MTM'!A35,3),'[4]Master Data'!$A$2:$A$8,0),2)</f>
        <v>T</v>
      </c>
      <c r="D35" s="112" t="n">
        <v>-15900880.5642323</v>
      </c>
      <c r="E35" s="112" t="n">
        <v>0</v>
      </c>
      <c r="F35" s="112" t="n">
        <v>0</v>
      </c>
      <c r="G35" s="112" t="n">
        <v>439778</v>
      </c>
      <c r="I35" s="112" t="n">
        <f aca="false">IF(MONTH($A35)=MONTH($A34),IF(G35=0,I34,G35),0)</f>
        <v>439778</v>
      </c>
      <c r="J35" s="112" t="n">
        <f aca="false">IF(MONTH($A35)=MONTH($A34),SUM(I35-I34),I35)</f>
        <v>48686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439778</v>
      </c>
      <c r="N35" s="112" t="n">
        <f aca="false">SUM(J$6:J35)</f>
        <v>439778</v>
      </c>
      <c r="P35" s="112" t="n">
        <f aca="false">D35/P$3</f>
        <v>-15.9008805642323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48.686</v>
      </c>
      <c r="T35" s="114" t="n">
        <f aca="false">L35/$R$3</f>
        <v>0</v>
      </c>
      <c r="U35" s="114" t="n">
        <f aca="false">I35/$R$3</f>
        <v>439.778</v>
      </c>
      <c r="V35" s="114" t="n">
        <f aca="false">M35/$R$3</f>
        <v>439.778</v>
      </c>
      <c r="W35" s="114" t="n">
        <f aca="false">N35/$R$3</f>
        <v>439.778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INDEX('[4]Master Data'!$A$2:$B$8,MATCH(WEEKDAY('SC Gas MTM'!A36,3),'[4]Master Data'!$A$2:$A$8,0),2)</f>
        <v>W</v>
      </c>
      <c r="D36" s="112" t="n">
        <v>-15899792.6476323</v>
      </c>
      <c r="E36" s="112" t="n">
        <v>0</v>
      </c>
      <c r="F36" s="112" t="n">
        <v>0</v>
      </c>
      <c r="G36" s="112" t="n">
        <v>547022</v>
      </c>
      <c r="I36" s="112" t="n">
        <f aca="false">IF(MONTH($A36)=MONTH($A35),IF(G36=0,I35,G36),0)</f>
        <v>547022</v>
      </c>
      <c r="J36" s="112" t="n">
        <f aca="false">IF(MONTH($A36)=MONTH($A35),SUM(I36-I35),I36)</f>
        <v>107244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547022</v>
      </c>
      <c r="N36" s="112" t="n">
        <f aca="false">SUM(J$6:J36)</f>
        <v>547022</v>
      </c>
      <c r="P36" s="112" t="n">
        <f aca="false">D36/P$3</f>
        <v>-15.8997926476323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107.244</v>
      </c>
      <c r="T36" s="114" t="n">
        <f aca="false">L36/$R$3</f>
        <v>0</v>
      </c>
      <c r="U36" s="114" t="n">
        <f aca="false">I36/$R$3</f>
        <v>547.022</v>
      </c>
      <c r="V36" s="114" t="n">
        <f aca="false">M36/$R$3</f>
        <v>547.022</v>
      </c>
      <c r="W36" s="114" t="n">
        <f aca="false">N36/$R$3</f>
        <v>547.022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INDEX('[4]Master Data'!$A$2:$B$8,MATCH(WEEKDAY('SC Gas MTM'!A37,3),'[4]Master Data'!$A$2:$A$8,0),2)</f>
        <v>Th</v>
      </c>
      <c r="D37" s="112" t="n">
        <v>-15899240.2816323</v>
      </c>
      <c r="E37" s="112" t="n">
        <v>0</v>
      </c>
      <c r="F37" s="112" t="n">
        <v>0</v>
      </c>
      <c r="G37" s="112" t="n">
        <v>52863</v>
      </c>
      <c r="I37" s="112" t="n">
        <f aca="false">IF(MONTH($A37)=MONTH($A36),IF(G37=0,I36,G37),G37)</f>
        <v>52863</v>
      </c>
      <c r="J37" s="112" t="n">
        <f aca="false">IF(MONTH($A37)=MONTH($A36),SUM(I37-I36),I37)</f>
        <v>52863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599885</v>
      </c>
      <c r="N37" s="112" t="n">
        <f aca="false">SUM(J$6:J37)</f>
        <v>599885</v>
      </c>
      <c r="P37" s="112" t="n">
        <f aca="false">D37/P$3</f>
        <v>-15.8992402816323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52.863</v>
      </c>
      <c r="T37" s="114" t="n">
        <f aca="false">L37/$R$3</f>
        <v>0</v>
      </c>
      <c r="U37" s="114" t="n">
        <f aca="false">I37/$R$3</f>
        <v>52.863</v>
      </c>
      <c r="V37" s="114" t="n">
        <f aca="false">M37/$R$3</f>
        <v>599.885</v>
      </c>
      <c r="W37" s="114" t="n">
        <f aca="false">N37/$R$3</f>
        <v>599.885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INDEX('[4]Master Data'!$A$2:$B$8,MATCH(WEEKDAY('SC Gas MTM'!A38,3),'[4]Master Data'!$A$2:$A$8,0),2)</f>
        <v>F</v>
      </c>
      <c r="D38" s="112" t="n">
        <v>-15899111.6868323</v>
      </c>
      <c r="E38" s="112" t="n">
        <v>0</v>
      </c>
      <c r="F38" s="112" t="n">
        <v>0</v>
      </c>
      <c r="G38" s="112" t="n">
        <v>169718</v>
      </c>
      <c r="I38" s="112" t="n">
        <f aca="false">IF(MONTH($A38)=MONTH($A37),IF(G38=0,I37,G38),G38)</f>
        <v>169718</v>
      </c>
      <c r="J38" s="112" t="n">
        <f aca="false">IF(MONTH($A38)=MONTH($A37),SUM(I38-I37),I38)</f>
        <v>116855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716740</v>
      </c>
      <c r="N38" s="112" t="n">
        <f aca="false">SUM(J$6:J38)</f>
        <v>716740</v>
      </c>
      <c r="P38" s="112" t="n">
        <f aca="false">D38/P$3</f>
        <v>-15.8991116868323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116.855</v>
      </c>
      <c r="T38" s="114" t="n">
        <f aca="false">L38/$R$3</f>
        <v>0</v>
      </c>
      <c r="U38" s="114" t="n">
        <f aca="false">I38/$R$3</f>
        <v>169.718</v>
      </c>
      <c r="V38" s="114" t="n">
        <f aca="false">M38/$R$3</f>
        <v>716.74</v>
      </c>
      <c r="W38" s="114" t="n">
        <f aca="false">N38/$R$3</f>
        <v>716.74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INDEX('[4]Master Data'!$A$2:$B$8,MATCH(WEEKDAY('SC Gas MTM'!A39,3),'[4]Master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169718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716740</v>
      </c>
      <c r="N39" s="112" t="n">
        <f aca="false">SUM(J$6:J39)</f>
        <v>716740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169.718</v>
      </c>
      <c r="V39" s="114" t="n">
        <f aca="false">M39/$R$3</f>
        <v>716.74</v>
      </c>
      <c r="W39" s="114" t="n">
        <f aca="false">N39/$R$3</f>
        <v>716.74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INDEX('[4]Master Data'!$A$2:$B$8,MATCH(WEEKDAY('SC Gas MTM'!A40,3),'[4]Master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169718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716740</v>
      </c>
      <c r="N40" s="112" t="n">
        <f aca="false">SUM(J$6:J40)</f>
        <v>716740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169.718</v>
      </c>
      <c r="V40" s="114" t="n">
        <f aca="false">M40/$R$3</f>
        <v>716.74</v>
      </c>
      <c r="W40" s="114" t="n">
        <f aca="false">N40/$R$3</f>
        <v>716.74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INDEX('[4]Master Data'!$A$2:$B$8,MATCH(WEEKDAY('SC Gas MTM'!A41,3),'[4]Master Data'!$A$2:$A$8,0),2)</f>
        <v>M</v>
      </c>
      <c r="D41" s="112" t="n">
        <v>-15897883.2006323</v>
      </c>
      <c r="E41" s="112" t="n">
        <v>0</v>
      </c>
      <c r="F41" s="112" t="n">
        <v>0</v>
      </c>
      <c r="G41" s="112" t="n">
        <v>56433</v>
      </c>
      <c r="I41" s="112" t="n">
        <f aca="false">IF(MONTH($A41)=MONTH($A40),IF(G41=0,I40,G41),G41)</f>
        <v>56433</v>
      </c>
      <c r="J41" s="112" t="n">
        <f aca="false">IF(MONTH($A41)=MONTH($A40),SUM(I41-I40),I41)</f>
        <v>-113285</v>
      </c>
      <c r="K41" s="112" t="n">
        <f aca="false">IF(WEEKDAY(A41,3)&gt;4,0,(IF(A41&lt;K$2,0,IF(A41&lt;=K$3,1,0))))</f>
        <v>0</v>
      </c>
      <c r="L41" s="112" t="n">
        <f aca="false">J41*K41</f>
        <v>-0</v>
      </c>
      <c r="M41" s="112" t="n">
        <f aca="false">SUM(J$6:J41)</f>
        <v>603455</v>
      </c>
      <c r="N41" s="112" t="n">
        <f aca="false">SUM(J$6:J41)</f>
        <v>603455</v>
      </c>
      <c r="P41" s="112" t="n">
        <f aca="false">D41/P$3</f>
        <v>-15.8978832006323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-113.285</v>
      </c>
      <c r="T41" s="114" t="n">
        <f aca="false">L41/$R$3</f>
        <v>-0</v>
      </c>
      <c r="U41" s="114" t="n">
        <f aca="false">I41/$R$3</f>
        <v>56.433</v>
      </c>
      <c r="V41" s="114" t="n">
        <f aca="false">M41/$R$3</f>
        <v>603.455</v>
      </c>
      <c r="W41" s="114" t="n">
        <f aca="false">N41/$R$3</f>
        <v>603.455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INDEX('[4]Master Data'!$A$2:$B$8,MATCH(WEEKDAY('SC Gas MTM'!A42,3),'[4]Master Data'!$A$2:$A$8,0),2)</f>
        <v>T</v>
      </c>
      <c r="D42" s="112" t="n">
        <v>-15897491.8391323</v>
      </c>
      <c r="E42" s="112" t="n">
        <v>0</v>
      </c>
      <c r="F42" s="112" t="n">
        <v>0</v>
      </c>
      <c r="G42" s="112" t="n">
        <v>-10295</v>
      </c>
      <c r="I42" s="112" t="n">
        <f aca="false">IF(MONTH($A42)=MONTH($A41),IF(G42=0,I41,G42),G42)</f>
        <v>-10295</v>
      </c>
      <c r="J42" s="112" t="n">
        <f aca="false">IF(MONTH($A42)=MONTH($A41),SUM(I42-I41),I42)</f>
        <v>-66728</v>
      </c>
      <c r="K42" s="112" t="n">
        <f aca="false">IF(WEEKDAY(A42,3)&gt;4,0,(IF(A42&lt;K$2,0,IF(A42&lt;=K$3,1,0))))</f>
        <v>0</v>
      </c>
      <c r="L42" s="112" t="n">
        <f aca="false">J42*K42</f>
        <v>-0</v>
      </c>
      <c r="M42" s="112" t="n">
        <f aca="false">SUM(J$6:J42)</f>
        <v>536727</v>
      </c>
      <c r="N42" s="112" t="n">
        <f aca="false">SUM(J$6:J42)</f>
        <v>536727</v>
      </c>
      <c r="P42" s="112" t="n">
        <f aca="false">D42/P$3</f>
        <v>-15.8974918391323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-66.728</v>
      </c>
      <c r="T42" s="114" t="n">
        <f aca="false">L42/$R$3</f>
        <v>-0</v>
      </c>
      <c r="U42" s="114" t="n">
        <f aca="false">I42/$R$3</f>
        <v>-10.295</v>
      </c>
      <c r="V42" s="114" t="n">
        <f aca="false">M42/$R$3</f>
        <v>536.727</v>
      </c>
      <c r="W42" s="114" t="n">
        <f aca="false">N42/$R$3</f>
        <v>536.727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INDEX('[4]Master Data'!$A$2:$B$8,MATCH(WEEKDAY('SC Gas MTM'!A43,3),'[4]Master Data'!$A$2:$A$8,0),2)</f>
        <v>W</v>
      </c>
      <c r="D43" s="112" t="n">
        <v>-15896969.3792323</v>
      </c>
      <c r="E43" s="112" t="n">
        <v>0</v>
      </c>
      <c r="F43" s="112" t="n">
        <v>0</v>
      </c>
      <c r="G43" s="112" t="n">
        <v>157136</v>
      </c>
      <c r="I43" s="112" t="n">
        <f aca="false">IF(MONTH($A43)=MONTH($A42),IF(G43=0,I42,G43),G43)</f>
        <v>157136</v>
      </c>
      <c r="J43" s="112" t="n">
        <f aca="false">IF(MONTH($A43)=MONTH($A42),SUM(I43-I42),I43)</f>
        <v>167431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704158</v>
      </c>
      <c r="N43" s="112" t="n">
        <f aca="false">SUM(J$6:J43)</f>
        <v>704158</v>
      </c>
      <c r="P43" s="112" t="n">
        <f aca="false">D43/P$3</f>
        <v>-15.8969693792323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167.431</v>
      </c>
      <c r="T43" s="114" t="n">
        <f aca="false">L43/$R$3</f>
        <v>0</v>
      </c>
      <c r="U43" s="114" t="n">
        <f aca="false">I43/$R$3</f>
        <v>157.136</v>
      </c>
      <c r="V43" s="114" t="n">
        <f aca="false">M43/$R$3</f>
        <v>704.158</v>
      </c>
      <c r="W43" s="114" t="n">
        <f aca="false">N43/$R$3</f>
        <v>704.158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INDEX('[4]Master Data'!$A$2:$B$8,MATCH(WEEKDAY('SC Gas MTM'!A44,3),'[4]Master Data'!$A$2:$A$8,0),2)</f>
        <v>Th</v>
      </c>
      <c r="D44" s="112" t="n">
        <v>-15896584.7494323</v>
      </c>
      <c r="E44" s="112" t="n">
        <v>0</v>
      </c>
      <c r="F44" s="112" t="n">
        <v>0</v>
      </c>
      <c r="G44" s="112" t="n">
        <v>134969</v>
      </c>
      <c r="I44" s="112" t="n">
        <f aca="false">IF(MONTH($A44)=MONTH($A43),IF(G44=0,I43,G44),G44)</f>
        <v>134969</v>
      </c>
      <c r="J44" s="112" t="n">
        <f aca="false">IF(MONTH($A44)=MONTH($A43),SUM(I44-I43),I44)</f>
        <v>-22167</v>
      </c>
      <c r="K44" s="112" t="n">
        <f aca="false">IF(WEEKDAY(A44,3)&gt;4,0,(IF(A44&lt;K$2,0,IF(A44&lt;=K$3,1,0))))</f>
        <v>0</v>
      </c>
      <c r="L44" s="112" t="n">
        <f aca="false">J44*K44</f>
        <v>-0</v>
      </c>
      <c r="M44" s="112" t="n">
        <f aca="false">SUM(J$6:J44)</f>
        <v>681991</v>
      </c>
      <c r="N44" s="112" t="n">
        <f aca="false">SUM(J$6:J44)</f>
        <v>681991</v>
      </c>
      <c r="P44" s="112" t="n">
        <f aca="false">D44/P$3</f>
        <v>-15.8965847494323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-22.167</v>
      </c>
      <c r="T44" s="114" t="n">
        <f aca="false">L44/$R$3</f>
        <v>-0</v>
      </c>
      <c r="U44" s="114" t="n">
        <f aca="false">I44/$R$3</f>
        <v>134.969</v>
      </c>
      <c r="V44" s="114" t="n">
        <f aca="false">M44/$R$3</f>
        <v>681.991</v>
      </c>
      <c r="W44" s="114" t="n">
        <f aca="false">N44/$R$3</f>
        <v>681.991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INDEX('[4]Master Data'!$A$2:$B$8,MATCH(WEEKDAY('SC Gas MTM'!A45,3),'[4]Master Data'!$A$2:$A$8,0),2)</f>
        <v>F</v>
      </c>
      <c r="D45" s="112" t="n">
        <v>-15896017.7442323</v>
      </c>
      <c r="E45" s="112" t="n">
        <v>0</v>
      </c>
      <c r="F45" s="112" t="n">
        <v>0</v>
      </c>
      <c r="G45" s="112" t="n">
        <v>146387</v>
      </c>
      <c r="I45" s="112" t="n">
        <f aca="false">IF(MONTH($A45)=MONTH($A44),IF(G45=0,I44,G45),G45)</f>
        <v>146387</v>
      </c>
      <c r="J45" s="112" t="n">
        <f aca="false">IF(MONTH($A45)=MONTH($A44),SUM(I45-I44),I45)</f>
        <v>11418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693409</v>
      </c>
      <c r="N45" s="112" t="n">
        <f aca="false">SUM(J$6:J45)</f>
        <v>693409</v>
      </c>
      <c r="P45" s="112" t="n">
        <f aca="false">D45/P$3</f>
        <v>-15.8960177442323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11.418</v>
      </c>
      <c r="T45" s="114" t="n">
        <f aca="false">L45/$R$3</f>
        <v>0</v>
      </c>
      <c r="U45" s="114" t="n">
        <f aca="false">I45/$R$3</f>
        <v>146.387</v>
      </c>
      <c r="V45" s="114" t="n">
        <f aca="false">M45/$R$3</f>
        <v>693.409</v>
      </c>
      <c r="W45" s="114" t="n">
        <f aca="false">N45/$R$3</f>
        <v>693.409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INDEX('[4]Master Data'!$A$2:$B$8,MATCH(WEEKDAY('SC Gas MTM'!A46,3),'[4]Master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146387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693409</v>
      </c>
      <c r="N46" s="112" t="n">
        <f aca="false">SUM(J$6:J46)</f>
        <v>693409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146.387</v>
      </c>
      <c r="V46" s="114" t="n">
        <f aca="false">M46/$R$3</f>
        <v>693.409</v>
      </c>
      <c r="W46" s="114" t="n">
        <f aca="false">N46/$R$3</f>
        <v>693.409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INDEX('[4]Master Data'!$A$2:$B$8,MATCH(WEEKDAY('SC Gas MTM'!A47,3),'[4]Master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146387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693409</v>
      </c>
      <c r="N47" s="112" t="n">
        <f aca="false">SUM(J$6:J47)</f>
        <v>693409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146.387</v>
      </c>
      <c r="V47" s="114" t="n">
        <f aca="false">M47/$R$3</f>
        <v>693.409</v>
      </c>
      <c r="W47" s="114" t="n">
        <f aca="false">N47/$R$3</f>
        <v>693.409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INDEX('[4]Master Data'!$A$2:$B$8,MATCH(WEEKDAY('SC Gas MTM'!A48,3),'[4]Master Data'!$A$2:$A$8,0),2)</f>
        <v>M</v>
      </c>
      <c r="D48" s="112" t="n">
        <v>-15894675.5765323</v>
      </c>
      <c r="E48" s="112" t="n">
        <v>0</v>
      </c>
      <c r="F48" s="112" t="n">
        <v>0</v>
      </c>
      <c r="G48" s="112" t="n">
        <v>93061</v>
      </c>
      <c r="I48" s="112" t="n">
        <f aca="false">IF(MONTH($A48)=MONTH($A47),IF(G48=0,I47,G48),G48)</f>
        <v>93061</v>
      </c>
      <c r="J48" s="112" t="n">
        <f aca="false">IF(MONTH($A48)=MONTH($A47),SUM(I48-I47),I48)</f>
        <v>-53326</v>
      </c>
      <c r="K48" s="112" t="n">
        <f aca="false">IF(WEEKDAY(A48,3)&gt;4,0,(IF(A48&lt;K$2,0,IF(A48&lt;=K$3,1,0))))</f>
        <v>0</v>
      </c>
      <c r="L48" s="112" t="n">
        <f aca="false">J48*K48</f>
        <v>-0</v>
      </c>
      <c r="M48" s="112" t="n">
        <f aca="false">SUM(J$6:J48)</f>
        <v>640083</v>
      </c>
      <c r="N48" s="112" t="n">
        <f aca="false">SUM(J$6:J48)</f>
        <v>640083</v>
      </c>
      <c r="P48" s="112" t="n">
        <f aca="false">D48/P$3</f>
        <v>-15.8946755765323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-53.326</v>
      </c>
      <c r="T48" s="114" t="n">
        <f aca="false">L48/$R$3</f>
        <v>-0</v>
      </c>
      <c r="U48" s="114" t="n">
        <f aca="false">I48/$R$3</f>
        <v>93.061</v>
      </c>
      <c r="V48" s="114" t="n">
        <f aca="false">M48/$R$3</f>
        <v>640.083</v>
      </c>
      <c r="W48" s="114" t="n">
        <f aca="false">N48/$R$3</f>
        <v>640.083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INDEX('[4]Master Data'!$A$2:$B$8,MATCH(WEEKDAY('SC Gas MTM'!A49,3),'[4]Master Data'!$A$2:$A$8,0),2)</f>
        <v>T</v>
      </c>
      <c r="D49" s="112" t="n">
        <v>-15894418.8361323</v>
      </c>
      <c r="E49" s="112" t="n">
        <v>0</v>
      </c>
      <c r="F49" s="112" t="n">
        <v>0</v>
      </c>
      <c r="G49" s="112" t="n">
        <v>132432</v>
      </c>
      <c r="I49" s="112" t="n">
        <f aca="false">IF(MONTH($A49)=MONTH($A48),IF(G49=0,I48,G49),G49)</f>
        <v>132432</v>
      </c>
      <c r="J49" s="112" t="n">
        <f aca="false">IF(MONTH($A49)=MONTH($A48),SUM(I49-I48),I49)</f>
        <v>39371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679454</v>
      </c>
      <c r="N49" s="112" t="n">
        <f aca="false">SUM(J$6:J49)</f>
        <v>679454</v>
      </c>
      <c r="P49" s="112" t="n">
        <f aca="false">D49/P$3</f>
        <v>-15.8944188361323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39.371</v>
      </c>
      <c r="T49" s="114" t="n">
        <f aca="false">L49/$R$3</f>
        <v>0</v>
      </c>
      <c r="U49" s="114" t="n">
        <f aca="false">I49/$R$3</f>
        <v>132.432</v>
      </c>
      <c r="V49" s="114" t="n">
        <f aca="false">M49/$R$3</f>
        <v>679.454</v>
      </c>
      <c r="W49" s="114" t="n">
        <f aca="false">N49/$R$3</f>
        <v>679.454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INDEX('[4]Master Data'!$A$2:$B$8,MATCH(WEEKDAY('SC Gas MTM'!A50,3),'[4]Master Data'!$A$2:$A$8,0),2)</f>
        <v>W</v>
      </c>
      <c r="D50" s="112" t="n">
        <v>-15894183.6737323</v>
      </c>
      <c r="E50" s="112" t="n">
        <v>0</v>
      </c>
      <c r="F50" s="112" t="n">
        <v>0</v>
      </c>
      <c r="G50" s="112" t="n">
        <v>-42845</v>
      </c>
      <c r="I50" s="112" t="n">
        <f aca="false">IF(MONTH($A50)=MONTH($A49),IF(G50=0,I49,G50),G50)</f>
        <v>-42845</v>
      </c>
      <c r="J50" s="112" t="n">
        <f aca="false">IF(MONTH($A50)=MONTH($A49),SUM(I50-I49),I50)</f>
        <v>-175277</v>
      </c>
      <c r="K50" s="112" t="n">
        <f aca="false">IF(WEEKDAY(A50,3)&gt;4,0,(IF(A50&lt;K$2,0,IF(A50&lt;=K$3,1,0))))</f>
        <v>0</v>
      </c>
      <c r="L50" s="112" t="n">
        <f aca="false">J50*K50</f>
        <v>-0</v>
      </c>
      <c r="M50" s="112" t="n">
        <f aca="false">SUM(J$6:J50)</f>
        <v>504177</v>
      </c>
      <c r="N50" s="112" t="n">
        <f aca="false">SUM(J$6:J50)</f>
        <v>504177</v>
      </c>
      <c r="P50" s="112" t="n">
        <f aca="false">D50/P$3</f>
        <v>-15.8941836737323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-175.277</v>
      </c>
      <c r="T50" s="114" t="n">
        <f aca="false">L50/$R$3</f>
        <v>-0</v>
      </c>
      <c r="U50" s="114" t="n">
        <f aca="false">I50/$R$3</f>
        <v>-42.845</v>
      </c>
      <c r="V50" s="114" t="n">
        <f aca="false">M50/$R$3</f>
        <v>504.177</v>
      </c>
      <c r="W50" s="114" t="n">
        <f aca="false">N50/$R$3</f>
        <v>504.177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INDEX('[4]Master Data'!$A$2:$B$8,MATCH(WEEKDAY('SC Gas MTM'!A51,3),'[4]Master Data'!$A$2:$A$8,0),2)</f>
        <v>Th</v>
      </c>
      <c r="D51" s="112" t="n">
        <v>-15893904.2580323</v>
      </c>
      <c r="E51" s="112" t="n">
        <v>0</v>
      </c>
      <c r="F51" s="112" t="n">
        <v>0</v>
      </c>
      <c r="G51" s="112" t="n">
        <v>-140356</v>
      </c>
      <c r="I51" s="112" t="n">
        <f aca="false">IF(MONTH($A51)=MONTH($A50),IF(G51=0,I50,G51),G51)</f>
        <v>-140356</v>
      </c>
      <c r="J51" s="112" t="n">
        <f aca="false">IF(MONTH($A51)=MONTH($A50),SUM(I51-I50),I51)</f>
        <v>-97511</v>
      </c>
      <c r="K51" s="112" t="n">
        <f aca="false">IF(WEEKDAY(A51,3)&gt;4,0,(IF(A51&lt;K$2,0,IF(A51&lt;=K$3,1,0))))</f>
        <v>0</v>
      </c>
      <c r="L51" s="112" t="n">
        <f aca="false">J51*K51</f>
        <v>-0</v>
      </c>
      <c r="M51" s="112" t="n">
        <f aca="false">SUM(J$6:J51)</f>
        <v>406666</v>
      </c>
      <c r="N51" s="112" t="n">
        <f aca="false">SUM(J$6:J51)</f>
        <v>406666</v>
      </c>
      <c r="P51" s="112" t="n">
        <f aca="false">D51/P$3</f>
        <v>-15.8939042580323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-97.511</v>
      </c>
      <c r="T51" s="114" t="n">
        <f aca="false">L51/$R$3</f>
        <v>-0</v>
      </c>
      <c r="U51" s="114" t="n">
        <f aca="false">I51/$R$3</f>
        <v>-140.356</v>
      </c>
      <c r="V51" s="114" t="n">
        <f aca="false">M51/$R$3</f>
        <v>406.666</v>
      </c>
      <c r="W51" s="114" t="n">
        <f aca="false">N51/$R$3</f>
        <v>406.666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INDEX('[4]Master Data'!$A$2:$B$8,MATCH(WEEKDAY('SC Gas MTM'!A52,3),'[4]Master Data'!$A$2:$A$8,0),2)</f>
        <v>F</v>
      </c>
      <c r="D52" s="112" t="n">
        <v>-15893127.0551323</v>
      </c>
      <c r="E52" s="112" t="n">
        <v>0</v>
      </c>
      <c r="F52" s="112" t="n">
        <v>0</v>
      </c>
      <c r="G52" s="112" t="n">
        <v>-46498</v>
      </c>
      <c r="I52" s="112" t="n">
        <f aca="false">IF(MONTH($A52)=MONTH($A51),IF(G52=0,I51,G52),G52)</f>
        <v>-46498</v>
      </c>
      <c r="J52" s="112" t="n">
        <f aca="false">IF(MONTH($A52)=MONTH($A51),SUM(I52-I51),I52)</f>
        <v>93858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500524</v>
      </c>
      <c r="N52" s="112" t="n">
        <f aca="false">SUM(J$6:J52)</f>
        <v>500524</v>
      </c>
      <c r="P52" s="112" t="n">
        <f aca="false">D52/P$3</f>
        <v>-15.8931270551323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93.858</v>
      </c>
      <c r="T52" s="114" t="n">
        <f aca="false">L52/$R$3</f>
        <v>0</v>
      </c>
      <c r="U52" s="114" t="n">
        <f aca="false">I52/$R$3</f>
        <v>-46.498</v>
      </c>
      <c r="V52" s="114" t="n">
        <f aca="false">M52/$R$3</f>
        <v>500.524</v>
      </c>
      <c r="W52" s="114" t="n">
        <f aca="false">N52/$R$3</f>
        <v>500.524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INDEX('[4]Master Data'!$A$2:$B$8,MATCH(WEEKDAY('SC Gas MTM'!A53,3),'[4]Master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-46498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500524</v>
      </c>
      <c r="N53" s="112" t="n">
        <f aca="false">SUM(J$6:J53)</f>
        <v>500524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-46.498</v>
      </c>
      <c r="V53" s="114" t="n">
        <f aca="false">M53/$R$3</f>
        <v>500.524</v>
      </c>
      <c r="W53" s="114" t="n">
        <f aca="false">N53/$R$3</f>
        <v>500.524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INDEX('[4]Master Data'!$A$2:$B$8,MATCH(WEEKDAY('SC Gas MTM'!A54,3),'[4]Master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-46498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500524</v>
      </c>
      <c r="N54" s="112" t="n">
        <f aca="false">SUM(J$6:J54)</f>
        <v>500524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-46.498</v>
      </c>
      <c r="V54" s="114" t="n">
        <f aca="false">M54/$R$3</f>
        <v>500.524</v>
      </c>
      <c r="W54" s="114" t="n">
        <f aca="false">N54/$R$3</f>
        <v>500.524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INDEX('[4]Master Data'!$A$2:$B$8,MATCH(WEEKDAY('SC Gas MTM'!A55,3),'[4]Master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-46498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500524</v>
      </c>
      <c r="N55" s="112" t="n">
        <f aca="false">SUM(J$6:J55)</f>
        <v>500524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-46.498</v>
      </c>
      <c r="V55" s="114" t="n">
        <f aca="false">M55/$R$3</f>
        <v>500.524</v>
      </c>
      <c r="W55" s="114" t="n">
        <f aca="false">N55/$R$3</f>
        <v>500.524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INDEX('[4]Master Data'!$A$2:$B$8,MATCH(WEEKDAY('SC Gas MTM'!A56,3),'[4]Master Data'!$A$2:$A$8,0),2)</f>
        <v>T</v>
      </c>
      <c r="D56" s="112" t="n">
        <v>-15891258.1884323</v>
      </c>
      <c r="E56" s="112" t="n">
        <v>0</v>
      </c>
      <c r="F56" s="112" t="n">
        <v>0</v>
      </c>
      <c r="G56" s="112" t="n">
        <v>-34310</v>
      </c>
      <c r="I56" s="112" t="n">
        <f aca="false">IF(MONTH($A56)=MONTH($A55),IF(G56=0,I55,G56),G56)</f>
        <v>-34310</v>
      </c>
      <c r="J56" s="112" t="n">
        <f aca="false">IF(MONTH($A56)=MONTH($A55),SUM(I56-I55),I56)</f>
        <v>12188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512712</v>
      </c>
      <c r="N56" s="112" t="n">
        <f aca="false">SUM(J$6:J56)</f>
        <v>512712</v>
      </c>
      <c r="P56" s="112" t="n">
        <f aca="false">D56/P$3</f>
        <v>-15.8912581884323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12.188</v>
      </c>
      <c r="T56" s="114" t="n">
        <f aca="false">L56/$R$3</f>
        <v>0</v>
      </c>
      <c r="U56" s="114" t="n">
        <f aca="false">I56/$R$3</f>
        <v>-34.31</v>
      </c>
      <c r="V56" s="114" t="n">
        <f aca="false">M56/$R$3</f>
        <v>512.712</v>
      </c>
      <c r="W56" s="114" t="n">
        <f aca="false">N56/$R$3</f>
        <v>512.712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INDEX('[4]Master Data'!$A$2:$B$8,MATCH(WEEKDAY('SC Gas MTM'!A57,3),'[4]Master Data'!$A$2:$A$8,0),2)</f>
        <v>W</v>
      </c>
      <c r="D57" s="112" t="n">
        <v>-15890679.8764323</v>
      </c>
      <c r="E57" s="112" t="n">
        <v>0</v>
      </c>
      <c r="F57" s="112" t="n">
        <v>0</v>
      </c>
      <c r="G57" s="112" t="n">
        <v>-143144</v>
      </c>
      <c r="I57" s="112" t="n">
        <f aca="false">IF(MONTH($A57)=MONTH($A56),IF(G57=0,I56,G57),G57)</f>
        <v>-143144</v>
      </c>
      <c r="J57" s="112" t="n">
        <f aca="false">IF(MONTH($A57)=MONTH($A56),SUM(I57-I56),I57)</f>
        <v>-108834</v>
      </c>
      <c r="K57" s="112" t="n">
        <f aca="false">IF(WEEKDAY(A57,3)&gt;4,0,(IF(A57&lt;K$2,0,IF(A57&lt;=K$3,1,0))))</f>
        <v>0</v>
      </c>
      <c r="L57" s="112" t="n">
        <f aca="false">J57*K57</f>
        <v>-0</v>
      </c>
      <c r="M57" s="112" t="n">
        <f aca="false">SUM(J$6:J57)</f>
        <v>403878</v>
      </c>
      <c r="N57" s="112" t="n">
        <f aca="false">SUM(J$6:J57)</f>
        <v>403878</v>
      </c>
      <c r="P57" s="112" t="n">
        <f aca="false">D57/P$3</f>
        <v>-15.8906798764323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-108.834</v>
      </c>
      <c r="T57" s="114" t="n">
        <f aca="false">L57/$R$3</f>
        <v>-0</v>
      </c>
      <c r="U57" s="114" t="n">
        <f aca="false">I57/$R$3</f>
        <v>-143.144</v>
      </c>
      <c r="V57" s="114" t="n">
        <f aca="false">M57/$R$3</f>
        <v>403.878</v>
      </c>
      <c r="W57" s="114" t="n">
        <f aca="false">N57/$R$3</f>
        <v>403.878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INDEX('[4]Master Data'!$A$2:$B$8,MATCH(WEEKDAY('SC Gas MTM'!A58,3),'[4]Master Data'!$A$2:$A$8,0),2)</f>
        <v>Th</v>
      </c>
      <c r="D58" s="112" t="n">
        <v>-15890088.3209323</v>
      </c>
      <c r="E58" s="112" t="n">
        <v>0</v>
      </c>
      <c r="F58" s="112" t="n">
        <v>0</v>
      </c>
      <c r="G58" s="112" t="n">
        <v>-132494</v>
      </c>
      <c r="I58" s="112" t="n">
        <f aca="false">IF(MONTH($A58)=MONTH($A57),IF(G58=0,I57,G58),G58)</f>
        <v>-132494</v>
      </c>
      <c r="J58" s="112" t="n">
        <f aca="false">IF(MONTH($A58)=MONTH($A57),SUM(I58-I57),I58)</f>
        <v>10650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414528</v>
      </c>
      <c r="N58" s="112" t="n">
        <f aca="false">SUM(J$6:J58)</f>
        <v>414528</v>
      </c>
      <c r="P58" s="112" t="n">
        <f aca="false">D58/P$3</f>
        <v>-15.8900883209323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10.65</v>
      </c>
      <c r="T58" s="114" t="n">
        <f aca="false">L58/$R$3</f>
        <v>0</v>
      </c>
      <c r="U58" s="114" t="n">
        <f aca="false">I58/$R$3</f>
        <v>-132.494</v>
      </c>
      <c r="V58" s="114" t="n">
        <f aca="false">M58/$R$3</f>
        <v>414.528</v>
      </c>
      <c r="W58" s="114" t="n">
        <f aca="false">N58/$R$3</f>
        <v>414.528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INDEX('[4]Master Data'!$A$2:$B$8,MATCH(WEEKDAY('SC Gas MTM'!A59,3),'[4]Master Data'!$A$2:$A$8,0),2)</f>
        <v>F</v>
      </c>
      <c r="D59" s="112" t="n">
        <v>-15889179.7914323</v>
      </c>
      <c r="E59" s="112" t="n">
        <v>0</v>
      </c>
      <c r="F59" s="112" t="n">
        <v>0</v>
      </c>
      <c r="G59" s="112" t="n">
        <v>-61751</v>
      </c>
      <c r="I59" s="112" t="n">
        <f aca="false">IF(MONTH($A59)=MONTH($A58),IF(G59=0,I58,G59),G59)</f>
        <v>-61751</v>
      </c>
      <c r="J59" s="112" t="n">
        <f aca="false">IF(MONTH($A59)=MONTH($A58),SUM(I59-I58),I59)</f>
        <v>70743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485271</v>
      </c>
      <c r="N59" s="112" t="n">
        <f aca="false">SUM(J$6:J59)</f>
        <v>485271</v>
      </c>
      <c r="P59" s="112" t="n">
        <f aca="false">D59/P$3</f>
        <v>-15.8891797914323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70.743</v>
      </c>
      <c r="T59" s="114" t="n">
        <f aca="false">L59/$R$3</f>
        <v>0</v>
      </c>
      <c r="U59" s="114" t="n">
        <f aca="false">I59/$R$3</f>
        <v>-61.751</v>
      </c>
      <c r="V59" s="114" t="n">
        <f aca="false">M59/$R$3</f>
        <v>485.271</v>
      </c>
      <c r="W59" s="114" t="n">
        <f aca="false">N59/$R$3</f>
        <v>485.271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INDEX('[4]Master Data'!$A$2:$B$8,MATCH(WEEKDAY('SC Gas MTM'!A60,3),'[4]Master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-61751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485271</v>
      </c>
      <c r="N60" s="112" t="n">
        <f aca="false">SUM(J$6:J60)</f>
        <v>485271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-61.751</v>
      </c>
      <c r="V60" s="114" t="n">
        <f aca="false">M60/$R$3</f>
        <v>485.271</v>
      </c>
      <c r="W60" s="114" t="n">
        <f aca="false">N60/$R$3</f>
        <v>485.271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INDEX('[4]Master Data'!$A$2:$B$8,MATCH(WEEKDAY('SC Gas MTM'!A61,3),'[4]Master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-61751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485271</v>
      </c>
      <c r="N61" s="112" t="n">
        <f aca="false">SUM(J$6:J61)</f>
        <v>485271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-61.751</v>
      </c>
      <c r="V61" s="114" t="n">
        <f aca="false">M61/$R$3</f>
        <v>485.271</v>
      </c>
      <c r="W61" s="114" t="n">
        <f aca="false">N61/$R$3</f>
        <v>485.271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INDEX('[4]Master Data'!$A$2:$B$8,MATCH(WEEKDAY('SC Gas MTM'!A62,3),'[4]Master Data'!$A$2:$A$8,0),2)</f>
        <v>M</v>
      </c>
      <c r="D62" s="112" t="n">
        <v>-15887336.7023323</v>
      </c>
      <c r="E62" s="112" t="n">
        <v>0</v>
      </c>
      <c r="F62" s="112" t="n">
        <v>0</v>
      </c>
      <c r="G62" s="112" t="n">
        <v>-42997</v>
      </c>
      <c r="I62" s="112" t="n">
        <f aca="false">IF(MONTH($A62)=MONTH($A61),IF(G62=0,I61,G62),G62)</f>
        <v>-42997</v>
      </c>
      <c r="J62" s="112" t="n">
        <f aca="false">IF(MONTH($A62)=MONTH($A61),SUM(I62-I61),I62)</f>
        <v>18754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504025</v>
      </c>
      <c r="N62" s="112" t="n">
        <f aca="false">SUM(J$6:J62)</f>
        <v>504025</v>
      </c>
      <c r="P62" s="112" t="n">
        <f aca="false">D62/P$3</f>
        <v>-15.8873367023323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18.754</v>
      </c>
      <c r="T62" s="114" t="n">
        <f aca="false">L62/$R$3</f>
        <v>0</v>
      </c>
      <c r="U62" s="114" t="n">
        <f aca="false">I62/$R$3</f>
        <v>-42.997</v>
      </c>
      <c r="V62" s="114" t="n">
        <f aca="false">M62/$R$3</f>
        <v>504.025</v>
      </c>
      <c r="W62" s="114" t="n">
        <f aca="false">N62/$R$3</f>
        <v>504.025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INDEX('[4]Master Data'!$A$2:$B$8,MATCH(WEEKDAY('SC Gas MTM'!A63,3),'[4]Master Data'!$A$2:$A$8,0),2)</f>
        <v>T</v>
      </c>
      <c r="D63" s="112" t="n">
        <v>-15886585.5348323</v>
      </c>
      <c r="E63" s="112" t="n">
        <v>0</v>
      </c>
      <c r="F63" s="112" t="n">
        <v>0</v>
      </c>
      <c r="G63" s="112" t="n">
        <v>98193</v>
      </c>
      <c r="I63" s="112" t="n">
        <f aca="false">IF(MONTH($A63)=MONTH($A62),IF(G63=0,I62,G63),G63)</f>
        <v>98193</v>
      </c>
      <c r="J63" s="112" t="n">
        <f aca="false">IF(MONTH($A63)=MONTH($A62),SUM(I63-I62),I63)</f>
        <v>141190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645215</v>
      </c>
      <c r="N63" s="112" t="n">
        <f aca="false">SUM(J$6:J63)</f>
        <v>645215</v>
      </c>
      <c r="P63" s="112" t="n">
        <f aca="false">D63/P$3</f>
        <v>-15.8865855348323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141.19</v>
      </c>
      <c r="T63" s="114" t="n">
        <f aca="false">L63/$R$3</f>
        <v>0</v>
      </c>
      <c r="U63" s="114" t="n">
        <f aca="false">I63/$R$3</f>
        <v>98.193</v>
      </c>
      <c r="V63" s="114" t="n">
        <f aca="false">M63/$R$3</f>
        <v>645.215</v>
      </c>
      <c r="W63" s="114" t="n">
        <f aca="false">N63/$R$3</f>
        <v>645.215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INDEX('[4]Master Data'!$A$2:$B$8,MATCH(WEEKDAY('SC Gas MTM'!A64,3),'[4]Master Data'!$A$2:$A$8,0),2)</f>
        <v>W</v>
      </c>
      <c r="D64" s="112" t="n">
        <v>-15886061.2947323</v>
      </c>
      <c r="E64" s="112" t="n">
        <v>0</v>
      </c>
      <c r="F64" s="112" t="n">
        <v>0</v>
      </c>
      <c r="G64" s="112" t="n">
        <v>539717</v>
      </c>
      <c r="I64" s="112" t="n">
        <f aca="false">IF(MONTH($A64)=MONTH($A63),IF(G64=0,I63,G64),G64)</f>
        <v>539717</v>
      </c>
      <c r="J64" s="112" t="n">
        <f aca="false">IF(MONTH($A64)=MONTH($A63),SUM(I64-I63),I64)</f>
        <v>441524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1086739</v>
      </c>
      <c r="N64" s="112" t="n">
        <f aca="false">SUM(J$6:J64)</f>
        <v>1086739</v>
      </c>
      <c r="P64" s="112" t="n">
        <f aca="false">D64/P$3</f>
        <v>-15.8860612947323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441.524</v>
      </c>
      <c r="T64" s="114" t="n">
        <f aca="false">L64/$R$3</f>
        <v>0</v>
      </c>
      <c r="U64" s="114" t="n">
        <f aca="false">I64/$R$3</f>
        <v>539.717</v>
      </c>
      <c r="V64" s="114" t="n">
        <f aca="false">M64/$R$3</f>
        <v>1086.739</v>
      </c>
      <c r="W64" s="114" t="n">
        <f aca="false">N64/$R$3</f>
        <v>1086.739</v>
      </c>
    </row>
    <row r="65" customFormat="false" ht="12.75" hidden="false" customHeight="false" outlineLevel="0" collapsed="false">
      <c r="A65" s="108" t="n">
        <f aca="false">A64+1</f>
        <v>36951</v>
      </c>
      <c r="B65" s="119" t="str">
        <f aca="false">INDEX('[4]Master Data'!$A$2:$B$8,MATCH(WEEKDAY('SC Gas MTM'!A65,3),'[4]Master Data'!$A$2:$A$8,0),2)</f>
        <v>Th</v>
      </c>
      <c r="D65" s="112" t="n">
        <v>-15932142.9095323</v>
      </c>
      <c r="E65" s="112" t="n">
        <v>0</v>
      </c>
      <c r="F65" s="112" t="n">
        <v>0</v>
      </c>
      <c r="G65" s="112" t="n">
        <v>98044</v>
      </c>
      <c r="I65" s="112" t="n">
        <f aca="false">IF(MONTH($A65)=MONTH($A64),IF(G65=0,I64,G65),G65)</f>
        <v>98044</v>
      </c>
      <c r="J65" s="112" t="n">
        <f aca="false">IF(MONTH($A65)=MONTH($A64),SUM(I65-I64),I65)</f>
        <v>98044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1184783</v>
      </c>
      <c r="N65" s="112" t="n">
        <f aca="false">SUM(J$6:J65)</f>
        <v>1184783</v>
      </c>
      <c r="P65" s="112" t="n">
        <f aca="false">D65/P$3</f>
        <v>-15.9321429095323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98.044</v>
      </c>
      <c r="T65" s="114" t="n">
        <f aca="false">L65/$R$3</f>
        <v>0</v>
      </c>
      <c r="U65" s="114" t="n">
        <f aca="false">I65/$R$3</f>
        <v>98.044</v>
      </c>
      <c r="V65" s="114" t="n">
        <f aca="false">M65/$R$3</f>
        <v>1184.783</v>
      </c>
      <c r="W65" s="114" t="n">
        <f aca="false">N65/$R$3</f>
        <v>1184.783</v>
      </c>
    </row>
    <row r="66" customFormat="false" ht="12.75" hidden="false" customHeight="false" outlineLevel="0" collapsed="false">
      <c r="A66" s="108" t="n">
        <f aca="false">A65+1</f>
        <v>36952</v>
      </c>
      <c r="B66" s="119" t="str">
        <f aca="false">INDEX('[4]Master Data'!$A$2:$B$8,MATCH(WEEKDAY('SC Gas MTM'!A66,3),'[4]Master Data'!$A$2:$A$8,0),2)</f>
        <v>F</v>
      </c>
      <c r="D66" s="112" t="n">
        <v>-15932009.1461323</v>
      </c>
      <c r="E66" s="112" t="n">
        <v>0</v>
      </c>
      <c r="F66" s="112" t="n">
        <v>0</v>
      </c>
      <c r="G66" s="112" t="n">
        <v>19996</v>
      </c>
      <c r="I66" s="112" t="n">
        <f aca="false">IF(MONTH($A66)=MONTH($A65),IF(G66=0,I65,G66),G66)</f>
        <v>19996</v>
      </c>
      <c r="J66" s="112" t="n">
        <f aca="false">IF(MONTH($A66)=MONTH($A65),SUM(I66-I65),I66)</f>
        <v>-78048</v>
      </c>
      <c r="K66" s="112" t="n">
        <f aca="false">IF(WEEKDAY(A66,3)&gt;4,0,(IF(A66&lt;K$2,0,IF(A66&lt;=K$3,1,0))))</f>
        <v>0</v>
      </c>
      <c r="L66" s="112" t="n">
        <f aca="false">J66*K66</f>
        <v>-0</v>
      </c>
      <c r="M66" s="112" t="n">
        <f aca="false">SUM(J$6:J66)</f>
        <v>1106735</v>
      </c>
      <c r="N66" s="112" t="n">
        <f aca="false">SUM(J$6:J66)</f>
        <v>1106735</v>
      </c>
      <c r="P66" s="112" t="n">
        <f aca="false">D66/P$3</f>
        <v>-15.9320091461323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-78.048</v>
      </c>
      <c r="T66" s="114" t="n">
        <f aca="false">L66/$R$3</f>
        <v>-0</v>
      </c>
      <c r="U66" s="114" t="n">
        <f aca="false">I66/$R$3</f>
        <v>19.996</v>
      </c>
      <c r="V66" s="114" t="n">
        <f aca="false">M66/$R$3</f>
        <v>1106.735</v>
      </c>
      <c r="W66" s="114" t="n">
        <f aca="false">N66/$R$3</f>
        <v>1106.735</v>
      </c>
    </row>
    <row r="67" customFormat="false" ht="12.75" hidden="false" customHeight="false" outlineLevel="0" collapsed="false">
      <c r="A67" s="108" t="n">
        <f aca="false">A66+1</f>
        <v>36953</v>
      </c>
      <c r="B67" s="119" t="str">
        <f aca="false">INDEX('[4]Master Data'!$A$2:$B$8,MATCH(WEEKDAY('SC Gas MTM'!A67,3),'[4]Master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19996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1106735</v>
      </c>
      <c r="N67" s="112" t="n">
        <f aca="false">SUM(J$6:J67)</f>
        <v>1106735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19.996</v>
      </c>
      <c r="V67" s="114" t="n">
        <f aca="false">M67/$R$3</f>
        <v>1106.735</v>
      </c>
      <c r="W67" s="114" t="n">
        <f aca="false">N67/$R$3</f>
        <v>1106.735</v>
      </c>
    </row>
    <row r="68" customFormat="false" ht="12.75" hidden="false" customHeight="false" outlineLevel="0" collapsed="false">
      <c r="A68" s="108" t="n">
        <f aca="false">A67+1</f>
        <v>36954</v>
      </c>
      <c r="B68" s="119" t="str">
        <f aca="false">INDEX('[4]Master Data'!$A$2:$B$8,MATCH(WEEKDAY('SC Gas MTM'!A68,3),'[4]Master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19996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1106735</v>
      </c>
      <c r="N68" s="112" t="n">
        <f aca="false">SUM(J$6:J68)</f>
        <v>1106735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19.996</v>
      </c>
      <c r="V68" s="114" t="n">
        <f aca="false">M68/$R$3</f>
        <v>1106.735</v>
      </c>
      <c r="W68" s="114" t="n">
        <f aca="false">N68/$R$3</f>
        <v>1106.735</v>
      </c>
    </row>
    <row r="69" customFormat="false" ht="12.75" hidden="false" customHeight="false" outlineLevel="0" collapsed="false">
      <c r="A69" s="108" t="n">
        <f aca="false">A68+1</f>
        <v>36955</v>
      </c>
      <c r="B69" s="119" t="str">
        <f aca="false">INDEX('[4]Master Data'!$A$2:$B$8,MATCH(WEEKDAY('SC Gas MTM'!A69,3),'[4]Master Data'!$A$2:$A$8,0),2)</f>
        <v>M</v>
      </c>
      <c r="D69" s="112" t="n">
        <v>-15930853.0158323</v>
      </c>
      <c r="E69" s="112" t="n">
        <v>0</v>
      </c>
      <c r="F69" s="112" t="n">
        <v>0</v>
      </c>
      <c r="G69" s="112" t="n">
        <v>77172</v>
      </c>
      <c r="I69" s="112" t="n">
        <f aca="false">IF(MONTH($A69)=MONTH($A68),IF(G69=0,I68,G69),G69)</f>
        <v>77172</v>
      </c>
      <c r="J69" s="112" t="n">
        <f aca="false">IF(MONTH($A69)=MONTH($A68),SUM(I69-I68),I69)</f>
        <v>57176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1163911</v>
      </c>
      <c r="N69" s="112" t="n">
        <f aca="false">SUM(J$6:J69)</f>
        <v>1163911</v>
      </c>
      <c r="P69" s="112" t="n">
        <f aca="false">D69/P$3</f>
        <v>-15.9308530158323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57.176</v>
      </c>
      <c r="T69" s="114" t="n">
        <f aca="false">L69/$R$3</f>
        <v>0</v>
      </c>
      <c r="U69" s="114" t="n">
        <f aca="false">I69/$R$3</f>
        <v>77.172</v>
      </c>
      <c r="V69" s="114" t="n">
        <f aca="false">M69/$R$3</f>
        <v>1163.911</v>
      </c>
      <c r="W69" s="114" t="n">
        <f aca="false">N69/$R$3</f>
        <v>1163.911</v>
      </c>
    </row>
    <row r="70" customFormat="false" ht="12.75" hidden="false" customHeight="false" outlineLevel="0" collapsed="false">
      <c r="A70" s="108" t="n">
        <f aca="false">A69+1</f>
        <v>36956</v>
      </c>
      <c r="B70" s="119" t="str">
        <f aca="false">INDEX('[4]Master Data'!$A$2:$B$8,MATCH(WEEKDAY('SC Gas MTM'!A70,3),'[4]Master Data'!$A$2:$A$8,0),2)</f>
        <v>T</v>
      </c>
      <c r="D70" s="112" t="n">
        <v>-17061058.9263968</v>
      </c>
      <c r="E70" s="112" t="n">
        <v>0</v>
      </c>
      <c r="F70" s="112" t="n">
        <v>0</v>
      </c>
      <c r="G70" s="112" t="n">
        <v>34485</v>
      </c>
      <c r="I70" s="112" t="n">
        <f aca="false">IF(MONTH($A70)=MONTH($A69),IF(G70=0,I69,G70),G70)</f>
        <v>34485</v>
      </c>
      <c r="J70" s="112" t="n">
        <f aca="false">IF(MONTH($A70)=MONTH($A69),SUM(I70-I69),I70)</f>
        <v>-42687</v>
      </c>
      <c r="K70" s="112" t="n">
        <f aca="false">IF(WEEKDAY(A70,3)&gt;4,0,(IF(A70&lt;K$2,0,IF(A70&lt;=K$3,1,0))))</f>
        <v>0</v>
      </c>
      <c r="L70" s="112" t="n">
        <f aca="false">J70*K70</f>
        <v>-0</v>
      </c>
      <c r="M70" s="112" t="n">
        <f aca="false">SUM(J$6:J70)</f>
        <v>1121224</v>
      </c>
      <c r="N70" s="112" t="n">
        <f aca="false">SUM(J$6:J70)</f>
        <v>1121224</v>
      </c>
      <c r="P70" s="112" t="n">
        <f aca="false">D70/P$3</f>
        <v>-17.0610589263968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-42.687</v>
      </c>
      <c r="T70" s="114" t="n">
        <f aca="false">L70/$R$3</f>
        <v>-0</v>
      </c>
      <c r="U70" s="114" t="n">
        <f aca="false">I70/$R$3</f>
        <v>34.485</v>
      </c>
      <c r="V70" s="114" t="n">
        <f aca="false">M70/$R$3</f>
        <v>1121.224</v>
      </c>
      <c r="W70" s="114" t="n">
        <f aca="false">N70/$R$3</f>
        <v>1121.224</v>
      </c>
    </row>
    <row r="71" customFormat="false" ht="12.75" hidden="false" customHeight="false" outlineLevel="0" collapsed="false">
      <c r="A71" s="108" t="n">
        <f aca="false">A70+1</f>
        <v>36957</v>
      </c>
      <c r="B71" s="119" t="str">
        <f aca="false">INDEX('[4]Master Data'!$A$2:$B$8,MATCH(WEEKDAY('SC Gas MTM'!A71,3),'[4]Master Data'!$A$2:$A$8,0),2)</f>
        <v>W</v>
      </c>
      <c r="D71" s="112" t="n">
        <v>-17241868.3233914</v>
      </c>
      <c r="E71" s="112" t="n">
        <v>0</v>
      </c>
      <c r="F71" s="112" t="n">
        <v>0</v>
      </c>
      <c r="G71" s="112" t="n">
        <v>214210</v>
      </c>
      <c r="I71" s="112" t="n">
        <f aca="false">IF(MONTH($A71)=MONTH($A70),IF(G71=0,I70,G71),G71)</f>
        <v>214210</v>
      </c>
      <c r="J71" s="112" t="n">
        <f aca="false">IF(MONTH($A71)=MONTH($A70),SUM(I71-I70),I71)</f>
        <v>179725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1300949</v>
      </c>
      <c r="N71" s="112" t="n">
        <f aca="false">SUM(J$6:J71)</f>
        <v>1300949</v>
      </c>
      <c r="P71" s="112" t="n">
        <f aca="false">D71/P$3</f>
        <v>-17.2418683233914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179.725</v>
      </c>
      <c r="T71" s="114" t="n">
        <f aca="false">L71/$R$3</f>
        <v>0</v>
      </c>
      <c r="U71" s="114" t="n">
        <f aca="false">I71/$R$3</f>
        <v>214.21</v>
      </c>
      <c r="V71" s="114" t="n">
        <f aca="false">M71/$R$3</f>
        <v>1300.949</v>
      </c>
      <c r="W71" s="114" t="n">
        <f aca="false">N71/$R$3</f>
        <v>1300.949</v>
      </c>
    </row>
    <row r="72" customFormat="false" ht="12.75" hidden="false" customHeight="false" outlineLevel="0" collapsed="false">
      <c r="A72" s="108" t="n">
        <f aca="false">A71+1</f>
        <v>36958</v>
      </c>
      <c r="B72" s="119" t="str">
        <f aca="false">INDEX('[4]Master Data'!$A$2:$B$8,MATCH(WEEKDAY('SC Gas MTM'!A72,3),'[4]Master Data'!$A$2:$A$8,0),2)</f>
        <v>Th</v>
      </c>
      <c r="D72" s="112" t="n">
        <v>-17211025.6991909</v>
      </c>
      <c r="E72" s="112" t="n">
        <v>0</v>
      </c>
      <c r="F72" s="112" t="n">
        <v>0</v>
      </c>
      <c r="G72" s="112" t="n">
        <v>155764</v>
      </c>
      <c r="I72" s="112" t="n">
        <f aca="false">IF(MONTH($A72)=MONTH($A71),IF(G72=0,I71,G72),G72)</f>
        <v>155764</v>
      </c>
      <c r="J72" s="112" t="n">
        <f aca="false">IF(MONTH($A72)=MONTH($A71),SUM(I72-I71),I72)</f>
        <v>-58446</v>
      </c>
      <c r="K72" s="112" t="n">
        <f aca="false">IF(WEEKDAY(A72,3)&gt;4,0,(IF(A72&lt;K$2,0,IF(A72&lt;=K$3,1,0))))</f>
        <v>0</v>
      </c>
      <c r="L72" s="112" t="n">
        <f aca="false">J72*K72</f>
        <v>-0</v>
      </c>
      <c r="M72" s="112" t="n">
        <f aca="false">SUM(J$6:J72)</f>
        <v>1242503</v>
      </c>
      <c r="N72" s="112" t="n">
        <f aca="false">SUM(J$6:J72)</f>
        <v>1242503</v>
      </c>
      <c r="P72" s="112" t="n">
        <f aca="false">D72/P$3</f>
        <v>-17.2110256991909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-58.446</v>
      </c>
      <c r="T72" s="114" t="n">
        <f aca="false">L72/$R$3</f>
        <v>-0</v>
      </c>
      <c r="U72" s="114" t="n">
        <f aca="false">I72/$R$3</f>
        <v>155.764</v>
      </c>
      <c r="V72" s="114" t="n">
        <f aca="false">M72/$R$3</f>
        <v>1242.503</v>
      </c>
      <c r="W72" s="114" t="n">
        <f aca="false">N72/$R$3</f>
        <v>1242.503</v>
      </c>
    </row>
    <row r="73" customFormat="false" ht="12.75" hidden="false" customHeight="false" outlineLevel="0" collapsed="false">
      <c r="A73" s="108" t="n">
        <f aca="false">A72+1</f>
        <v>36959</v>
      </c>
      <c r="B73" s="119" t="str">
        <f aca="false">INDEX('[4]Master Data'!$A$2:$B$8,MATCH(WEEKDAY('SC Gas MTM'!A73,3),'[4]Master Data'!$A$2:$A$8,0),2)</f>
        <v>F</v>
      </c>
      <c r="D73" s="112" t="n">
        <v>-17151790.9626552</v>
      </c>
      <c r="E73" s="112" t="n">
        <v>0</v>
      </c>
      <c r="F73" s="112" t="n">
        <v>0</v>
      </c>
      <c r="G73" s="112" t="n">
        <v>95858</v>
      </c>
      <c r="I73" s="112" t="n">
        <f aca="false">IF(MONTH($A73)=MONTH($A72),IF(G73=0,I72,G73),G73)</f>
        <v>95858</v>
      </c>
      <c r="J73" s="112" t="n">
        <f aca="false">IF(MONTH($A73)=MONTH($A72),SUM(I73-I72),I73)</f>
        <v>-59906</v>
      </c>
      <c r="K73" s="112" t="n">
        <f aca="false">IF(WEEKDAY(A73,3)&gt;4,0,(IF(A73&lt;K$2,0,IF(A73&lt;=K$3,1,0))))</f>
        <v>0</v>
      </c>
      <c r="L73" s="112" t="n">
        <f aca="false">J73*K73</f>
        <v>-0</v>
      </c>
      <c r="M73" s="112" t="n">
        <f aca="false">SUM(J$6:J73)</f>
        <v>1182597</v>
      </c>
      <c r="N73" s="112" t="n">
        <f aca="false">SUM(J$6:J73)</f>
        <v>1182597</v>
      </c>
      <c r="P73" s="112" t="n">
        <f aca="false">D73/P$3</f>
        <v>-17.1517909626552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-59.906</v>
      </c>
      <c r="T73" s="114" t="n">
        <f aca="false">L73/$R$3</f>
        <v>-0</v>
      </c>
      <c r="U73" s="114" t="n">
        <f aca="false">I73/$R$3</f>
        <v>95.858</v>
      </c>
      <c r="V73" s="114" t="n">
        <f aca="false">M73/$R$3</f>
        <v>1182.597</v>
      </c>
      <c r="W73" s="114" t="n">
        <f aca="false">N73/$R$3</f>
        <v>1182.597</v>
      </c>
    </row>
    <row r="74" customFormat="false" ht="12.75" hidden="false" customHeight="false" outlineLevel="0" collapsed="false">
      <c r="A74" s="108" t="n">
        <f aca="false">A73+1</f>
        <v>36960</v>
      </c>
      <c r="B74" s="119" t="str">
        <f aca="false">INDEX('[4]Master Data'!$A$2:$B$8,MATCH(WEEKDAY('SC Gas MTM'!A74,3),'[4]Master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95858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1182597</v>
      </c>
      <c r="N74" s="112" t="n">
        <f aca="false">SUM(J$6:J74)</f>
        <v>1182597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95.858</v>
      </c>
      <c r="V74" s="114" t="n">
        <f aca="false">M74/$R$3</f>
        <v>1182.597</v>
      </c>
      <c r="W74" s="114" t="n">
        <f aca="false">N74/$R$3</f>
        <v>1182.597</v>
      </c>
    </row>
    <row r="75" customFormat="false" ht="12.75" hidden="false" customHeight="false" outlineLevel="0" collapsed="false">
      <c r="A75" s="108" t="n">
        <f aca="false">A74+1</f>
        <v>36961</v>
      </c>
      <c r="B75" s="119" t="str">
        <f aca="false">INDEX('[4]Master Data'!$A$2:$B$8,MATCH(WEEKDAY('SC Gas MTM'!A75,3),'[4]Master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95858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1182597</v>
      </c>
      <c r="N75" s="112" t="n">
        <f aca="false">SUM(J$6:J75)</f>
        <v>1182597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95.858</v>
      </c>
      <c r="V75" s="114" t="n">
        <f aca="false">M75/$R$3</f>
        <v>1182.597</v>
      </c>
      <c r="W75" s="114" t="n">
        <f aca="false">N75/$R$3</f>
        <v>1182.597</v>
      </c>
    </row>
    <row r="76" customFormat="false" ht="12.75" hidden="false" customHeight="false" outlineLevel="0" collapsed="false">
      <c r="A76" s="108" t="n">
        <f aca="false">A75+1</f>
        <v>36962</v>
      </c>
      <c r="B76" s="119" t="str">
        <f aca="false">INDEX('[4]Master Data'!$A$2:$B$8,MATCH(WEEKDAY('SC Gas MTM'!A76,3),'[4]Master Data'!$A$2:$A$8,0),2)</f>
        <v>M</v>
      </c>
      <c r="D76" s="112" t="n">
        <v>-17197274.8477247</v>
      </c>
      <c r="E76" s="112" t="n">
        <v>0</v>
      </c>
      <c r="F76" s="112" t="n">
        <v>0</v>
      </c>
      <c r="G76" s="112" t="n">
        <v>130596</v>
      </c>
      <c r="I76" s="112" t="n">
        <f aca="false">IF(MONTH($A76)=MONTH($A75),IF(G76=0,I75,G76),G76)</f>
        <v>130596</v>
      </c>
      <c r="J76" s="112" t="n">
        <f aca="false">IF(MONTH($A76)=MONTH($A75),SUM(I76-I75),I76)</f>
        <v>34738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1217335</v>
      </c>
      <c r="N76" s="112" t="n">
        <f aca="false">SUM(J$6:J76)</f>
        <v>1217335</v>
      </c>
      <c r="P76" s="112" t="n">
        <f aca="false">D76/P$3</f>
        <v>-17.1972748477247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34.738</v>
      </c>
      <c r="T76" s="114" t="n">
        <f aca="false">L76/$R$3</f>
        <v>0</v>
      </c>
      <c r="U76" s="114" t="n">
        <f aca="false">I76/$R$3</f>
        <v>130.596</v>
      </c>
      <c r="V76" s="114" t="n">
        <f aca="false">M76/$R$3</f>
        <v>1217.335</v>
      </c>
      <c r="W76" s="114" t="n">
        <f aca="false">N76/$R$3</f>
        <v>1217.335</v>
      </c>
    </row>
    <row r="77" customFormat="false" ht="12.75" hidden="false" customHeight="false" outlineLevel="0" collapsed="false">
      <c r="A77" s="108" t="n">
        <f aca="false">A76+1</f>
        <v>36963</v>
      </c>
      <c r="B77" s="119" t="str">
        <f aca="false">INDEX('[4]Master Data'!$A$2:$B$8,MATCH(WEEKDAY('SC Gas MTM'!A77,3),'[4]Master Data'!$A$2:$A$8,0),2)</f>
        <v>T</v>
      </c>
      <c r="D77" s="112" t="n">
        <v>-17083883.5589541</v>
      </c>
      <c r="E77" s="112" t="n">
        <v>0</v>
      </c>
      <c r="F77" s="112" t="n">
        <v>0</v>
      </c>
      <c r="G77" s="112" t="n">
        <v>23522</v>
      </c>
      <c r="I77" s="112" t="n">
        <f aca="false">IF(MONTH($A77)=MONTH($A76),IF(G77=0,I76,G77),G77)</f>
        <v>23522</v>
      </c>
      <c r="J77" s="112" t="n">
        <f aca="false">IF(MONTH($A77)=MONTH($A76),SUM(I77-I76),I77)</f>
        <v>-107074</v>
      </c>
      <c r="K77" s="112" t="n">
        <f aca="false">IF(WEEKDAY(A77,3)&gt;4,0,(IF(A77&lt;K$2,0,IF(A77&lt;=K$3,1,0))))</f>
        <v>0</v>
      </c>
      <c r="L77" s="112" t="n">
        <f aca="false">J77*K77</f>
        <v>-0</v>
      </c>
      <c r="M77" s="112" t="n">
        <f aca="false">SUM(J$6:J77)</f>
        <v>1110261</v>
      </c>
      <c r="N77" s="112" t="n">
        <f aca="false">SUM(J$6:J77)</f>
        <v>1110261</v>
      </c>
      <c r="P77" s="112" t="n">
        <f aca="false">D77/P$3</f>
        <v>-17.0838835589541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-107.074</v>
      </c>
      <c r="T77" s="114" t="n">
        <f aca="false">L77/$R$3</f>
        <v>-0</v>
      </c>
      <c r="U77" s="114" t="n">
        <f aca="false">I77/$R$3</f>
        <v>23.522</v>
      </c>
      <c r="V77" s="114" t="n">
        <f aca="false">M77/$R$3</f>
        <v>1110.261</v>
      </c>
      <c r="W77" s="114" t="n">
        <f aca="false">N77/$R$3</f>
        <v>1110.261</v>
      </c>
    </row>
    <row r="78" customFormat="false" ht="12.75" hidden="false" customHeight="false" outlineLevel="0" collapsed="false">
      <c r="A78" s="108" t="n">
        <f aca="false">A77+1</f>
        <v>36964</v>
      </c>
      <c r="B78" s="119" t="str">
        <f aca="false">INDEX('[4]Master Data'!$A$2:$B$8,MATCH(WEEKDAY('SC Gas MTM'!A78,3),'[4]Master Data'!$A$2:$A$8,0),2)</f>
        <v>W</v>
      </c>
      <c r="D78" s="112" t="n">
        <v>-17161088.3179579</v>
      </c>
      <c r="E78" s="112" t="n">
        <v>0</v>
      </c>
      <c r="F78" s="112" t="n">
        <v>0</v>
      </c>
      <c r="G78" s="112" t="n">
        <v>38806</v>
      </c>
      <c r="I78" s="112" t="n">
        <f aca="false">IF(MONTH($A78)=MONTH($A77),IF(G78=0,I77,G78),G78)</f>
        <v>38806</v>
      </c>
      <c r="J78" s="112" t="n">
        <f aca="false">IF(MONTH($A78)=MONTH($A77),SUM(I78-I77),I78)</f>
        <v>15284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1125545</v>
      </c>
      <c r="N78" s="112" t="n">
        <f aca="false">SUM(J$6:J78)</f>
        <v>1125545</v>
      </c>
      <c r="P78" s="112" t="n">
        <f aca="false">D78/P$3</f>
        <v>-17.1610883179579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15.284</v>
      </c>
      <c r="T78" s="114" t="n">
        <f aca="false">L78/$R$3</f>
        <v>0</v>
      </c>
      <c r="U78" s="114" t="n">
        <f aca="false">I78/$R$3</f>
        <v>38.806</v>
      </c>
      <c r="V78" s="114" t="n">
        <f aca="false">M78/$R$3</f>
        <v>1125.545</v>
      </c>
      <c r="W78" s="114" t="n">
        <f aca="false">N78/$R$3</f>
        <v>1125.545</v>
      </c>
    </row>
    <row r="79" customFormat="false" ht="12.75" hidden="false" customHeight="false" outlineLevel="0" collapsed="false">
      <c r="A79" s="108" t="n">
        <f aca="false">A78+1</f>
        <v>36965</v>
      </c>
      <c r="B79" s="119" t="str">
        <f aca="false">INDEX('[4]Master Data'!$A$2:$B$8,MATCH(WEEKDAY('SC Gas MTM'!A79,3),'[4]Master Data'!$A$2:$A$8,0),2)</f>
        <v>Th</v>
      </c>
      <c r="D79" s="112" t="n">
        <v>-17349105.3952887</v>
      </c>
      <c r="E79" s="112" t="n">
        <v>0</v>
      </c>
      <c r="F79" s="112" t="n">
        <v>0</v>
      </c>
      <c r="G79" s="112" t="n">
        <v>214803</v>
      </c>
      <c r="I79" s="112" t="n">
        <f aca="false">IF(MONTH($A79)=MONTH($A78),IF(G79=0,I78,G79),G79)</f>
        <v>214803</v>
      </c>
      <c r="J79" s="112" t="n">
        <f aca="false">IF(MONTH($A79)=MONTH($A78),SUM(I79-I78),I79)</f>
        <v>175997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1301542</v>
      </c>
      <c r="N79" s="112" t="n">
        <f aca="false">SUM(J$6:J79)</f>
        <v>1301542</v>
      </c>
      <c r="P79" s="112" t="n">
        <f aca="false">D79/P$3</f>
        <v>-17.3491053952887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175.997</v>
      </c>
      <c r="T79" s="114" t="n">
        <f aca="false">L79/$R$3</f>
        <v>0</v>
      </c>
      <c r="U79" s="114" t="n">
        <f aca="false">I79/$R$3</f>
        <v>214.803</v>
      </c>
      <c r="V79" s="114" t="n">
        <f aca="false">M79/$R$3</f>
        <v>1301.542</v>
      </c>
      <c r="W79" s="114" t="n">
        <f aca="false">N79/$R$3</f>
        <v>1301.542</v>
      </c>
    </row>
    <row r="80" customFormat="false" ht="12.75" hidden="false" customHeight="false" outlineLevel="0" collapsed="false">
      <c r="A80" s="108" t="n">
        <f aca="false">A79+1</f>
        <v>36966</v>
      </c>
      <c r="B80" s="119" t="str">
        <f aca="false">INDEX('[4]Master Data'!$A$2:$B$8,MATCH(WEEKDAY('SC Gas MTM'!A80,3),'[4]Master Data'!$A$2:$A$8,0),2)</f>
        <v>F</v>
      </c>
      <c r="D80" s="112" t="n">
        <v>-17345695.5675588</v>
      </c>
      <c r="E80" s="112" t="n">
        <v>0</v>
      </c>
      <c r="F80" s="112" t="n">
        <v>0</v>
      </c>
      <c r="G80" s="112" t="n">
        <v>178865</v>
      </c>
      <c r="I80" s="112" t="n">
        <f aca="false">IF(MONTH($A80)=MONTH($A79),IF(G80=0,I79,G80),G80)</f>
        <v>178865</v>
      </c>
      <c r="J80" s="112" t="n">
        <f aca="false">IF(MONTH($A80)=MONTH($A79),SUM(I80-I79),I80)</f>
        <v>-35938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1265604</v>
      </c>
      <c r="N80" s="112" t="n">
        <f aca="false">SUM(J$6:J80)</f>
        <v>1265604</v>
      </c>
      <c r="P80" s="112" t="n">
        <f aca="false">D80/P$3</f>
        <v>-17.3456955675588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-35.938</v>
      </c>
      <c r="T80" s="114" t="n">
        <f aca="false">L80/$R$3</f>
        <v>-0</v>
      </c>
      <c r="U80" s="114" t="n">
        <f aca="false">I80/$R$3</f>
        <v>178.865</v>
      </c>
      <c r="V80" s="114" t="n">
        <f aca="false">M80/$R$3</f>
        <v>1265.604</v>
      </c>
      <c r="W80" s="114" t="n">
        <f aca="false">N80/$R$3</f>
        <v>1265.604</v>
      </c>
    </row>
    <row r="81" customFormat="false" ht="12.75" hidden="false" customHeight="false" outlineLevel="0" collapsed="false">
      <c r="A81" s="108" t="n">
        <f aca="false">A80+1</f>
        <v>36967</v>
      </c>
      <c r="B81" s="119" t="str">
        <f aca="false">INDEX('[4]Master Data'!$A$2:$B$8,MATCH(WEEKDAY('SC Gas MTM'!A81,3),'[4]Master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178865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1265604</v>
      </c>
      <c r="N81" s="112" t="n">
        <f aca="false">SUM(J$6:J81)</f>
        <v>1265604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178.865</v>
      </c>
      <c r="V81" s="114" t="n">
        <f aca="false">M81/$R$3</f>
        <v>1265.604</v>
      </c>
      <c r="W81" s="114" t="n">
        <f aca="false">N81/$R$3</f>
        <v>1265.604</v>
      </c>
    </row>
    <row r="82" customFormat="false" ht="12.75" hidden="false" customHeight="false" outlineLevel="0" collapsed="false">
      <c r="A82" s="108" t="n">
        <f aca="false">A81+1</f>
        <v>36968</v>
      </c>
      <c r="B82" s="119" t="str">
        <f aca="false">INDEX('[4]Master Data'!$A$2:$B$8,MATCH(WEEKDAY('SC Gas MTM'!A82,3),'[4]Master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178865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1265604</v>
      </c>
      <c r="N82" s="112" t="n">
        <f aca="false">SUM(J$6:J82)</f>
        <v>1265604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178.865</v>
      </c>
      <c r="V82" s="114" t="n">
        <f aca="false">M82/$R$3</f>
        <v>1265.604</v>
      </c>
      <c r="W82" s="114" t="n">
        <f aca="false">N82/$R$3</f>
        <v>1265.604</v>
      </c>
    </row>
    <row r="83" customFormat="false" ht="12.75" hidden="false" customHeight="false" outlineLevel="0" collapsed="false">
      <c r="A83" s="108" t="n">
        <f aca="false">A82+1</f>
        <v>36969</v>
      </c>
      <c r="B83" s="119" t="str">
        <f aca="false">INDEX('[4]Master Data'!$A$2:$B$8,MATCH(WEEKDAY('SC Gas MTM'!A83,3),'[4]Master Data'!$A$2:$A$8,0),2)</f>
        <v>M</v>
      </c>
      <c r="D83" s="112" t="n">
        <v>-15683117.2767777</v>
      </c>
      <c r="E83" s="112" t="n">
        <v>0</v>
      </c>
      <c r="F83" s="112" t="n">
        <v>0</v>
      </c>
      <c r="G83" s="112" t="n">
        <v>-369326</v>
      </c>
      <c r="I83" s="112" t="n">
        <f aca="false">IF(MONTH($A83)=MONTH($A82),IF(G83=0,I82,G83),G83)</f>
        <v>-369326</v>
      </c>
      <c r="J83" s="112" t="n">
        <f aca="false">IF(MONTH($A83)=MONTH($A82),SUM(I83-I82),I83)</f>
        <v>-548191</v>
      </c>
      <c r="K83" s="112" t="n">
        <f aca="false">IF(WEEKDAY(A83,3)&gt;4,0,(IF(A83&lt;K$2,0,IF(A83&lt;=K$3,1,0))))</f>
        <v>0</v>
      </c>
      <c r="L83" s="112" t="n">
        <f aca="false">J83*K83</f>
        <v>-0</v>
      </c>
      <c r="M83" s="112" t="n">
        <f aca="false">SUM(J$6:J83)</f>
        <v>717413</v>
      </c>
      <c r="N83" s="112" t="n">
        <f aca="false">SUM(J$6:J83)</f>
        <v>717413</v>
      </c>
      <c r="P83" s="112" t="n">
        <f aca="false">D83/P$3</f>
        <v>-15.6831172767777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-548.191</v>
      </c>
      <c r="T83" s="114" t="n">
        <f aca="false">L83/$R$3</f>
        <v>-0</v>
      </c>
      <c r="U83" s="114" t="n">
        <f aca="false">I83/$R$3</f>
        <v>-369.326</v>
      </c>
      <c r="V83" s="114" t="n">
        <f aca="false">M83/$R$3</f>
        <v>717.413</v>
      </c>
      <c r="W83" s="114" t="n">
        <f aca="false">N83/$R$3</f>
        <v>717.413</v>
      </c>
    </row>
    <row r="84" customFormat="false" ht="12.75" hidden="false" customHeight="false" outlineLevel="0" collapsed="false">
      <c r="A84" s="108" t="n">
        <f aca="false">A83+1</f>
        <v>36970</v>
      </c>
      <c r="B84" s="119" t="str">
        <f aca="false">INDEX('[4]Master Data'!$A$2:$B$8,MATCH(WEEKDAY('SC Gas MTM'!A84,3),'[4]Master Data'!$A$2:$A$8,0),2)</f>
        <v>T</v>
      </c>
      <c r="D84" s="112" t="n">
        <v>-15706263.5326875</v>
      </c>
      <c r="E84" s="112" t="n">
        <v>0</v>
      </c>
      <c r="F84" s="112" t="n">
        <v>0</v>
      </c>
      <c r="G84" s="112" t="n">
        <v>-392175</v>
      </c>
      <c r="I84" s="112" t="n">
        <f aca="false">IF(MONTH($A84)=MONTH($A83),IF(G84=0,I83,G84),G84)</f>
        <v>-392175</v>
      </c>
      <c r="J84" s="112" t="n">
        <f aca="false">IF(MONTH($A84)=MONTH($A83),SUM(I84-I83),I84)</f>
        <v>-22849</v>
      </c>
      <c r="K84" s="112" t="n">
        <f aca="false">IF(WEEKDAY(A84,3)&gt;4,0,(IF(A84&lt;K$2,0,IF(A84&lt;=K$3,1,0))))</f>
        <v>0</v>
      </c>
      <c r="L84" s="112" t="n">
        <f aca="false">J84*K84</f>
        <v>-0</v>
      </c>
      <c r="M84" s="112" t="n">
        <f aca="false">SUM(J$6:J84)</f>
        <v>694564</v>
      </c>
      <c r="N84" s="112" t="n">
        <f aca="false">SUM(J$6:J84)</f>
        <v>694564</v>
      </c>
      <c r="P84" s="112" t="n">
        <f aca="false">D84/P$3</f>
        <v>-15.7062635326875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-22.849</v>
      </c>
      <c r="T84" s="114" t="n">
        <f aca="false">L84/$R$3</f>
        <v>-0</v>
      </c>
      <c r="U84" s="114" t="n">
        <f aca="false">I84/$R$3</f>
        <v>-392.175</v>
      </c>
      <c r="V84" s="114" t="n">
        <f aca="false">M84/$R$3</f>
        <v>694.564</v>
      </c>
      <c r="W84" s="114" t="n">
        <f aca="false">N84/$R$3</f>
        <v>694.564</v>
      </c>
    </row>
    <row r="85" customFormat="false" ht="12.75" hidden="false" customHeight="false" outlineLevel="0" collapsed="false">
      <c r="A85" s="108" t="n">
        <f aca="false">A84+1</f>
        <v>36971</v>
      </c>
      <c r="B85" s="119" t="str">
        <f aca="false">INDEX('[4]Master Data'!$A$2:$B$8,MATCH(WEEKDAY('SC Gas MTM'!A85,3),'[4]Master Data'!$A$2:$A$8,0),2)</f>
        <v>W</v>
      </c>
      <c r="D85" s="133" t="n">
        <v>0</v>
      </c>
      <c r="E85" s="112" t="n">
        <v>0</v>
      </c>
      <c r="F85" s="112" t="n">
        <v>0</v>
      </c>
      <c r="G85" s="112" t="n">
        <f aca="false">-392175+860000</f>
        <v>467825</v>
      </c>
      <c r="I85" s="112" t="n">
        <f aca="false">IF(MONTH($A85)=MONTH($A84),IF(G85=0,I84,G85),G85)</f>
        <v>467825</v>
      </c>
      <c r="J85" s="112" t="n">
        <f aca="false">IF(MONTH($A85)=MONTH($A84),SUM(I85-I84),I85)</f>
        <v>860000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1554564</v>
      </c>
      <c r="N85" s="112" t="n">
        <f aca="false">SUM(J$6:J85)</f>
        <v>1554564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860</v>
      </c>
      <c r="T85" s="114" t="n">
        <f aca="false">L85/$R$3</f>
        <v>0</v>
      </c>
      <c r="U85" s="114" t="n">
        <f aca="false">I85/$R$3</f>
        <v>467.825</v>
      </c>
      <c r="V85" s="114" t="n">
        <f aca="false">M85/$R$3</f>
        <v>1554.564</v>
      </c>
      <c r="W85" s="114" t="n">
        <f aca="false">N85/$R$3</f>
        <v>1554.564</v>
      </c>
    </row>
    <row r="86" customFormat="false" ht="12.75" hidden="false" customHeight="false" outlineLevel="0" collapsed="false">
      <c r="A86" s="108" t="n">
        <f aca="false">A85+1</f>
        <v>36972</v>
      </c>
      <c r="B86" s="119" t="str">
        <f aca="false">INDEX('[4]Master Data'!$A$2:$B$8,MATCH(WEEKDAY('SC Gas MTM'!A86,3),'[4]Master Data'!$A$2:$A$8,0),2)</f>
        <v>Th</v>
      </c>
      <c r="D86" s="133" t="n">
        <v>0</v>
      </c>
      <c r="E86" s="112" t="n">
        <v>0</v>
      </c>
      <c r="F86" s="112" t="n">
        <v>0</v>
      </c>
      <c r="G86" s="112" t="n">
        <v>110286</v>
      </c>
      <c r="I86" s="112" t="n">
        <f aca="false">IF(MONTH($A86)=MONTH($A85),IF(G86=0,I85,G86),G86)</f>
        <v>110286</v>
      </c>
      <c r="J86" s="112" t="n">
        <f aca="false">IF(MONTH($A86)=MONTH($A85),SUM(I86-I85),I86)</f>
        <v>-357539</v>
      </c>
      <c r="K86" s="112" t="n">
        <f aca="false">IF(WEEKDAY(A86,3)&gt;4,0,(IF(A86&lt;K$2,0,IF(A86&lt;=K$3,1,0))))</f>
        <v>0</v>
      </c>
      <c r="L86" s="112" t="n">
        <f aca="false">J86*K86</f>
        <v>-0</v>
      </c>
      <c r="M86" s="112" t="n">
        <f aca="false">SUM(J$6:J86)</f>
        <v>1197025</v>
      </c>
      <c r="N86" s="112" t="n">
        <f aca="false">SUM(J$6:J86)</f>
        <v>1197025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-357.539</v>
      </c>
      <c r="T86" s="114" t="n">
        <f aca="false">L86/$R$3</f>
        <v>-0</v>
      </c>
      <c r="U86" s="114" t="n">
        <f aca="false">I86/$R$3</f>
        <v>110.286</v>
      </c>
      <c r="V86" s="114" t="n">
        <f aca="false">M86/$R$3</f>
        <v>1197.025</v>
      </c>
      <c r="W86" s="114" t="n">
        <f aca="false">N86/$R$3</f>
        <v>1197.025</v>
      </c>
    </row>
    <row r="87" customFormat="false" ht="12.75" hidden="false" customHeight="false" outlineLevel="0" collapsed="false">
      <c r="A87" s="108" t="n">
        <f aca="false">A86+1</f>
        <v>36973</v>
      </c>
      <c r="B87" s="119" t="str">
        <f aca="false">INDEX('[4]Master Data'!$A$2:$B$8,MATCH(WEEKDAY('SC Gas MTM'!A87,3),'[4]Master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110286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1197025</v>
      </c>
      <c r="N87" s="112" t="n">
        <f aca="false">SUM(J$6:J87)</f>
        <v>1197025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110.286</v>
      </c>
      <c r="V87" s="114" t="n">
        <f aca="false">M87/$R$3</f>
        <v>1197.025</v>
      </c>
      <c r="W87" s="114" t="n">
        <f aca="false">N87/$R$3</f>
        <v>1197.025</v>
      </c>
    </row>
    <row r="88" customFormat="false" ht="12.75" hidden="false" customHeight="false" outlineLevel="0" collapsed="false">
      <c r="A88" s="108" t="n">
        <f aca="false">A87+1</f>
        <v>36974</v>
      </c>
      <c r="B88" s="119" t="str">
        <f aca="false">INDEX('[4]Master Data'!$A$2:$B$8,MATCH(WEEKDAY('SC Gas MTM'!A88,3),'[4]Master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110286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1197025</v>
      </c>
      <c r="N88" s="112" t="n">
        <f aca="false">SUM(J$6:J88)</f>
        <v>1197025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110.286</v>
      </c>
      <c r="V88" s="114" t="n">
        <f aca="false">M88/$R$3</f>
        <v>1197.025</v>
      </c>
      <c r="W88" s="114" t="n">
        <f aca="false">N88/$R$3</f>
        <v>1197.025</v>
      </c>
    </row>
    <row r="89" customFormat="false" ht="12.75" hidden="false" customHeight="false" outlineLevel="0" collapsed="false">
      <c r="A89" s="108" t="n">
        <f aca="false">A88+1</f>
        <v>36975</v>
      </c>
      <c r="B89" s="119" t="str">
        <f aca="false">INDEX('[4]Master Data'!$A$2:$B$8,MATCH(WEEKDAY('SC Gas MTM'!A89,3),'[4]Master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110286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1197025</v>
      </c>
      <c r="N89" s="112" t="n">
        <f aca="false">SUM(J$6:J89)</f>
        <v>1197025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110.286</v>
      </c>
      <c r="V89" s="114" t="n">
        <f aca="false">M89/$R$3</f>
        <v>1197.025</v>
      </c>
      <c r="W89" s="114" t="n">
        <f aca="false">N89/$R$3</f>
        <v>1197.025</v>
      </c>
    </row>
    <row r="90" customFormat="false" ht="12.75" hidden="false" customHeight="false" outlineLevel="0" collapsed="false">
      <c r="A90" s="108" t="n">
        <f aca="false">A89+1</f>
        <v>36976</v>
      </c>
      <c r="B90" s="119" t="str">
        <f aca="false">INDEX('[4]Master Data'!$A$2:$B$8,MATCH(WEEKDAY('SC Gas MTM'!A90,3),'[4]Master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110286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1197025</v>
      </c>
      <c r="N90" s="112" t="n">
        <f aca="false">SUM(J$6:J90)</f>
        <v>1197025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110.286</v>
      </c>
      <c r="V90" s="114" t="n">
        <f aca="false">M90/$R$3</f>
        <v>1197.025</v>
      </c>
      <c r="W90" s="114" t="n">
        <f aca="false">N90/$R$3</f>
        <v>1197.025</v>
      </c>
    </row>
    <row r="91" customFormat="false" ht="12.75" hidden="false" customHeight="false" outlineLevel="0" collapsed="false">
      <c r="A91" s="108" t="n">
        <f aca="false">A90+1</f>
        <v>36977</v>
      </c>
      <c r="B91" s="119" t="str">
        <f aca="false">INDEX('[4]Master Data'!$A$2:$B$8,MATCH(WEEKDAY('SC Gas MTM'!A91,3),'[4]Master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110286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1197025</v>
      </c>
      <c r="N91" s="112" t="n">
        <f aca="false">SUM(J$6:J91)</f>
        <v>1197025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110.286</v>
      </c>
      <c r="V91" s="114" t="n">
        <f aca="false">M91/$R$3</f>
        <v>1197.025</v>
      </c>
      <c r="W91" s="114" t="n">
        <f aca="false">N91/$R$3</f>
        <v>1197.025</v>
      </c>
    </row>
    <row r="92" customFormat="false" ht="12.75" hidden="false" customHeight="false" outlineLevel="0" collapsed="false">
      <c r="A92" s="108" t="n">
        <f aca="false">A91+1</f>
        <v>36978</v>
      </c>
      <c r="B92" s="119" t="str">
        <f aca="false">INDEX('[4]Master Data'!$A$2:$B$8,MATCH(WEEKDAY('SC Gas MTM'!A92,3),'[4]Master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110286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1197025</v>
      </c>
      <c r="N92" s="112" t="n">
        <f aca="false">SUM(J$6:J92)</f>
        <v>1197025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110.286</v>
      </c>
      <c r="V92" s="114" t="n">
        <f aca="false">M92/$R$3</f>
        <v>1197.025</v>
      </c>
      <c r="W92" s="114" t="n">
        <f aca="false">N92/$R$3</f>
        <v>1197.025</v>
      </c>
    </row>
    <row r="93" customFormat="false" ht="12.75" hidden="false" customHeight="false" outlineLevel="0" collapsed="false">
      <c r="A93" s="108" t="n">
        <f aca="false">A92+1</f>
        <v>36979</v>
      </c>
      <c r="B93" s="119" t="str">
        <f aca="false">INDEX('[4]Master Data'!$A$2:$B$8,MATCH(WEEKDAY('SC Gas MTM'!A93,3),'[4]Master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110286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1197025</v>
      </c>
      <c r="N93" s="112" t="n">
        <f aca="false">SUM(J$6:J93)</f>
        <v>1197025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110.286</v>
      </c>
      <c r="V93" s="114" t="n">
        <f aca="false">M93/$R$3</f>
        <v>1197.025</v>
      </c>
      <c r="W93" s="114" t="n">
        <f aca="false">N93/$R$3</f>
        <v>1197.025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INDEX('[4]Master Data'!$A$2:$B$8,MATCH(WEEKDAY('SC Gas MTM'!A94,3),'[4]Master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110286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1197025</v>
      </c>
      <c r="N94" s="112" t="n">
        <f aca="false">SUM(J$6:J94)</f>
        <v>1197025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110.286</v>
      </c>
      <c r="V94" s="114" t="n">
        <f aca="false">M94/$R$3</f>
        <v>1197.025</v>
      </c>
      <c r="W94" s="114" t="n">
        <f aca="false">N94/$R$3</f>
        <v>1197.025</v>
      </c>
    </row>
    <row r="95" customFormat="false" ht="12.75" hidden="false" customHeight="false" outlineLevel="0" collapsed="false">
      <c r="A95" s="108" t="n">
        <f aca="false">A94+1</f>
        <v>36981</v>
      </c>
      <c r="B95" s="119" t="str">
        <f aca="false">INDEX('[4]Master Data'!$A$2:$B$8,MATCH(WEEKDAY('SC Gas MTM'!A95,3),'[4]Master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110286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1197025</v>
      </c>
      <c r="N95" s="112" t="n">
        <f aca="false">SUM(J$6:J95)</f>
        <v>1197025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110.286</v>
      </c>
      <c r="V95" s="114" t="n">
        <f aca="false">M95/$R$3</f>
        <v>1197.025</v>
      </c>
      <c r="W95" s="114" t="n">
        <f aca="false">N95/$R$3</f>
        <v>1197.025</v>
      </c>
    </row>
    <row r="96" customFormat="false" ht="12.75" hidden="false" customHeight="false" outlineLevel="0" collapsed="false">
      <c r="A96" s="108" t="n">
        <f aca="false">A95+1</f>
        <v>36982</v>
      </c>
      <c r="B96" s="119" t="str">
        <f aca="false">INDEX('[4]Master Data'!$A$2:$B$8,MATCH(WEEKDAY('SC Gas MTM'!A96,3),'[4]Master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1197025</v>
      </c>
      <c r="N96" s="112" t="n">
        <f aca="false">SUM(J$6:J96)</f>
        <v>1197025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1197.025</v>
      </c>
      <c r="W96" s="114" t="n">
        <f aca="false">N96/$R$3</f>
        <v>1197.025</v>
      </c>
    </row>
    <row r="97" customFormat="false" ht="12.75" hidden="false" customHeight="false" outlineLevel="0" collapsed="false">
      <c r="A97" s="108" t="n">
        <f aca="false">A96+1</f>
        <v>36983</v>
      </c>
      <c r="B97" s="119" t="str">
        <f aca="false">INDEX('[4]Master Data'!$A$2:$B$8,MATCH(WEEKDAY('SC Gas MTM'!A97,3),'[4]Master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1197025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1197.025</v>
      </c>
    </row>
    <row r="98" customFormat="false" ht="12.75" hidden="false" customHeight="false" outlineLevel="0" collapsed="false">
      <c r="A98" s="108" t="n">
        <f aca="false">A97+1</f>
        <v>36984</v>
      </c>
      <c r="B98" s="119" t="str">
        <f aca="false">INDEX('[4]Master Data'!$A$2:$B$8,MATCH(WEEKDAY('SC Gas MTM'!A98,3),'[4]Master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1197025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1197.025</v>
      </c>
    </row>
    <row r="99" customFormat="false" ht="12.75" hidden="false" customHeight="false" outlineLevel="0" collapsed="false">
      <c r="A99" s="108" t="n">
        <f aca="false">A98+1</f>
        <v>36985</v>
      </c>
      <c r="B99" s="119" t="str">
        <f aca="false">INDEX('[4]Master Data'!$A$2:$B$8,MATCH(WEEKDAY('SC Gas MTM'!A99,3),'[4]Master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1197025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1197.025</v>
      </c>
    </row>
    <row r="100" customFormat="false" ht="12.75" hidden="false" customHeight="false" outlineLevel="0" collapsed="false">
      <c r="A100" s="108" t="n">
        <f aca="false">A99+1</f>
        <v>36986</v>
      </c>
      <c r="B100" s="119" t="str">
        <f aca="false">INDEX('[4]Master Data'!$A$2:$B$8,MATCH(WEEKDAY('SC Gas MTM'!A100,3),'[4]Master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1197025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1197.025</v>
      </c>
    </row>
    <row r="101" customFormat="false" ht="12.75" hidden="false" customHeight="false" outlineLevel="0" collapsed="false">
      <c r="A101" s="108" t="n">
        <f aca="false">A100+1</f>
        <v>36987</v>
      </c>
      <c r="B101" s="119" t="str">
        <f aca="false">INDEX('[4]Master Data'!$A$2:$B$8,MATCH(WEEKDAY('SC Gas MTM'!A101,3),'[4]Master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1197025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1197.025</v>
      </c>
    </row>
    <row r="102" customFormat="false" ht="12.75" hidden="false" customHeight="false" outlineLevel="0" collapsed="false">
      <c r="A102" s="108" t="n">
        <f aca="false">A101+1</f>
        <v>36988</v>
      </c>
      <c r="B102" s="119" t="str">
        <f aca="false">INDEX('[4]Master Data'!$A$2:$B$8,MATCH(WEEKDAY('SC Gas MTM'!A102,3),'[4]Master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1197025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1197.025</v>
      </c>
    </row>
    <row r="103" customFormat="false" ht="12.75" hidden="false" customHeight="false" outlineLevel="0" collapsed="false">
      <c r="A103" s="108" t="n">
        <f aca="false">A102+1</f>
        <v>36989</v>
      </c>
      <c r="B103" s="119" t="str">
        <f aca="false">INDEX('[4]Master Data'!$A$2:$B$8,MATCH(WEEKDAY('SC Gas MTM'!A103,3),'[4]Master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1197025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1197.025</v>
      </c>
    </row>
    <row r="104" customFormat="false" ht="12.75" hidden="false" customHeight="false" outlineLevel="0" collapsed="false">
      <c r="A104" s="108" t="n">
        <f aca="false">A103+1</f>
        <v>36990</v>
      </c>
      <c r="B104" s="119" t="str">
        <f aca="false">INDEX('[4]Master Data'!$A$2:$B$8,MATCH(WEEKDAY('SC Gas MTM'!A104,3),'[4]Master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1197025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1197.025</v>
      </c>
    </row>
    <row r="105" customFormat="false" ht="12.75" hidden="false" customHeight="false" outlineLevel="0" collapsed="false">
      <c r="A105" s="108" t="n">
        <f aca="false">A104+1</f>
        <v>36991</v>
      </c>
      <c r="B105" s="119" t="str">
        <f aca="false">INDEX('[4]Master Data'!$A$2:$B$8,MATCH(WEEKDAY('SC Gas MTM'!A105,3),'[4]Master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1197025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1197.025</v>
      </c>
    </row>
    <row r="106" customFormat="false" ht="12.75" hidden="false" customHeight="false" outlineLevel="0" collapsed="false">
      <c r="A106" s="108" t="n">
        <f aca="false">A105+1</f>
        <v>36992</v>
      </c>
      <c r="B106" s="119" t="str">
        <f aca="false">INDEX('[4]Master Data'!$A$2:$B$8,MATCH(WEEKDAY('SC Gas MTM'!A106,3),'[4]Master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1197025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1197.025</v>
      </c>
    </row>
    <row r="107" customFormat="false" ht="12.75" hidden="false" customHeight="false" outlineLevel="0" collapsed="false">
      <c r="A107" s="108" t="n">
        <f aca="false">A106+1</f>
        <v>36993</v>
      </c>
      <c r="B107" s="119" t="str">
        <f aca="false">INDEX('[4]Master Data'!$A$2:$B$8,MATCH(WEEKDAY('SC Gas MTM'!A107,3),'[4]Master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1197025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1197.025</v>
      </c>
    </row>
    <row r="108" customFormat="false" ht="12.75" hidden="false" customHeight="false" outlineLevel="0" collapsed="false">
      <c r="A108" s="108" t="n">
        <f aca="false">A107+1</f>
        <v>36994</v>
      </c>
      <c r="B108" s="119" t="str">
        <f aca="false">INDEX('[4]Master Data'!$A$2:$B$8,MATCH(WEEKDAY('SC Gas MTM'!A108,3),'[4]Master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1197025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1197.025</v>
      </c>
    </row>
    <row r="109" customFormat="false" ht="12.75" hidden="false" customHeight="false" outlineLevel="0" collapsed="false">
      <c r="A109" s="108" t="n">
        <f aca="false">A108+1</f>
        <v>36995</v>
      </c>
      <c r="B109" s="119" t="str">
        <f aca="false">INDEX('[4]Master Data'!$A$2:$B$8,MATCH(WEEKDAY('SC Gas MTM'!A109,3),'[4]Master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1197025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1197.025</v>
      </c>
    </row>
    <row r="110" customFormat="false" ht="12.75" hidden="false" customHeight="false" outlineLevel="0" collapsed="false">
      <c r="A110" s="108" t="n">
        <f aca="false">A109+1</f>
        <v>36996</v>
      </c>
      <c r="B110" s="119" t="str">
        <f aca="false">INDEX('[4]Master Data'!$A$2:$B$8,MATCH(WEEKDAY('SC Gas MTM'!A110,3),'[4]Master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1197025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1197.025</v>
      </c>
    </row>
    <row r="111" customFormat="false" ht="12.75" hidden="false" customHeight="false" outlineLevel="0" collapsed="false">
      <c r="A111" s="108" t="n">
        <f aca="false">A110+1</f>
        <v>36997</v>
      </c>
      <c r="B111" s="119" t="str">
        <f aca="false">INDEX('[4]Master Data'!$A$2:$B$8,MATCH(WEEKDAY('SC Gas MTM'!A111,3),'[4]Master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1197025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1197.025</v>
      </c>
    </row>
    <row r="112" customFormat="false" ht="12.75" hidden="false" customHeight="false" outlineLevel="0" collapsed="false">
      <c r="A112" s="108" t="n">
        <f aca="false">A111+1</f>
        <v>36998</v>
      </c>
      <c r="B112" s="119" t="str">
        <f aca="false">INDEX('[4]Master Data'!$A$2:$B$8,MATCH(WEEKDAY('SC Gas MTM'!A112,3),'[4]Master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1197025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1197.025</v>
      </c>
    </row>
    <row r="113" customFormat="false" ht="12.75" hidden="false" customHeight="false" outlineLevel="0" collapsed="false">
      <c r="A113" s="108" t="n">
        <f aca="false">A112+1</f>
        <v>36999</v>
      </c>
      <c r="B113" s="119" t="str">
        <f aca="false">INDEX('[4]Master Data'!$A$2:$B$8,MATCH(WEEKDAY('SC Gas MTM'!A113,3),'[4]Master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1197025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1197.025</v>
      </c>
    </row>
    <row r="114" customFormat="false" ht="12.75" hidden="false" customHeight="false" outlineLevel="0" collapsed="false">
      <c r="A114" s="108" t="n">
        <f aca="false">A113+1</f>
        <v>37000</v>
      </c>
      <c r="B114" s="119" t="str">
        <f aca="false">INDEX('[4]Master Data'!$A$2:$B$8,MATCH(WEEKDAY('SC Gas MTM'!A114,3),'[4]Master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1197025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1197.025</v>
      </c>
    </row>
    <row r="115" customFormat="false" ht="12.75" hidden="false" customHeight="false" outlineLevel="0" collapsed="false">
      <c r="A115" s="108" t="n">
        <f aca="false">A114+1</f>
        <v>37001</v>
      </c>
      <c r="B115" s="119" t="str">
        <f aca="false">INDEX('[4]Master Data'!$A$2:$B$8,MATCH(WEEKDAY('SC Gas MTM'!A115,3),'[4]Master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1197025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1197.025</v>
      </c>
    </row>
    <row r="116" customFormat="false" ht="12.75" hidden="false" customHeight="false" outlineLevel="0" collapsed="false">
      <c r="A116" s="108" t="n">
        <f aca="false">A115+1</f>
        <v>37002</v>
      </c>
      <c r="B116" s="119" t="str">
        <f aca="false">INDEX('[4]Master Data'!$A$2:$B$8,MATCH(WEEKDAY('SC Gas MTM'!A116,3),'[4]Master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1197025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1197.025</v>
      </c>
    </row>
    <row r="117" customFormat="false" ht="12.75" hidden="false" customHeight="false" outlineLevel="0" collapsed="false">
      <c r="A117" s="108" t="n">
        <f aca="false">A116+1</f>
        <v>37003</v>
      </c>
      <c r="B117" s="119" t="str">
        <f aca="false">INDEX('[4]Master Data'!$A$2:$B$8,MATCH(WEEKDAY('SC Gas MTM'!A117,3),'[4]Master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1197025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1197.025</v>
      </c>
    </row>
    <row r="118" customFormat="false" ht="12.75" hidden="false" customHeight="false" outlineLevel="0" collapsed="false">
      <c r="A118" s="108" t="n">
        <f aca="false">A117+1</f>
        <v>37004</v>
      </c>
      <c r="B118" s="119" t="str">
        <f aca="false">INDEX('[4]Master Data'!$A$2:$B$8,MATCH(WEEKDAY('SC Gas MTM'!A118,3),'[4]Master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1197025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1197.025</v>
      </c>
    </row>
    <row r="119" customFormat="false" ht="12.75" hidden="false" customHeight="false" outlineLevel="0" collapsed="false">
      <c r="A119" s="108" t="n">
        <f aca="false">A118+1</f>
        <v>37005</v>
      </c>
      <c r="B119" s="119" t="str">
        <f aca="false">INDEX('[4]Master Data'!$A$2:$B$8,MATCH(WEEKDAY('SC Gas MTM'!A119,3),'[4]Master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1197025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1197.025</v>
      </c>
    </row>
    <row r="120" customFormat="false" ht="12.75" hidden="false" customHeight="false" outlineLevel="0" collapsed="false">
      <c r="A120" s="108" t="n">
        <f aca="false">A119+1</f>
        <v>37006</v>
      </c>
      <c r="B120" s="119" t="str">
        <f aca="false">INDEX('[4]Master Data'!$A$2:$B$8,MATCH(WEEKDAY('SC Gas MTM'!A120,3),'[4]Master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1197025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1197.025</v>
      </c>
    </row>
    <row r="121" customFormat="false" ht="12.75" hidden="false" customHeight="false" outlineLevel="0" collapsed="false">
      <c r="A121" s="108" t="n">
        <f aca="false">A120+1</f>
        <v>37007</v>
      </c>
      <c r="B121" s="119" t="str">
        <f aca="false">INDEX('[4]Master Data'!$A$2:$B$8,MATCH(WEEKDAY('SC Gas MTM'!A121,3),'[4]Master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1197025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1197.025</v>
      </c>
    </row>
    <row r="122" customFormat="false" ht="12.75" hidden="false" customHeight="false" outlineLevel="0" collapsed="false">
      <c r="A122" s="108" t="n">
        <f aca="false">A121+1</f>
        <v>37008</v>
      </c>
      <c r="B122" s="119" t="str">
        <f aca="false">INDEX('[4]Master Data'!$A$2:$B$8,MATCH(WEEKDAY('SC Gas MTM'!A122,3),'[4]Master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1197025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1197.025</v>
      </c>
    </row>
    <row r="123" customFormat="false" ht="12.75" hidden="false" customHeight="false" outlineLevel="0" collapsed="false">
      <c r="A123" s="108" t="n">
        <f aca="false">A122+1</f>
        <v>37009</v>
      </c>
      <c r="B123" s="119" t="str">
        <f aca="false">INDEX('[4]Master Data'!$A$2:$B$8,MATCH(WEEKDAY('SC Gas MTM'!A123,3),'[4]Master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1197025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1197.025</v>
      </c>
    </row>
    <row r="124" customFormat="false" ht="12.75" hidden="false" customHeight="false" outlineLevel="0" collapsed="false">
      <c r="A124" s="108" t="n">
        <f aca="false">A123+1</f>
        <v>37010</v>
      </c>
      <c r="B124" s="119" t="str">
        <f aca="false">INDEX('[4]Master Data'!$A$2:$B$8,MATCH(WEEKDAY('SC Gas MTM'!A124,3),'[4]Master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1197025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1197.025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INDEX('[4]Master Data'!$A$2:$B$8,MATCH(WEEKDAY('SC Gas MTM'!A125,3),'[4]Master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1197025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1197.025</v>
      </c>
    </row>
    <row r="126" customFormat="false" ht="12.75" hidden="false" customHeight="false" outlineLevel="0" collapsed="false">
      <c r="A126" s="108" t="n">
        <f aca="false">A125+1</f>
        <v>37012</v>
      </c>
      <c r="B126" s="119" t="str">
        <f aca="false">INDEX('[4]Master Data'!$A$2:$B$8,MATCH(WEEKDAY('SC Gas MTM'!A126,3),'[4]Master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1197025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1197.025</v>
      </c>
    </row>
    <row r="127" customFormat="false" ht="12.75" hidden="false" customHeight="false" outlineLevel="0" collapsed="false">
      <c r="A127" s="108" t="n">
        <f aca="false">A126+1</f>
        <v>37013</v>
      </c>
      <c r="B127" s="119" t="str">
        <f aca="false">INDEX('[4]Master Data'!$A$2:$B$8,MATCH(WEEKDAY('SC Gas MTM'!A127,3),'[4]Master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1197025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1197.025</v>
      </c>
    </row>
    <row r="128" customFormat="false" ht="12.75" hidden="false" customHeight="false" outlineLevel="0" collapsed="false">
      <c r="A128" s="108" t="n">
        <f aca="false">A127+1</f>
        <v>37014</v>
      </c>
      <c r="B128" s="119" t="str">
        <f aca="false">INDEX('[4]Master Data'!$A$2:$B$8,MATCH(WEEKDAY('SC Gas MTM'!A128,3),'[4]Master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1197025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1197.025</v>
      </c>
    </row>
    <row r="129" customFormat="false" ht="12.75" hidden="false" customHeight="false" outlineLevel="0" collapsed="false">
      <c r="A129" s="108" t="n">
        <f aca="false">A128+1</f>
        <v>37015</v>
      </c>
      <c r="B129" s="119" t="str">
        <f aca="false">INDEX('[4]Master Data'!$A$2:$B$8,MATCH(WEEKDAY('SC Gas MTM'!A129,3),'[4]Master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1197025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1197.025</v>
      </c>
    </row>
    <row r="130" customFormat="false" ht="12.75" hidden="false" customHeight="false" outlineLevel="0" collapsed="false">
      <c r="A130" s="108" t="n">
        <f aca="false">A129+1</f>
        <v>37016</v>
      </c>
      <c r="B130" s="119" t="str">
        <f aca="false">INDEX('[4]Master Data'!$A$2:$B$8,MATCH(WEEKDAY('SC Gas MTM'!A130,3),'[4]Master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1197025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1197.025</v>
      </c>
    </row>
    <row r="131" customFormat="false" ht="12.75" hidden="false" customHeight="false" outlineLevel="0" collapsed="false">
      <c r="A131" s="108" t="n">
        <f aca="false">A130+1</f>
        <v>37017</v>
      </c>
      <c r="B131" s="119" t="str">
        <f aca="false">INDEX('[4]Master Data'!$A$2:$B$8,MATCH(WEEKDAY('SC Gas MTM'!A131,3),'[4]Master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1197025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1197.025</v>
      </c>
    </row>
    <row r="132" customFormat="false" ht="12.75" hidden="false" customHeight="false" outlineLevel="0" collapsed="false">
      <c r="A132" s="108" t="n">
        <f aca="false">A131+1</f>
        <v>37018</v>
      </c>
      <c r="B132" s="119" t="str">
        <f aca="false">INDEX('[4]Master Data'!$A$2:$B$8,MATCH(WEEKDAY('SC Gas MTM'!A132,3),'[4]Master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1197025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1197.025</v>
      </c>
    </row>
    <row r="133" customFormat="false" ht="12.75" hidden="false" customHeight="false" outlineLevel="0" collapsed="false">
      <c r="A133" s="108" t="n">
        <f aca="false">A132+1</f>
        <v>37019</v>
      </c>
      <c r="B133" s="119" t="str">
        <f aca="false">INDEX('[4]Master Data'!$A$2:$B$8,MATCH(WEEKDAY('SC Gas MTM'!A133,3),'[4]Master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1197025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1197.025</v>
      </c>
    </row>
    <row r="134" customFormat="false" ht="12.75" hidden="false" customHeight="false" outlineLevel="0" collapsed="false">
      <c r="A134" s="108" t="n">
        <f aca="false">A133+1</f>
        <v>37020</v>
      </c>
      <c r="B134" s="119" t="str">
        <f aca="false">INDEX('[4]Master Data'!$A$2:$B$8,MATCH(WEEKDAY('SC Gas MTM'!A134,3),'[4]Master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1197025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1197.025</v>
      </c>
    </row>
    <row r="135" customFormat="false" ht="12.75" hidden="false" customHeight="false" outlineLevel="0" collapsed="false">
      <c r="A135" s="108" t="n">
        <f aca="false">A134+1</f>
        <v>37021</v>
      </c>
      <c r="B135" s="119" t="str">
        <f aca="false">INDEX('[4]Master Data'!$A$2:$B$8,MATCH(WEEKDAY('SC Gas MTM'!A135,3),'[4]Master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1197025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1197.025</v>
      </c>
    </row>
    <row r="136" customFormat="false" ht="12.75" hidden="false" customHeight="false" outlineLevel="0" collapsed="false">
      <c r="A136" s="108" t="n">
        <f aca="false">A135+1</f>
        <v>37022</v>
      </c>
      <c r="B136" s="119" t="str">
        <f aca="false">INDEX('[4]Master Data'!$A$2:$B$8,MATCH(WEEKDAY('SC Gas MTM'!A136,3),'[4]Master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1197025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1197.025</v>
      </c>
    </row>
    <row r="137" customFormat="false" ht="12.75" hidden="false" customHeight="false" outlineLevel="0" collapsed="false">
      <c r="A137" s="108" t="n">
        <f aca="false">A136+1</f>
        <v>37023</v>
      </c>
      <c r="B137" s="119" t="str">
        <f aca="false">INDEX('[4]Master Data'!$A$2:$B$8,MATCH(WEEKDAY('SC Gas MTM'!A137,3),'[4]Master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1197025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1197.025</v>
      </c>
    </row>
    <row r="138" customFormat="false" ht="12.75" hidden="false" customHeight="false" outlineLevel="0" collapsed="false">
      <c r="A138" s="108" t="n">
        <f aca="false">A137+1</f>
        <v>37024</v>
      </c>
      <c r="B138" s="119" t="str">
        <f aca="false">INDEX('[4]Master Data'!$A$2:$B$8,MATCH(WEEKDAY('SC Gas MTM'!A138,3),'[4]Master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1197025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1197.025</v>
      </c>
    </row>
    <row r="139" customFormat="false" ht="12.75" hidden="false" customHeight="false" outlineLevel="0" collapsed="false">
      <c r="A139" s="108" t="n">
        <f aca="false">A138+1</f>
        <v>37025</v>
      </c>
      <c r="B139" s="119" t="str">
        <f aca="false">INDEX('[4]Master Data'!$A$2:$B$8,MATCH(WEEKDAY('SC Gas MTM'!A139,3),'[4]Master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1197025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1197.025</v>
      </c>
    </row>
    <row r="140" customFormat="false" ht="12.75" hidden="false" customHeight="false" outlineLevel="0" collapsed="false">
      <c r="A140" s="108" t="n">
        <f aca="false">A139+1</f>
        <v>37026</v>
      </c>
      <c r="B140" s="119" t="str">
        <f aca="false">INDEX('[4]Master Data'!$A$2:$B$8,MATCH(WEEKDAY('SC Gas MTM'!A140,3),'[4]Master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1197025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1197.025</v>
      </c>
    </row>
    <row r="141" customFormat="false" ht="12.75" hidden="false" customHeight="false" outlineLevel="0" collapsed="false">
      <c r="A141" s="108" t="n">
        <f aca="false">A140+1</f>
        <v>37027</v>
      </c>
      <c r="B141" s="119" t="str">
        <f aca="false">INDEX('[4]Master Data'!$A$2:$B$8,MATCH(WEEKDAY('SC Gas MTM'!A141,3),'[4]Master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1197025</v>
      </c>
      <c r="P141" s="112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1197.025</v>
      </c>
    </row>
    <row r="142" customFormat="false" ht="12.75" hidden="false" customHeight="false" outlineLevel="0" collapsed="false">
      <c r="A142" s="108" t="n">
        <f aca="false">A141+1</f>
        <v>37028</v>
      </c>
      <c r="B142" s="119" t="str">
        <f aca="false">INDEX('[4]Master Data'!$A$2:$B$8,MATCH(WEEKDAY('SC Gas MTM'!A142,3),'[4]Master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1197025</v>
      </c>
      <c r="P142" s="112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1197.025</v>
      </c>
    </row>
    <row r="143" customFormat="false" ht="12.75" hidden="false" customHeight="false" outlineLevel="0" collapsed="false">
      <c r="A143" s="108" t="n">
        <f aca="false">A142+1</f>
        <v>37029</v>
      </c>
      <c r="B143" s="119" t="str">
        <f aca="false">INDEX('[4]Master Data'!$A$2:$B$8,MATCH(WEEKDAY('SC Gas MTM'!A143,3),'[4]Master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1197025</v>
      </c>
      <c r="P143" s="112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1197.025</v>
      </c>
    </row>
    <row r="144" customFormat="false" ht="12.75" hidden="false" customHeight="false" outlineLevel="0" collapsed="false">
      <c r="A144" s="108" t="n">
        <f aca="false">A143+1</f>
        <v>37030</v>
      </c>
      <c r="B144" s="119" t="str">
        <f aca="false">INDEX('[4]Master Data'!$A$2:$B$8,MATCH(WEEKDAY('SC Gas MTM'!A144,3),'[4]Master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1197025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1197.025</v>
      </c>
    </row>
    <row r="145" customFormat="false" ht="12.75" hidden="false" customHeight="false" outlineLevel="0" collapsed="false">
      <c r="A145" s="108" t="n">
        <f aca="false">A144+1</f>
        <v>37031</v>
      </c>
      <c r="B145" s="119" t="str">
        <f aca="false">INDEX('[4]Master Data'!$A$2:$B$8,MATCH(WEEKDAY('SC Gas MTM'!A145,3),'[4]Master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1197025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1197.025</v>
      </c>
    </row>
    <row r="146" customFormat="false" ht="12.75" hidden="false" customHeight="false" outlineLevel="0" collapsed="false">
      <c r="A146" s="108" t="n">
        <f aca="false">A145+1</f>
        <v>37032</v>
      </c>
      <c r="B146" s="119" t="str">
        <f aca="false">INDEX('[4]Master Data'!$A$2:$B$8,MATCH(WEEKDAY('SC Gas MTM'!A146,3),'[4]Master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1197025</v>
      </c>
      <c r="P146" s="112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1197.025</v>
      </c>
    </row>
    <row r="147" customFormat="false" ht="12.75" hidden="false" customHeight="false" outlineLevel="0" collapsed="false">
      <c r="A147" s="108" t="n">
        <f aca="false">A146+1</f>
        <v>37033</v>
      </c>
      <c r="B147" s="119" t="str">
        <f aca="false">INDEX('[4]Master Data'!$A$2:$B$8,MATCH(WEEKDAY('SC Gas MTM'!A147,3),'[4]Master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1197025</v>
      </c>
      <c r="P147" s="112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1197.025</v>
      </c>
    </row>
    <row r="148" customFormat="false" ht="12.75" hidden="false" customHeight="false" outlineLevel="0" collapsed="false">
      <c r="A148" s="108" t="n">
        <f aca="false">A147+1</f>
        <v>37034</v>
      </c>
      <c r="B148" s="119" t="str">
        <f aca="false">INDEX('[4]Master Data'!$A$2:$B$8,MATCH(WEEKDAY('SC Gas MTM'!A148,3),'[4]Master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1197025</v>
      </c>
      <c r="P148" s="112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1197.025</v>
      </c>
    </row>
    <row r="149" customFormat="false" ht="12.75" hidden="false" customHeight="false" outlineLevel="0" collapsed="false">
      <c r="A149" s="108" t="n">
        <f aca="false">A148+1</f>
        <v>37035</v>
      </c>
      <c r="B149" s="119" t="str">
        <f aca="false">INDEX('[4]Master Data'!$A$2:$B$8,MATCH(WEEKDAY('SC Gas MTM'!A149,3),'[4]Master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1197025</v>
      </c>
      <c r="P149" s="112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1197.025</v>
      </c>
    </row>
    <row r="150" customFormat="false" ht="12.75" hidden="false" customHeight="false" outlineLevel="0" collapsed="false">
      <c r="A150" s="108" t="n">
        <f aca="false">A149+1</f>
        <v>37036</v>
      </c>
      <c r="B150" s="119" t="str">
        <f aca="false">INDEX('[4]Master Data'!$A$2:$B$8,MATCH(WEEKDAY('SC Gas MTM'!A150,3),'[4]Master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1197025</v>
      </c>
      <c r="P150" s="112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1197.025</v>
      </c>
    </row>
    <row r="151" customFormat="false" ht="12.75" hidden="false" customHeight="false" outlineLevel="0" collapsed="false">
      <c r="A151" s="108" t="n">
        <f aca="false">A150+1</f>
        <v>37037</v>
      </c>
      <c r="B151" s="119" t="str">
        <f aca="false">INDEX('[4]Master Data'!$A$2:$B$8,MATCH(WEEKDAY('SC Gas MTM'!A151,3),'[4]Master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1197025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1197.025</v>
      </c>
    </row>
    <row r="152" customFormat="false" ht="12.75" hidden="false" customHeight="false" outlineLevel="0" collapsed="false">
      <c r="A152" s="108" t="n">
        <f aca="false">A151+1</f>
        <v>37038</v>
      </c>
      <c r="B152" s="119" t="str">
        <f aca="false">INDEX('[4]Master Data'!$A$2:$B$8,MATCH(WEEKDAY('SC Gas MTM'!A152,3),'[4]Master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1197025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1197.025</v>
      </c>
    </row>
    <row r="153" customFormat="false" ht="12.75" hidden="false" customHeight="false" outlineLevel="0" collapsed="false">
      <c r="A153" s="108" t="n">
        <f aca="false">A152+1</f>
        <v>37039</v>
      </c>
      <c r="B153" s="119" t="str">
        <f aca="false">INDEX('[4]Master Data'!$A$2:$B$8,MATCH(WEEKDAY('SC Gas MTM'!A153,3),'[4]Master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1197025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1197.025</v>
      </c>
    </row>
    <row r="154" customFormat="false" ht="12.75" hidden="false" customHeight="false" outlineLevel="0" collapsed="false">
      <c r="A154" s="108" t="n">
        <f aca="false">A153+1</f>
        <v>37040</v>
      </c>
      <c r="B154" s="119" t="str">
        <f aca="false">INDEX('[4]Master Data'!$A$2:$B$8,MATCH(WEEKDAY('SC Gas MTM'!A154,3),'[4]Master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1197025</v>
      </c>
      <c r="P154" s="112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1197.025</v>
      </c>
    </row>
    <row r="155" customFormat="false" ht="12.75" hidden="false" customHeight="false" outlineLevel="0" collapsed="false">
      <c r="A155" s="108" t="n">
        <f aca="false">A154+1</f>
        <v>37041</v>
      </c>
      <c r="B155" s="119" t="str">
        <f aca="false">INDEX('[4]Master Data'!$A$2:$B$8,MATCH(WEEKDAY('SC Gas MTM'!A155,3),'[4]Master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1197025</v>
      </c>
      <c r="P155" s="112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1197.025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INDEX('[4]Master Data'!$A$2:$B$8,MATCH(WEEKDAY('SC Gas MTM'!A156,3),'[4]Master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1197025</v>
      </c>
      <c r="P156" s="112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1197.025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INDEX('[4]Master Data'!$A$2:$B$8,MATCH(WEEKDAY('SC Gas MTM'!A157,3),'[4]Master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1197025</v>
      </c>
      <c r="P157" s="112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1197.025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INDEX('[4]Master Data'!$A$2:$B$8,MATCH(WEEKDAY('SC Gas MTM'!A158,3),'[4]Master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1197025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1197.025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INDEX('[4]Master Data'!$A$2:$B$8,MATCH(WEEKDAY('SC Gas MTM'!A159,3),'[4]Master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1197025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1197.025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INDEX('[4]Master Data'!$A$2:$B$8,MATCH(WEEKDAY('SC Gas MTM'!A160,3),'[4]Master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1197025</v>
      </c>
      <c r="P160" s="112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1197.025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INDEX('[4]Master Data'!$A$2:$B$8,MATCH(WEEKDAY('SC Gas MTM'!A161,3),'[4]Master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1197025</v>
      </c>
      <c r="P161" s="112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1197.025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INDEX('[4]Master Data'!$A$2:$B$8,MATCH(WEEKDAY('SC Gas MTM'!A162,3),'[4]Master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1197025</v>
      </c>
      <c r="P162" s="112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1197.025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INDEX('[4]Master Data'!$A$2:$B$8,MATCH(WEEKDAY('SC Gas MTM'!A163,3),'[4]Master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1197025</v>
      </c>
      <c r="P163" s="112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1197.025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INDEX('[4]Master Data'!$A$2:$B$8,MATCH(WEEKDAY('SC Gas MTM'!A164,3),'[4]Master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1197025</v>
      </c>
      <c r="P164" s="112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1197.025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INDEX('[4]Master Data'!$A$2:$B$8,MATCH(WEEKDAY('SC Gas MTM'!A165,3),'[4]Master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1197025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1197.025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INDEX('[4]Master Data'!$A$2:$B$8,MATCH(WEEKDAY('SC Gas MTM'!A166,3),'[4]Master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1197025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1197.025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INDEX('[4]Master Data'!$A$2:$B$8,MATCH(WEEKDAY('SC Gas MTM'!A167,3),'[4]Master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1197025</v>
      </c>
      <c r="P167" s="112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1197.025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INDEX('[4]Master Data'!$A$2:$B$8,MATCH(WEEKDAY('SC Gas MTM'!A168,3),'[4]Master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1197025</v>
      </c>
      <c r="P168" s="112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1197.025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INDEX('[4]Master Data'!$A$2:$B$8,MATCH(WEEKDAY('SC Gas MTM'!A169,3),'[4]Master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1197025</v>
      </c>
      <c r="P169" s="112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1197.025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INDEX('[4]Master Data'!$A$2:$B$8,MATCH(WEEKDAY('SC Gas MTM'!A170,3),'[4]Master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1197025</v>
      </c>
      <c r="P170" s="112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1197.025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INDEX('[4]Master Data'!$A$2:$B$8,MATCH(WEEKDAY('SC Gas MTM'!A171,3),'[4]Master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1197025</v>
      </c>
      <c r="P171" s="112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1197.025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INDEX('[4]Master Data'!$A$2:$B$8,MATCH(WEEKDAY('SC Gas MTM'!A172,3),'[4]Master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1197025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1197.025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INDEX('[4]Master Data'!$A$2:$B$8,MATCH(WEEKDAY('SC Gas MTM'!A173,3),'[4]Master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1197025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1197.025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INDEX('[4]Master Data'!$A$2:$B$8,MATCH(WEEKDAY('SC Gas MTM'!A174,3),'[4]Master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1197025</v>
      </c>
      <c r="P174" s="112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1197.025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INDEX('[4]Master Data'!$A$2:$B$8,MATCH(WEEKDAY('SC Gas MTM'!A175,3),'[4]Master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1197025</v>
      </c>
      <c r="P175" s="112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1197.025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INDEX('[4]Master Data'!$A$2:$B$8,MATCH(WEEKDAY('SC Gas MTM'!A176,3),'[4]Master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1197025</v>
      </c>
      <c r="P176" s="112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1197.025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INDEX('[4]Master Data'!$A$2:$B$8,MATCH(WEEKDAY('SC Gas MTM'!A177,3),'[4]Master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1197025</v>
      </c>
      <c r="P177" s="112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1197.025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INDEX('[4]Master Data'!$A$2:$B$8,MATCH(WEEKDAY('SC Gas MTM'!A178,3),'[4]Master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1197025</v>
      </c>
      <c r="P178" s="112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1197.025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INDEX('[4]Master Data'!$A$2:$B$8,MATCH(WEEKDAY('SC Gas MTM'!A179,3),'[4]Master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1197025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1197.025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INDEX('[4]Master Data'!$A$2:$B$8,MATCH(WEEKDAY('SC Gas MTM'!A180,3),'[4]Master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1197025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1197.025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INDEX('[4]Master Data'!$A$2:$B$8,MATCH(WEEKDAY('SC Gas MTM'!A181,3),'[4]Master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1197025</v>
      </c>
      <c r="P181" s="112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1197.025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INDEX('[4]Master Data'!$A$2:$B$8,MATCH(WEEKDAY('SC Gas MTM'!A182,3),'[4]Master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1197025</v>
      </c>
      <c r="P182" s="112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1197.025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INDEX('[4]Master Data'!$A$2:$B$8,MATCH(WEEKDAY('SC Gas MTM'!A183,3),'[4]Master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1197025</v>
      </c>
      <c r="P183" s="112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1197.025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INDEX('[4]Master Data'!$A$2:$B$8,MATCH(WEEKDAY('SC Gas MTM'!A184,3),'[4]Master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1197025</v>
      </c>
      <c r="P184" s="112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1197.025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INDEX('[4]Master Data'!$A$2:$B$8,MATCH(WEEKDAY('SC Gas MTM'!A185,3),'[4]Master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1197025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1197.025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INDEX('[4]Master Data'!$A$2:$B$8,MATCH(WEEKDAY('SC Gas MTM'!A186,3),'[4]Master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1197025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1197.025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INDEX('[4]Master Data'!$A$2:$B$8,MATCH(WEEKDAY('SC Gas MTM'!A187,3),'[4]Master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1197025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1197.025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INDEX('[4]Master Data'!$A$2:$B$8,MATCH(WEEKDAY('SC Gas MTM'!A188,3),'[4]Master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1197025</v>
      </c>
      <c r="P188" s="112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1197.025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INDEX('[4]Master Data'!$A$2:$B$8,MATCH(WEEKDAY('SC Gas MTM'!A189,3),'[4]Master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1197025</v>
      </c>
      <c r="P189" s="112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1197.025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INDEX('[4]Master Data'!$A$2:$B$8,MATCH(WEEKDAY('SC Gas MTM'!A190,3),'[4]Master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1197025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1197.025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INDEX('[4]Master Data'!$A$2:$B$8,MATCH(WEEKDAY('SC Gas MTM'!A191,3),'[4]Master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1197025</v>
      </c>
      <c r="P191" s="112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1197.025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INDEX('[4]Master Data'!$A$2:$B$8,MATCH(WEEKDAY('SC Gas MTM'!A192,3),'[4]Master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1197025</v>
      </c>
      <c r="P192" s="112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1197.025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INDEX('[4]Master Data'!$A$2:$B$8,MATCH(WEEKDAY('SC Gas MTM'!A193,3),'[4]Master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1197025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1197.025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INDEX('[4]Master Data'!$A$2:$B$8,MATCH(WEEKDAY('SC Gas MTM'!A194,3),'[4]Master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1197025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1197.025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INDEX('[4]Master Data'!$A$2:$B$8,MATCH(WEEKDAY('SC Gas MTM'!A195,3),'[4]Master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1197025</v>
      </c>
      <c r="P195" s="112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1197.025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INDEX('[4]Master Data'!$A$2:$B$8,MATCH(WEEKDAY('SC Gas MTM'!A196,3),'[4]Master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1197025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1197.025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INDEX('[4]Master Data'!$A$2:$B$8,MATCH(WEEKDAY('SC Gas MTM'!A197,3),'[4]Master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1197025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1197.025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INDEX('[4]Master Data'!$A$2:$B$8,MATCH(WEEKDAY('SC Gas MTM'!A198,3),'[4]Master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1197025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1197.025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INDEX('[4]Master Data'!$A$2:$B$8,MATCH(WEEKDAY('SC Gas MTM'!A199,3),'[4]Master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1197025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1197.025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INDEX('[4]Master Data'!$A$2:$B$8,MATCH(WEEKDAY('SC Gas MTM'!A200,3),'[4]Master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1197025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1197.025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INDEX('[4]Master Data'!$A$2:$B$8,MATCH(WEEKDAY('SC Gas MTM'!A201,3),'[4]Master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1197025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1197.025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INDEX('[4]Master Data'!$A$2:$B$8,MATCH(WEEKDAY('SC Gas MTM'!A202,3),'[4]Master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1197025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1197.025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INDEX('[4]Master Data'!$A$2:$B$8,MATCH(WEEKDAY('SC Gas MTM'!A203,3),'[4]Master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1197025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1197.025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INDEX('[4]Master Data'!$A$2:$B$8,MATCH(WEEKDAY('SC Gas MTM'!A204,3),'[4]Master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1197025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1197.025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INDEX('[4]Master Data'!$A$2:$B$8,MATCH(WEEKDAY('SC Gas MTM'!A205,3),'[4]Master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1197025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1197.025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INDEX('[4]Master Data'!$A$2:$B$8,MATCH(WEEKDAY('SC Gas MTM'!A206,3),'[4]Master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1197025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1197.025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INDEX('[4]Master Data'!$A$2:$B$8,MATCH(WEEKDAY('SC Gas MTM'!A207,3),'[4]Master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1197025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1197.025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INDEX('[4]Master Data'!$A$2:$B$8,MATCH(WEEKDAY('SC Gas MTM'!A208,3),'[4]Master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1197025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1197.025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INDEX('[4]Master Data'!$A$2:$B$8,MATCH(WEEKDAY('SC Gas MTM'!A209,3),'[4]Master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1197025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1197.025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INDEX('[4]Master Data'!$A$2:$B$8,MATCH(WEEKDAY('SC Gas MTM'!A210,3),'[4]Master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1197025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1197.025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INDEX('[4]Master Data'!$A$2:$B$8,MATCH(WEEKDAY('SC Gas MTM'!A211,3),'[4]Master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1197025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1197.025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INDEX('[4]Master Data'!$A$2:$B$8,MATCH(WEEKDAY('SC Gas MTM'!A212,3),'[4]Master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1197025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1197.025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INDEX('[4]Master Data'!$A$2:$B$8,MATCH(WEEKDAY('SC Gas MTM'!A213,3),'[4]Master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1197025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1197.025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INDEX('[4]Master Data'!$A$2:$B$8,MATCH(WEEKDAY('SC Gas MTM'!A214,3),'[4]Master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1197025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1197.025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INDEX('[4]Master Data'!$A$2:$B$8,MATCH(WEEKDAY('SC Gas MTM'!A215,3),'[4]Master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1197025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1197.025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INDEX('[4]Master Data'!$A$2:$B$8,MATCH(WEEKDAY('SC Gas MTM'!A216,3),'[4]Master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1197025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1197.025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INDEX('[4]Master Data'!$A$2:$B$8,MATCH(WEEKDAY('SC Gas MTM'!A217,3),'[4]Master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1197025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1197.025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INDEX('[4]Master Data'!$A$2:$B$8,MATCH(WEEKDAY('SC Gas MTM'!A218,3),'[4]Master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1197025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1197.025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INDEX('[4]Master Data'!$A$2:$B$8,MATCH(WEEKDAY('SC Gas MTM'!A219,3),'[4]Master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1197025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1197.025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INDEX('[4]Master Data'!$A$2:$B$8,MATCH(WEEKDAY('SC Gas MTM'!A220,3),'[4]Master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1197025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1197.025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INDEX('[4]Master Data'!$A$2:$B$8,MATCH(WEEKDAY('SC Gas MTM'!A221,3),'[4]Master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1197025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1197.025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INDEX('[4]Master Data'!$A$2:$B$8,MATCH(WEEKDAY('SC Gas MTM'!A222,3),'[4]Master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1197025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1197.025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INDEX('[4]Master Data'!$A$2:$B$8,MATCH(WEEKDAY('SC Gas MTM'!A223,3),'[4]Master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1197025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1197.025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INDEX('[4]Master Data'!$A$2:$B$8,MATCH(WEEKDAY('SC Gas MTM'!A224,3),'[4]Master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1197025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1197.025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INDEX('[4]Master Data'!$A$2:$B$8,MATCH(WEEKDAY('SC Gas MTM'!A225,3),'[4]Master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1197025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1197.025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INDEX('[4]Master Data'!$A$2:$B$8,MATCH(WEEKDAY('SC Gas MTM'!A226,3),'[4]Master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1197025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1197.025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INDEX('[4]Master Data'!$A$2:$B$8,MATCH(WEEKDAY('SC Gas MTM'!A227,3),'[4]Master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1197025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1197.025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INDEX('[4]Master Data'!$A$2:$B$8,MATCH(WEEKDAY('SC Gas MTM'!A228,3),'[4]Master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1197025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1197.025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INDEX('[4]Master Data'!$A$2:$B$8,MATCH(WEEKDAY('SC Gas MTM'!A229,3),'[4]Master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1197025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1197.025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INDEX('[4]Master Data'!$A$2:$B$8,MATCH(WEEKDAY('SC Gas MTM'!A230,3),'[4]Master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1197025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1197.025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INDEX('[4]Master Data'!$A$2:$B$8,MATCH(WEEKDAY('SC Gas MTM'!A231,3),'[4]Master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1197025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1197.025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INDEX('[4]Master Data'!$A$2:$B$8,MATCH(WEEKDAY('SC Gas MTM'!A232,3),'[4]Master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1197025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1197.025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INDEX('[4]Master Data'!$A$2:$B$8,MATCH(WEEKDAY('SC Gas MTM'!A233,3),'[4]Master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1197025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1197.025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INDEX('[4]Master Data'!$A$2:$B$8,MATCH(WEEKDAY('SC Gas MTM'!A234,3),'[4]Master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1197025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1197.025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INDEX('[4]Master Data'!$A$2:$B$8,MATCH(WEEKDAY('SC Gas MTM'!A235,3),'[4]Master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1197025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1197.025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INDEX('[4]Master Data'!$A$2:$B$8,MATCH(WEEKDAY('SC Gas MTM'!A236,3),'[4]Master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1197025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1197.025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INDEX('[4]Master Data'!$A$2:$B$8,MATCH(WEEKDAY('SC Gas MTM'!A237,3),'[4]Master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1197025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1197.025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INDEX('[4]Master Data'!$A$2:$B$8,MATCH(WEEKDAY('SC Gas MTM'!A238,3),'[4]Master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1197025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1197.025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INDEX('[4]Master Data'!$A$2:$B$8,MATCH(WEEKDAY('SC Gas MTM'!A239,3),'[4]Master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1197025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1197.025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INDEX('[4]Master Data'!$A$2:$B$8,MATCH(WEEKDAY('SC Gas MTM'!A240,3),'[4]Master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1197025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1197.025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INDEX('[4]Master Data'!$A$2:$B$8,MATCH(WEEKDAY('SC Gas MTM'!A241,3),'[4]Master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1197025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1197.025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INDEX('[4]Master Data'!$A$2:$B$8,MATCH(WEEKDAY('SC Gas MTM'!A242,3),'[4]Master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1197025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1197.025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INDEX('[4]Master Data'!$A$2:$B$8,MATCH(WEEKDAY('SC Gas MTM'!A243,3),'[4]Master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1197025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1197.025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INDEX('[4]Master Data'!$A$2:$B$8,MATCH(WEEKDAY('SC Gas MTM'!A244,3),'[4]Master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1197025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1197.025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INDEX('[4]Master Data'!$A$2:$B$8,MATCH(WEEKDAY('SC Gas MTM'!A245,3),'[4]Master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1197025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1197.025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INDEX('[4]Master Data'!$A$2:$B$8,MATCH(WEEKDAY('SC Gas MTM'!A246,3),'[4]Master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1197025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1197.025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INDEX('[4]Master Data'!$A$2:$B$8,MATCH(WEEKDAY('SC Gas MTM'!A247,3),'[4]Master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1197025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1197.025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INDEX('[4]Master Data'!$A$2:$B$8,MATCH(WEEKDAY('SC Gas MTM'!A248,3),'[4]Master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1197025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1197.025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INDEX('[4]Master Data'!$A$2:$B$8,MATCH(WEEKDAY('SC Gas MTM'!A249,3),'[4]Master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1197025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1197.025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INDEX('[4]Master Data'!$A$2:$B$8,MATCH(WEEKDAY('SC Gas MTM'!A250,3),'[4]Master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1197025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1197.025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INDEX('[4]Master Data'!$A$2:$B$8,MATCH(WEEKDAY('SC Gas MTM'!A251,3),'[4]Master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1197025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1197.025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INDEX('[4]Master Data'!$A$2:$B$8,MATCH(WEEKDAY('SC Gas MTM'!A252,3),'[4]Master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1197025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1197.025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INDEX('[4]Master Data'!$A$2:$B$8,MATCH(WEEKDAY('SC Gas MTM'!A253,3),'[4]Master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1197025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1197.025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INDEX('[4]Master Data'!$A$2:$B$8,MATCH(WEEKDAY('SC Gas MTM'!A254,3),'[4]Master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1197025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1197.025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INDEX('[4]Master Data'!$A$2:$B$8,MATCH(WEEKDAY('SC Gas MTM'!A255,3),'[4]Master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1197025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1197.025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INDEX('[4]Master Data'!$A$2:$B$8,MATCH(WEEKDAY('SC Gas MTM'!A256,3),'[4]Master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1197025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1197.025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INDEX('[4]Master Data'!$A$2:$B$8,MATCH(WEEKDAY('SC Gas MTM'!A257,3),'[4]Master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1197025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1197.025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INDEX('[4]Master Data'!$A$2:$B$8,MATCH(WEEKDAY('SC Gas MTM'!A258,3),'[4]Master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1197025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1197.025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INDEX('[4]Master Data'!$A$2:$B$8,MATCH(WEEKDAY('SC Gas MTM'!A259,3),'[4]Master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1197025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1197.025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INDEX('[4]Master Data'!$A$2:$B$8,MATCH(WEEKDAY('SC Gas MTM'!A260,3),'[4]Master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1197025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1197.025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INDEX('[4]Master Data'!$A$2:$B$8,MATCH(WEEKDAY('SC Gas MTM'!A261,3),'[4]Master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1197025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1197.025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INDEX('[4]Master Data'!$A$2:$B$8,MATCH(WEEKDAY('SC Gas MTM'!A262,3),'[4]Master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1197025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1197.025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INDEX('[4]Master Data'!$A$2:$B$8,MATCH(WEEKDAY('SC Gas MTM'!A263,3),'[4]Master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1197025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1197.025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INDEX('[4]Master Data'!$A$2:$B$8,MATCH(WEEKDAY('SC Gas MTM'!A264,3),'[4]Master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1197025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1197.025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INDEX('[4]Master Data'!$A$2:$B$8,MATCH(WEEKDAY('SC Gas MTM'!A265,3),'[4]Master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1197025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1197.025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INDEX('[4]Master Data'!$A$2:$B$8,MATCH(WEEKDAY('SC Gas MTM'!A266,3),'[4]Master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1197025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1197.025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INDEX('[4]Master Data'!$A$2:$B$8,MATCH(WEEKDAY('SC Gas MTM'!A267,3),'[4]Master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1197025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1197.025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INDEX('[4]Master Data'!$A$2:$B$8,MATCH(WEEKDAY('SC Gas MTM'!A268,3),'[4]Master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1197025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1197.025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INDEX('[4]Master Data'!$A$2:$B$8,MATCH(WEEKDAY('SC Gas MTM'!A269,3),'[4]Master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1197025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1197.025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INDEX('[4]Master Data'!$A$2:$B$8,MATCH(WEEKDAY('SC Gas MTM'!A270,3),'[4]Master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1197025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1197.025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INDEX('[4]Master Data'!$A$2:$B$8,MATCH(WEEKDAY('SC Gas MTM'!A271,3),'[4]Master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1197025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1197.025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INDEX('[4]Master Data'!$A$2:$B$8,MATCH(WEEKDAY('SC Gas MTM'!A272,3),'[4]Master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1197025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1197.025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INDEX('[4]Master Data'!$A$2:$B$8,MATCH(WEEKDAY('SC Gas MTM'!A273,3),'[4]Master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1197025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1197.025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INDEX('[4]Master Data'!$A$2:$B$8,MATCH(WEEKDAY('SC Gas MTM'!A274,3),'[4]Master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1197025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1197.025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INDEX('[4]Master Data'!$A$2:$B$8,MATCH(WEEKDAY('SC Gas MTM'!A275,3),'[4]Master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1197025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1197.025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INDEX('[4]Master Data'!$A$2:$B$8,MATCH(WEEKDAY('SC Gas MTM'!A276,3),'[4]Master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1197025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1197.025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INDEX('[4]Master Data'!$A$2:$B$8,MATCH(WEEKDAY('SC Gas MTM'!A277,3),'[4]Master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1197025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1197.025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INDEX('[4]Master Data'!$A$2:$B$8,MATCH(WEEKDAY('SC Gas MTM'!A278,3),'[4]Master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1197025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1197.025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INDEX('[4]Master Data'!$A$2:$B$8,MATCH(WEEKDAY('SC Gas MTM'!A279,3),'[4]Master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1197025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1197.025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INDEX('[4]Master Data'!$A$2:$B$8,MATCH(WEEKDAY('SC Gas MTM'!A280,3),'[4]Master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1197025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1197.025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INDEX('[4]Master Data'!$A$2:$B$8,MATCH(WEEKDAY('SC Gas MTM'!A281,3),'[4]Master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1197025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1197.025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INDEX('[4]Master Data'!$A$2:$B$8,MATCH(WEEKDAY('SC Gas MTM'!A282,3),'[4]Master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1197025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1197.025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INDEX('[4]Master Data'!$A$2:$B$8,MATCH(WEEKDAY('SC Gas MTM'!A283,3),'[4]Master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1197025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1197.025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INDEX('[4]Master Data'!$A$2:$B$8,MATCH(WEEKDAY('SC Gas MTM'!A284,3),'[4]Master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1197025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1197.025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INDEX('[4]Master Data'!$A$2:$B$8,MATCH(WEEKDAY('SC Gas MTM'!A285,3),'[4]Master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1197025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1197.025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INDEX('[4]Master Data'!$A$2:$B$8,MATCH(WEEKDAY('SC Gas MTM'!A286,3),'[4]Master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1197025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1197.025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INDEX('[4]Master Data'!$A$2:$B$8,MATCH(WEEKDAY('SC Gas MTM'!A287,3),'[4]Master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1197025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1197.025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INDEX('[4]Master Data'!$A$2:$B$8,MATCH(WEEKDAY('SC Gas MTM'!A288,3),'[4]Master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1197025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1197.025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INDEX('[4]Master Data'!$A$2:$B$8,MATCH(WEEKDAY('SC Gas MTM'!A289,3),'[4]Master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1197025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1197.025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INDEX('[4]Master Data'!$A$2:$B$8,MATCH(WEEKDAY('SC Gas MTM'!A290,3),'[4]Master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1197025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1197.025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INDEX('[4]Master Data'!$A$2:$B$8,MATCH(WEEKDAY('SC Gas MTM'!A291,3),'[4]Master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1197025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1197.025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INDEX('[4]Master Data'!$A$2:$B$8,MATCH(WEEKDAY('SC Gas MTM'!A292,3),'[4]Master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1197025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1197.025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INDEX('[4]Master Data'!$A$2:$B$8,MATCH(WEEKDAY('SC Gas MTM'!A293,3),'[4]Master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1197025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1197.025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INDEX('[4]Master Data'!$A$2:$B$8,MATCH(WEEKDAY('SC Gas MTM'!A294,3),'[4]Master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1197025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1197.025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INDEX('[4]Master Data'!$A$2:$B$8,MATCH(WEEKDAY('SC Gas MTM'!A295,3),'[4]Master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1197025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1197.025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INDEX('[4]Master Data'!$A$2:$B$8,MATCH(WEEKDAY('SC Gas MTM'!A296,3),'[4]Master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1197025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1197.025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INDEX('[4]Master Data'!$A$2:$B$8,MATCH(WEEKDAY('SC Gas MTM'!A297,3),'[4]Master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1197025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1197.025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INDEX('[4]Master Data'!$A$2:$B$8,MATCH(WEEKDAY('SC Gas MTM'!A298,3),'[4]Master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1197025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1197.025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INDEX('[4]Master Data'!$A$2:$B$8,MATCH(WEEKDAY('SC Gas MTM'!A299,3),'[4]Master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1197025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1197.025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INDEX('[4]Master Data'!$A$2:$B$8,MATCH(WEEKDAY('SC Gas MTM'!A300,3),'[4]Master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1197025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1197.025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INDEX('[4]Master Data'!$A$2:$B$8,MATCH(WEEKDAY('SC Gas MTM'!A301,3),'[4]Master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1197025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1197.025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INDEX('[4]Master Data'!$A$2:$B$8,MATCH(WEEKDAY('SC Gas MTM'!A302,3),'[4]Master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1197025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1197.025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INDEX('[4]Master Data'!$A$2:$B$8,MATCH(WEEKDAY('SC Gas MTM'!A303,3),'[4]Master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1197025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1197.025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INDEX('[4]Master Data'!$A$2:$B$8,MATCH(WEEKDAY('SC Gas MTM'!A304,3),'[4]Master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1197025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1197.025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INDEX('[4]Master Data'!$A$2:$B$8,MATCH(WEEKDAY('SC Gas MTM'!A305,3),'[4]Master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1197025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1197.025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INDEX('[4]Master Data'!$A$2:$B$8,MATCH(WEEKDAY('SC Gas MTM'!A306,3),'[4]Master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1197025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1197.025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INDEX('[4]Master Data'!$A$2:$B$8,MATCH(WEEKDAY('SC Gas MTM'!A307,3),'[4]Master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1197025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1197.025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INDEX('[4]Master Data'!$A$2:$B$8,MATCH(WEEKDAY('SC Gas MTM'!A308,3),'[4]Master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1197025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1197.025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INDEX('[4]Master Data'!$A$2:$B$8,MATCH(WEEKDAY('SC Gas MTM'!A309,3),'[4]Master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1197025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1197.025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INDEX('[4]Master Data'!$A$2:$B$8,MATCH(WEEKDAY('SC Gas MTM'!A310,3),'[4]Master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1197025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1197.025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INDEX('[4]Master Data'!$A$2:$B$8,MATCH(WEEKDAY('SC Gas MTM'!A311,3),'[4]Master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1197025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1197.025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INDEX('[4]Master Data'!$A$2:$B$8,MATCH(WEEKDAY('SC Gas MTM'!A312,3),'[4]Master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1197025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1197.025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INDEX('[4]Master Data'!$A$2:$B$8,MATCH(WEEKDAY('SC Gas MTM'!A313,3),'[4]Master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1197025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1197.025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INDEX('[4]Master Data'!$A$2:$B$8,MATCH(WEEKDAY('SC Gas MTM'!A314,3),'[4]Master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1197025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1197.025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INDEX('[4]Master Data'!$A$2:$B$8,MATCH(WEEKDAY('SC Gas MTM'!A315,3),'[4]Master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1197025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1197.025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INDEX('[4]Master Data'!$A$2:$B$8,MATCH(WEEKDAY('SC Gas MTM'!A316,3),'[4]Master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1197025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1197.025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INDEX('[4]Master Data'!$A$2:$B$8,MATCH(WEEKDAY('SC Gas MTM'!A317,3),'[4]Master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1197025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1197.025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INDEX('[4]Master Data'!$A$2:$B$8,MATCH(WEEKDAY('SC Gas MTM'!A318,3),'[4]Master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1197025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1197.025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INDEX('[4]Master Data'!$A$2:$B$8,MATCH(WEEKDAY('SC Gas MTM'!A319,3),'[4]Master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1197025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1197.025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INDEX('[4]Master Data'!$A$2:$B$8,MATCH(WEEKDAY('SC Gas MTM'!A320,3),'[4]Master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1197025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1197.025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INDEX('[4]Master Data'!$A$2:$B$8,MATCH(WEEKDAY('SC Gas MTM'!A321,3),'[4]Master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1197025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1197.025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INDEX('[4]Master Data'!$A$2:$B$8,MATCH(WEEKDAY('SC Gas MTM'!A322,3),'[4]Master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1197025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1197.025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INDEX('[4]Master Data'!$A$2:$B$8,MATCH(WEEKDAY('SC Gas MTM'!A323,3),'[4]Master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1197025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1197.025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INDEX('[4]Master Data'!$A$2:$B$8,MATCH(WEEKDAY('SC Gas MTM'!A324,3),'[4]Master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1197025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1197.025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INDEX('[4]Master Data'!$A$2:$B$8,MATCH(WEEKDAY('SC Gas MTM'!A325,3),'[4]Master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1197025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1197.025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INDEX('[4]Master Data'!$A$2:$B$8,MATCH(WEEKDAY('SC Gas MTM'!A326,3),'[4]Master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1197025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1197.025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INDEX('[4]Master Data'!$A$2:$B$8,MATCH(WEEKDAY('SC Gas MTM'!A327,3),'[4]Master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1197025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1197.025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INDEX('[4]Master Data'!$A$2:$B$8,MATCH(WEEKDAY('SC Gas MTM'!A328,3),'[4]Master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1197025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1197.025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INDEX('[4]Master Data'!$A$2:$B$8,MATCH(WEEKDAY('SC Gas MTM'!A329,3),'[4]Master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1197025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1197.025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INDEX('[4]Master Data'!$A$2:$B$8,MATCH(WEEKDAY('SC Gas MTM'!A330,3),'[4]Master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1197025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1197.025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INDEX('[4]Master Data'!$A$2:$B$8,MATCH(WEEKDAY('SC Gas MTM'!A331,3),'[4]Master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1197025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1197.025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INDEX('[4]Master Data'!$A$2:$B$8,MATCH(WEEKDAY('SC Gas MTM'!A332,3),'[4]Master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1197025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1197.025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INDEX('[4]Master Data'!$A$2:$B$8,MATCH(WEEKDAY('SC Gas MTM'!A333,3),'[4]Master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1197025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1197.025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INDEX('[4]Master Data'!$A$2:$B$8,MATCH(WEEKDAY('SC Gas MTM'!A334,3),'[4]Master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1197025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1197.025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INDEX('[4]Master Data'!$A$2:$B$8,MATCH(WEEKDAY('SC Gas MTM'!A335,3),'[4]Master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1197025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1197.025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INDEX('[4]Master Data'!$A$2:$B$8,MATCH(WEEKDAY('SC Gas MTM'!A336,3),'[4]Master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1197025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1197.025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INDEX('[4]Master Data'!$A$2:$B$8,MATCH(WEEKDAY('SC Gas MTM'!A337,3),'[4]Master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1197025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1197.025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INDEX('[4]Master Data'!$A$2:$B$8,MATCH(WEEKDAY('SC Gas MTM'!A338,3),'[4]Master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1197025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1197.025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INDEX('[4]Master Data'!$A$2:$B$8,MATCH(WEEKDAY('SC Gas MTM'!A339,3),'[4]Master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1197025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1197.025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INDEX('[4]Master Data'!$A$2:$B$8,MATCH(WEEKDAY('SC Gas MTM'!A340,3),'[4]Master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1197025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1197.025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INDEX('[4]Master Data'!$A$2:$B$8,MATCH(WEEKDAY('SC Gas MTM'!A341,3),'[4]Master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1197025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1197.025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INDEX('[4]Master Data'!$A$2:$B$8,MATCH(WEEKDAY('SC Gas MTM'!A342,3),'[4]Master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1197025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1197.025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INDEX('[4]Master Data'!$A$2:$B$8,MATCH(WEEKDAY('SC Gas MTM'!A343,3),'[4]Master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1197025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1197.025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INDEX('[4]Master Data'!$A$2:$B$8,MATCH(WEEKDAY('SC Gas MTM'!A344,3),'[4]Master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1197025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1197.025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INDEX('[4]Master Data'!$A$2:$B$8,MATCH(WEEKDAY('SC Gas MTM'!A345,3),'[4]Master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1197025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1197.025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INDEX('[4]Master Data'!$A$2:$B$8,MATCH(WEEKDAY('SC Gas MTM'!A346,3),'[4]Master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1197025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1197.025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INDEX('[4]Master Data'!$A$2:$B$8,MATCH(WEEKDAY('SC Gas MTM'!A347,3),'[4]Master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1197025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1197.025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INDEX('[4]Master Data'!$A$2:$B$8,MATCH(WEEKDAY('SC Gas MTM'!A348,3),'[4]Master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1197025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1197.025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INDEX('[4]Master Data'!$A$2:$B$8,MATCH(WEEKDAY('SC Gas MTM'!A349,3),'[4]Master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1197025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1197.025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INDEX('[4]Master Data'!$A$2:$B$8,MATCH(WEEKDAY('SC Gas MTM'!A350,3),'[4]Master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1197025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1197.025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INDEX('[4]Master Data'!$A$2:$B$8,MATCH(WEEKDAY('SC Gas MTM'!A351,3),'[4]Master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1197025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1197.025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INDEX('[4]Master Data'!$A$2:$B$8,MATCH(WEEKDAY('SC Gas MTM'!A352,3),'[4]Master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1197025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1197.025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INDEX('[4]Master Data'!$A$2:$B$8,MATCH(WEEKDAY('SC Gas MTM'!A353,3),'[4]Master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1197025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1197.025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INDEX('[4]Master Data'!$A$2:$B$8,MATCH(WEEKDAY('SC Gas MTM'!A354,3),'[4]Master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1197025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1197.025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INDEX('[4]Master Data'!$A$2:$B$8,MATCH(WEEKDAY('SC Gas MTM'!A355,3),'[4]Master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1197025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1197.025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INDEX('[4]Master Data'!$A$2:$B$8,MATCH(WEEKDAY('SC Gas MTM'!A356,3),'[4]Master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1197025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1197.025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INDEX('[4]Master Data'!$A$2:$B$8,MATCH(WEEKDAY('SC Gas MTM'!A357,3),'[4]Master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1197025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1197.025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INDEX('[4]Master Data'!$A$2:$B$8,MATCH(WEEKDAY('SC Gas MTM'!A358,3),'[4]Master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1197025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1197.025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INDEX('[4]Master Data'!$A$2:$B$8,MATCH(WEEKDAY('SC Gas MTM'!A359,3),'[4]Master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1197025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1197.025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INDEX('[4]Master Data'!$A$2:$B$8,MATCH(WEEKDAY('SC Gas MTM'!A360,3),'[4]Master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1197025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1197.025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INDEX('[4]Master Data'!$A$2:$B$8,MATCH(WEEKDAY('SC Gas MTM'!A361,3),'[4]Master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1197025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1197.025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INDEX('[4]Master Data'!$A$2:$B$8,MATCH(WEEKDAY('SC Gas MTM'!A362,3),'[4]Master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1197025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1197.025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INDEX('[4]Master Data'!$A$2:$B$8,MATCH(WEEKDAY('SC Gas MTM'!A363,3),'[4]Master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1197025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1197.025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INDEX('[4]Master Data'!$A$2:$B$8,MATCH(WEEKDAY('SC Gas MTM'!A364,3),'[4]Master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1197025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1197.025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INDEX('[4]Master Data'!$A$2:$B$8,MATCH(WEEKDAY('SC Gas MTM'!A365,3),'[4]Master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1197025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1197.025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INDEX('[4]Master Data'!$A$2:$B$8,MATCH(WEEKDAY('SC Gas MTM'!A366,3),'[4]Master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1197025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1197.025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INDEX('[4]Master Data'!$A$2:$B$8,MATCH(WEEKDAY('SC Gas MTM'!A367,3),'[4]Master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1197025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1197.025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INDEX('[4]Master Data'!$A$2:$B$8,MATCH(WEEKDAY('SC Gas MTM'!A368,3),'[4]Master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1197025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1197.025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INDEX('[4]Master Data'!$A$2:$B$8,MATCH(WEEKDAY('SC Gas MTM'!A369,3),'[4]Master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1197025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1197.025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INDEX('[4]Master Data'!$A$2:$B$8,MATCH(WEEKDAY('SC Gas MTM'!A370,3),'[4]Master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1197025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1197.025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INDEX('[4]Master Data'!$A$2:$B$8,MATCH(WEEKDAY('SC Gas MTM'!A371,3),'[4]Master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1197025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37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INDEX('[4]Master Data'!$A$2:$B$8,MATCH(WEEKDAY('TBS Gas MTM'!A6,3),'[4]Master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INDEX('[4]Master Data'!$A$2:$B$8,MATCH(WEEKDAY('TBS Gas MTM'!A7,3),'[4]Master Data'!$A$2:$A$8,0),2)</f>
        <v>T</v>
      </c>
      <c r="D7" s="112" t="n">
        <v>-150</v>
      </c>
      <c r="E7" s="112" t="n">
        <v>0</v>
      </c>
      <c r="F7" s="112" t="n">
        <v>0</v>
      </c>
      <c r="G7" s="112" t="n">
        <v>-1319</v>
      </c>
      <c r="I7" s="112" t="n">
        <f aca="false">IF(MONTH($A7)=MONTH($A6),IF(G7=0,I6,G7),0)</f>
        <v>-1319</v>
      </c>
      <c r="J7" s="112" t="n">
        <f aca="false">IF(MONTH($A7)=MONTH($A6),SUM(I7-I6),I7)</f>
        <v>-1319</v>
      </c>
      <c r="K7" s="112" t="n">
        <f aca="false">IF(WEEKDAY(A7,3)&gt;4,0,(IF(A7&lt;K$2,0,IF(A7&lt;=K$3,1,0))))</f>
        <v>0</v>
      </c>
      <c r="L7" s="112" t="n">
        <f aca="false">J7*K7</f>
        <v>-0</v>
      </c>
      <c r="M7" s="112" t="n">
        <f aca="false">SUM(J$6:J7)</f>
        <v>-1319</v>
      </c>
      <c r="N7" s="112" t="n">
        <f aca="false">SUM(J$6:J7)</f>
        <v>-1319</v>
      </c>
      <c r="P7" s="112" t="n">
        <f aca="false">D7/P$3</f>
        <v>-0.00015</v>
      </c>
      <c r="Q7" s="112" t="n">
        <f aca="false">E7/P$3</f>
        <v>0</v>
      </c>
      <c r="R7" s="112" t="n">
        <f aca="false">F7/R$3</f>
        <v>0</v>
      </c>
      <c r="S7" s="114" t="n">
        <f aca="false">J7/$R$3</f>
        <v>-1.319</v>
      </c>
      <c r="T7" s="114" t="n">
        <f aca="false">L7/$R$3</f>
        <v>-0</v>
      </c>
      <c r="U7" s="114" t="n">
        <f aca="false">I7/$R$3</f>
        <v>-1.319</v>
      </c>
      <c r="V7" s="114" t="n">
        <f aca="false">M7/$R$3</f>
        <v>-1.319</v>
      </c>
      <c r="W7" s="114" t="n">
        <f aca="false">N7/$R$3</f>
        <v>-1.319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INDEX('[4]Master Data'!$A$2:$B$8,MATCH(WEEKDAY('TBS Gas MTM'!A8,3),'[4]Master Data'!$A$2:$A$8,0),2)</f>
        <v>W</v>
      </c>
      <c r="D8" s="112" t="n">
        <v>-150</v>
      </c>
      <c r="E8" s="112" t="n">
        <v>0</v>
      </c>
      <c r="F8" s="112" t="n">
        <v>0</v>
      </c>
      <c r="G8" s="112" t="n">
        <v>-1139</v>
      </c>
      <c r="I8" s="112" t="n">
        <f aca="false">IF(MONTH($A8)=MONTH($A7),IF(G8=0,I7,G8),0)</f>
        <v>-1139</v>
      </c>
      <c r="J8" s="112" t="n">
        <f aca="false">IF(MONTH($A8)=MONTH($A7),SUM(I8-I7),I8)</f>
        <v>180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-1139</v>
      </c>
      <c r="N8" s="112" t="n">
        <f aca="false">SUM(J$6:J8)</f>
        <v>-1139</v>
      </c>
      <c r="P8" s="112" t="n">
        <f aca="false">D8/P$3</f>
        <v>-0.00015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0.18</v>
      </c>
      <c r="T8" s="114" t="n">
        <f aca="false">L8/$R$3</f>
        <v>0</v>
      </c>
      <c r="U8" s="114" t="n">
        <f aca="false">I8/$R$3</f>
        <v>-1.139</v>
      </c>
      <c r="V8" s="114" t="n">
        <f aca="false">M8/$R$3</f>
        <v>-1.139</v>
      </c>
      <c r="W8" s="114" t="n">
        <f aca="false">N8/$R$3</f>
        <v>-1.139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INDEX('[4]Master Data'!$A$2:$B$8,MATCH(WEEKDAY('TBS Gas MTM'!A9,3),'[4]Master Data'!$A$2:$A$8,0),2)</f>
        <v>Th</v>
      </c>
      <c r="D9" s="112" t="n">
        <v>-150</v>
      </c>
      <c r="E9" s="112" t="n">
        <v>0</v>
      </c>
      <c r="F9" s="112" t="n">
        <v>0</v>
      </c>
      <c r="G9" s="112" t="n">
        <v>-1354</v>
      </c>
      <c r="I9" s="112" t="n">
        <f aca="false">IF(MONTH($A9)=MONTH($A8),IF(G9=0,I8,G9),0)</f>
        <v>-1354</v>
      </c>
      <c r="J9" s="112" t="n">
        <f aca="false">IF(MONTH($A9)=MONTH($A8),SUM(I9-I8),I9)</f>
        <v>-215</v>
      </c>
      <c r="K9" s="112" t="n">
        <f aca="false">IF(WEEKDAY(A9,3)&gt;4,0,(IF(A9&lt;K$2,0,IF(A9&lt;=K$3,1,0))))</f>
        <v>0</v>
      </c>
      <c r="L9" s="112" t="n">
        <f aca="false">J9*K9</f>
        <v>-0</v>
      </c>
      <c r="M9" s="112" t="n">
        <f aca="false">SUM(J$6:J9)</f>
        <v>-1354</v>
      </c>
      <c r="N9" s="112" t="n">
        <f aca="false">SUM(J$6:J9)</f>
        <v>-1354</v>
      </c>
      <c r="P9" s="112" t="n">
        <f aca="false">D9/P$3</f>
        <v>-0.00015</v>
      </c>
      <c r="Q9" s="112" t="n">
        <f aca="false">E9/P$3</f>
        <v>0</v>
      </c>
      <c r="R9" s="112" t="n">
        <f aca="false">F9/R$3</f>
        <v>0</v>
      </c>
      <c r="S9" s="114" t="n">
        <f aca="false">J9/$R$3</f>
        <v>-0.215</v>
      </c>
      <c r="T9" s="114" t="n">
        <f aca="false">L9/$R$3</f>
        <v>-0</v>
      </c>
      <c r="U9" s="114" t="n">
        <f aca="false">I9/$R$3</f>
        <v>-1.354</v>
      </c>
      <c r="V9" s="114" t="n">
        <f aca="false">M9/$R$3</f>
        <v>-1.354</v>
      </c>
      <c r="W9" s="114" t="n">
        <f aca="false">N9/$R$3</f>
        <v>-1.354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INDEX('[4]Master Data'!$A$2:$B$8,MATCH(WEEKDAY('TBS Gas MTM'!A10,3),'[4]Master Data'!$A$2:$A$8,0),2)</f>
        <v>F</v>
      </c>
      <c r="D10" s="112" t="n">
        <v>-150</v>
      </c>
      <c r="E10" s="112" t="n">
        <v>0</v>
      </c>
      <c r="F10" s="112" t="n">
        <v>0</v>
      </c>
      <c r="G10" s="112" t="n">
        <v>-1588</v>
      </c>
      <c r="I10" s="112" t="n">
        <f aca="false">IF(MONTH($A10)=MONTH($A9),IF(G10=0,I9,G10),0)</f>
        <v>-1588</v>
      </c>
      <c r="J10" s="112" t="n">
        <f aca="false">IF(MONTH($A10)=MONTH($A9),SUM(I10-I9),I10)</f>
        <v>-234</v>
      </c>
      <c r="K10" s="112" t="n">
        <f aca="false">IF(WEEKDAY(A10,3)&gt;4,0,(IF(A10&lt;K$2,0,IF(A10&lt;=K$3,1,0))))</f>
        <v>0</v>
      </c>
      <c r="L10" s="112" t="n">
        <f aca="false">J10*K10</f>
        <v>-0</v>
      </c>
      <c r="M10" s="112" t="n">
        <f aca="false">SUM(J$6:J10)</f>
        <v>-1588</v>
      </c>
      <c r="N10" s="112" t="n">
        <f aca="false">SUM(J$6:J10)</f>
        <v>-1588</v>
      </c>
      <c r="P10" s="112" t="n">
        <f aca="false">D10/P$3</f>
        <v>-0.00015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-0.234</v>
      </c>
      <c r="T10" s="114" t="n">
        <f aca="false">L10/$R$3</f>
        <v>-0</v>
      </c>
      <c r="U10" s="114" t="n">
        <f aca="false">I10/$R$3</f>
        <v>-1.588</v>
      </c>
      <c r="V10" s="114" t="n">
        <f aca="false">M10/$R$3</f>
        <v>-1.588</v>
      </c>
      <c r="W10" s="114" t="n">
        <f aca="false">N10/$R$3</f>
        <v>-1.588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INDEX('[4]Master Data'!$A$2:$B$8,MATCH(WEEKDAY('TBS Gas MTM'!A11,3),'[4]Master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-1588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-1588</v>
      </c>
      <c r="N11" s="112" t="n">
        <f aca="false">SUM(J$6:J11)</f>
        <v>-1588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-1.588</v>
      </c>
      <c r="V11" s="114" t="n">
        <f aca="false">M11/$R$3</f>
        <v>-1.588</v>
      </c>
      <c r="W11" s="114" t="n">
        <f aca="false">N11/$R$3</f>
        <v>-1.588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INDEX('[4]Master Data'!$A$2:$B$8,MATCH(WEEKDAY('TBS Gas MTM'!A12,3),'[4]Master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-1588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-1588</v>
      </c>
      <c r="N12" s="112" t="n">
        <f aca="false">SUM(J$6:J12)</f>
        <v>-1588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-1.588</v>
      </c>
      <c r="V12" s="114" t="n">
        <f aca="false">M12/$R$3</f>
        <v>-1.588</v>
      </c>
      <c r="W12" s="114" t="n">
        <f aca="false">N12/$R$3</f>
        <v>-1.588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INDEX('[4]Master Data'!$A$2:$B$8,MATCH(WEEKDAY('TBS Gas MTM'!A13,3),'[4]Master Data'!$A$2:$A$8,0),2)</f>
        <v>M</v>
      </c>
      <c r="D13" s="112" t="n">
        <v>-150</v>
      </c>
      <c r="E13" s="112" t="n">
        <v>0</v>
      </c>
      <c r="F13" s="112" t="n">
        <v>0</v>
      </c>
      <c r="G13" s="112" t="n">
        <v>-1850</v>
      </c>
      <c r="I13" s="112" t="n">
        <f aca="false">IF(MONTH($A13)=MONTH($A12),IF(G13=0,I12,G13),0)</f>
        <v>-1850</v>
      </c>
      <c r="J13" s="112" t="n">
        <f aca="false">IF(MONTH($A13)=MONTH($A12),SUM(I13-I12),I13)</f>
        <v>-262</v>
      </c>
      <c r="K13" s="112" t="n">
        <f aca="false">IF(WEEKDAY(A13,3)&gt;4,0,(IF(A13&lt;K$2,0,IF(A13&lt;=K$3,1,0))))</f>
        <v>0</v>
      </c>
      <c r="L13" s="112" t="n">
        <f aca="false">J13*K13</f>
        <v>-0</v>
      </c>
      <c r="M13" s="112" t="n">
        <f aca="false">SUM(J$6:J13)</f>
        <v>-1850</v>
      </c>
      <c r="N13" s="112" t="n">
        <f aca="false">SUM(J$6:J13)</f>
        <v>-1850</v>
      </c>
      <c r="P13" s="112" t="n">
        <f aca="false">D13/P$3</f>
        <v>-0.00015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-0.262</v>
      </c>
      <c r="T13" s="114" t="n">
        <f aca="false">L13/$R$3</f>
        <v>-0</v>
      </c>
      <c r="U13" s="114" t="n">
        <f aca="false">I13/$R$3</f>
        <v>-1.85</v>
      </c>
      <c r="V13" s="114" t="n">
        <f aca="false">M13/$R$3</f>
        <v>-1.85</v>
      </c>
      <c r="W13" s="114" t="n">
        <f aca="false">N13/$R$3</f>
        <v>-1.85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INDEX('[4]Master Data'!$A$2:$B$8,MATCH(WEEKDAY('TBS Gas MTM'!A14,3),'[4]Master Data'!$A$2:$A$8,0),2)</f>
        <v>T</v>
      </c>
      <c r="D14" s="112" t="n">
        <v>-150</v>
      </c>
      <c r="E14" s="112" t="n">
        <v>0</v>
      </c>
      <c r="F14" s="112" t="n">
        <v>0</v>
      </c>
      <c r="G14" s="112" t="n">
        <v>-1715</v>
      </c>
      <c r="I14" s="112" t="n">
        <f aca="false">IF(MONTH($A14)=MONTH($A13),IF(G14=0,I13,G14),0)</f>
        <v>-1715</v>
      </c>
      <c r="J14" s="112" t="n">
        <f aca="false">IF(MONTH($A14)=MONTH($A13),SUM(I14-I13),I14)</f>
        <v>135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-1715</v>
      </c>
      <c r="N14" s="112" t="n">
        <f aca="false">SUM(J$6:J14)</f>
        <v>-1715</v>
      </c>
      <c r="P14" s="112" t="n">
        <f aca="false">D14/P$3</f>
        <v>-0.00015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0.135</v>
      </c>
      <c r="T14" s="114" t="n">
        <f aca="false">L14/$R$3</f>
        <v>0</v>
      </c>
      <c r="U14" s="114" t="n">
        <f aca="false">I14/$R$3</f>
        <v>-1.715</v>
      </c>
      <c r="V14" s="114" t="n">
        <f aca="false">M14/$R$3</f>
        <v>-1.715</v>
      </c>
      <c r="W14" s="114" t="n">
        <f aca="false">N14/$R$3</f>
        <v>-1.715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INDEX('[4]Master Data'!$A$2:$B$8,MATCH(WEEKDAY('TBS Gas MTM'!A15,3),'[4]Master Data'!$A$2:$A$8,0),2)</f>
        <v>W</v>
      </c>
      <c r="D15" s="112" t="n">
        <v>-150</v>
      </c>
      <c r="E15" s="112" t="n">
        <v>0</v>
      </c>
      <c r="F15" s="112" t="n">
        <v>0</v>
      </c>
      <c r="G15" s="112" t="n">
        <v>-1543</v>
      </c>
      <c r="I15" s="112" t="n">
        <f aca="false">IF(MONTH($A15)=MONTH($A14),IF(G15=0,I14,G15),0)</f>
        <v>-1543</v>
      </c>
      <c r="J15" s="112" t="n">
        <f aca="false">IF(MONTH($A15)=MONTH($A14),SUM(I15-I14),I15)</f>
        <v>172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-1543</v>
      </c>
      <c r="N15" s="112" t="n">
        <f aca="false">SUM(J$6:J15)</f>
        <v>-1543</v>
      </c>
      <c r="P15" s="112" t="n">
        <f aca="false">D15/P$3</f>
        <v>-0.00015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0.172</v>
      </c>
      <c r="T15" s="114" t="n">
        <f aca="false">L15/$R$3</f>
        <v>0</v>
      </c>
      <c r="U15" s="114" t="n">
        <f aca="false">I15/$R$3</f>
        <v>-1.543</v>
      </c>
      <c r="V15" s="114" t="n">
        <f aca="false">M15/$R$3</f>
        <v>-1.543</v>
      </c>
      <c r="W15" s="114" t="n">
        <f aca="false">N15/$R$3</f>
        <v>-1.543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INDEX('[4]Master Data'!$A$2:$B$8,MATCH(WEEKDAY('TBS Gas MTM'!A16,3),'[4]Master Data'!$A$2:$A$8,0),2)</f>
        <v>Th</v>
      </c>
      <c r="D16" s="112" t="n">
        <v>-150</v>
      </c>
      <c r="E16" s="112" t="n">
        <v>0</v>
      </c>
      <c r="F16" s="112" t="n">
        <v>0</v>
      </c>
      <c r="G16" s="112" t="n">
        <v>-1497</v>
      </c>
      <c r="I16" s="112" t="n">
        <f aca="false">IF(MONTH($A16)=MONTH($A15),IF(G16=0,I15,G16),0)</f>
        <v>-1497</v>
      </c>
      <c r="J16" s="112" t="n">
        <f aca="false">IF(MONTH($A16)=MONTH($A15),SUM(I16-I15),I16)</f>
        <v>46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-1497</v>
      </c>
      <c r="N16" s="112" t="n">
        <f aca="false">SUM(J$6:J16)</f>
        <v>-1497</v>
      </c>
      <c r="P16" s="112" t="n">
        <f aca="false">D16/P$3</f>
        <v>-0.00015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0.046</v>
      </c>
      <c r="T16" s="114" t="n">
        <f aca="false">L16/$R$3</f>
        <v>0</v>
      </c>
      <c r="U16" s="114" t="n">
        <f aca="false">I16/$R$3</f>
        <v>-1.497</v>
      </c>
      <c r="V16" s="114" t="n">
        <f aca="false">M16/$R$3</f>
        <v>-1.497</v>
      </c>
      <c r="W16" s="114" t="n">
        <f aca="false">N16/$R$3</f>
        <v>-1.497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INDEX('[4]Master Data'!$A$2:$B$8,MATCH(WEEKDAY('TBS Gas MTM'!A17,3),'[4]Master Data'!$A$2:$A$8,0),2)</f>
        <v>F</v>
      </c>
      <c r="D17" s="112" t="n">
        <v>-150</v>
      </c>
      <c r="E17" s="112" t="n">
        <v>0</v>
      </c>
      <c r="F17" s="112" t="n">
        <v>0</v>
      </c>
      <c r="G17" s="112" t="n">
        <v>-1321</v>
      </c>
      <c r="I17" s="112" t="n">
        <f aca="false">IF(MONTH($A17)=MONTH($A16),IF(G17=0,I16,G17),0)</f>
        <v>-1321</v>
      </c>
      <c r="J17" s="112" t="n">
        <f aca="false">IF(MONTH($A17)=MONTH($A16),SUM(I17-I16),I17)</f>
        <v>176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-1321</v>
      </c>
      <c r="N17" s="112" t="n">
        <f aca="false">SUM(J$6:J17)</f>
        <v>-1321</v>
      </c>
      <c r="P17" s="112" t="n">
        <f aca="false">D17/P$3</f>
        <v>-0.00015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0.176</v>
      </c>
      <c r="T17" s="114" t="n">
        <f aca="false">L17/$R$3</f>
        <v>0</v>
      </c>
      <c r="U17" s="114" t="n">
        <f aca="false">I17/$R$3</f>
        <v>-1.321</v>
      </c>
      <c r="V17" s="114" t="n">
        <f aca="false">M17/$R$3</f>
        <v>-1.321</v>
      </c>
      <c r="W17" s="114" t="n">
        <f aca="false">N17/$R$3</f>
        <v>-1.321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INDEX('[4]Master Data'!$A$2:$B$8,MATCH(WEEKDAY('TBS Gas MTM'!A18,3),'[4]Master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-1321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-1321</v>
      </c>
      <c r="N18" s="112" t="n">
        <f aca="false">SUM(J$6:J18)</f>
        <v>-1321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-1.321</v>
      </c>
      <c r="V18" s="114" t="n">
        <f aca="false">M18/$R$3</f>
        <v>-1.321</v>
      </c>
      <c r="W18" s="114" t="n">
        <f aca="false">N18/$R$3</f>
        <v>-1.321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INDEX('[4]Master Data'!$A$2:$B$8,MATCH(WEEKDAY('TBS Gas MTM'!A19,3),'[4]Master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-1321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-1321</v>
      </c>
      <c r="N19" s="112" t="n">
        <f aca="false">SUM(J$6:J19)</f>
        <v>-1321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-1.321</v>
      </c>
      <c r="V19" s="114" t="n">
        <f aca="false">M19/$R$3</f>
        <v>-1.321</v>
      </c>
      <c r="W19" s="114" t="n">
        <f aca="false">N19/$R$3</f>
        <v>-1.321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INDEX('[4]Master Data'!$A$2:$B$8,MATCH(WEEKDAY('TBS Gas MTM'!A20,3),'[4]Master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-1321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-1321</v>
      </c>
      <c r="N20" s="112" t="n">
        <f aca="false">SUM(J$6:J20)</f>
        <v>-1321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-1.321</v>
      </c>
      <c r="V20" s="114" t="n">
        <f aca="false">M20/$R$3</f>
        <v>-1.321</v>
      </c>
      <c r="W20" s="114" t="n">
        <f aca="false">N20/$R$3</f>
        <v>-1.321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INDEX('[4]Master Data'!$A$2:$B$8,MATCH(WEEKDAY('TBS Gas MTM'!A21,3),'[4]Master Data'!$A$2:$A$8,0),2)</f>
        <v>T</v>
      </c>
      <c r="D21" s="112" t="n">
        <v>-151</v>
      </c>
      <c r="E21" s="112" t="n">
        <v>0</v>
      </c>
      <c r="F21" s="112" t="n">
        <v>0</v>
      </c>
      <c r="G21" s="112" t="n">
        <v>-1299</v>
      </c>
      <c r="I21" s="112" t="n">
        <f aca="false">IF(MONTH($A21)=MONTH($A20),IF(G21=0,I20,G21),0)</f>
        <v>-1299</v>
      </c>
      <c r="J21" s="112" t="n">
        <f aca="false">IF(MONTH($A21)=MONTH($A20),SUM(I21-I20),I21)</f>
        <v>22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-1299</v>
      </c>
      <c r="N21" s="112" t="n">
        <f aca="false">SUM(J$6:J21)</f>
        <v>-1299</v>
      </c>
      <c r="P21" s="112" t="n">
        <f aca="false">D21/P$3</f>
        <v>-0.000151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0.022</v>
      </c>
      <c r="T21" s="114" t="n">
        <f aca="false">L21/$R$3</f>
        <v>0</v>
      </c>
      <c r="U21" s="114" t="n">
        <f aca="false">I21/$R$3</f>
        <v>-1.299</v>
      </c>
      <c r="V21" s="114" t="n">
        <f aca="false">M21/$R$3</f>
        <v>-1.299</v>
      </c>
      <c r="W21" s="114" t="n">
        <f aca="false">N21/$R$3</f>
        <v>-1.299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INDEX('[4]Master Data'!$A$2:$B$8,MATCH(WEEKDAY('TBS Gas MTM'!A22,3),'[4]Master Data'!$A$2:$A$8,0),2)</f>
        <v>W</v>
      </c>
      <c r="D22" s="112" t="n">
        <v>-151</v>
      </c>
      <c r="E22" s="112" t="n">
        <v>0</v>
      </c>
      <c r="F22" s="112" t="n">
        <v>0</v>
      </c>
      <c r="G22" s="112" t="n">
        <v>-1403</v>
      </c>
      <c r="I22" s="112" t="n">
        <f aca="false">IF(MONTH($A22)=MONTH($A21),IF(G22=0,I21,G22),0)</f>
        <v>-1403</v>
      </c>
      <c r="J22" s="112" t="n">
        <f aca="false">IF(MONTH($A22)=MONTH($A21),SUM(I22-I21),I22)</f>
        <v>-104</v>
      </c>
      <c r="K22" s="112" t="n">
        <f aca="false">IF(WEEKDAY(A22,3)&gt;4,0,(IF(A22&lt;K$2,0,IF(A22&lt;=K$3,1,0))))</f>
        <v>0</v>
      </c>
      <c r="L22" s="112" t="n">
        <f aca="false">J22*K22</f>
        <v>-0</v>
      </c>
      <c r="M22" s="112" t="n">
        <f aca="false">SUM(J$6:J22)</f>
        <v>-1403</v>
      </c>
      <c r="N22" s="112" t="n">
        <f aca="false">SUM(J$6:J22)</f>
        <v>-1403</v>
      </c>
      <c r="P22" s="112" t="n">
        <f aca="false">D22/P$3</f>
        <v>-0.000151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-0.104</v>
      </c>
      <c r="T22" s="114" t="n">
        <f aca="false">L22/$R$3</f>
        <v>-0</v>
      </c>
      <c r="U22" s="114" t="n">
        <f aca="false">I22/$R$3</f>
        <v>-1.403</v>
      </c>
      <c r="V22" s="114" t="n">
        <f aca="false">M22/$R$3</f>
        <v>-1.403</v>
      </c>
      <c r="W22" s="114" t="n">
        <f aca="false">N22/$R$3</f>
        <v>-1.403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INDEX('[4]Master Data'!$A$2:$B$8,MATCH(WEEKDAY('TBS Gas MTM'!A23,3),'[4]Master Data'!$A$2:$A$8,0),2)</f>
        <v>Th</v>
      </c>
      <c r="D23" s="112" t="n">
        <v>-151</v>
      </c>
      <c r="E23" s="112" t="n">
        <v>0</v>
      </c>
      <c r="F23" s="112" t="n">
        <v>0</v>
      </c>
      <c r="G23" s="112" t="n">
        <v>-1408</v>
      </c>
      <c r="I23" s="112" t="n">
        <f aca="false">IF(MONTH($A23)=MONTH($A22),IF(G23=0,I22,G23),0)</f>
        <v>-1408</v>
      </c>
      <c r="J23" s="112" t="n">
        <f aca="false">IF(MONTH($A23)=MONTH($A22),SUM(I23-I22),I23)</f>
        <v>-5</v>
      </c>
      <c r="K23" s="112" t="n">
        <f aca="false">IF(WEEKDAY(A23,3)&gt;4,0,(IF(A23&lt;K$2,0,IF(A23&lt;=K$3,1,0))))</f>
        <v>0</v>
      </c>
      <c r="L23" s="112" t="n">
        <f aca="false">J23*K23</f>
        <v>-0</v>
      </c>
      <c r="M23" s="112" t="n">
        <f aca="false">SUM(J$6:J23)</f>
        <v>-1408</v>
      </c>
      <c r="N23" s="112" t="n">
        <f aca="false">SUM(J$6:J23)</f>
        <v>-1408</v>
      </c>
      <c r="P23" s="112" t="n">
        <f aca="false">D23/P$3</f>
        <v>-0.000151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-0.005</v>
      </c>
      <c r="T23" s="114" t="n">
        <f aca="false">L23/$R$3</f>
        <v>-0</v>
      </c>
      <c r="U23" s="114" t="n">
        <f aca="false">I23/$R$3</f>
        <v>-1.408</v>
      </c>
      <c r="V23" s="114" t="n">
        <f aca="false">M23/$R$3</f>
        <v>-1.408</v>
      </c>
      <c r="W23" s="114" t="n">
        <f aca="false">N23/$R$3</f>
        <v>-1.408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INDEX('[4]Master Data'!$A$2:$B$8,MATCH(WEEKDAY('TBS Gas MTM'!A24,3),'[4]Master Data'!$A$2:$A$8,0),2)</f>
        <v>F</v>
      </c>
      <c r="D24" s="112" t="n">
        <v>-151</v>
      </c>
      <c r="E24" s="112" t="n">
        <v>0</v>
      </c>
      <c r="F24" s="112" t="n">
        <v>0</v>
      </c>
      <c r="G24" s="112" t="n">
        <v>-1446</v>
      </c>
      <c r="I24" s="112" t="n">
        <f aca="false">IF(MONTH($A24)=MONTH($A23),IF(G24=0,I23,G24),0)</f>
        <v>-1446</v>
      </c>
      <c r="J24" s="112" t="n">
        <f aca="false">IF(MONTH($A24)=MONTH($A23),SUM(I24-I23),I24)</f>
        <v>-38</v>
      </c>
      <c r="K24" s="112" t="n">
        <f aca="false">IF(WEEKDAY(A24,3)&gt;4,0,(IF(A24&lt;K$2,0,IF(A24&lt;=K$3,1,0))))</f>
        <v>0</v>
      </c>
      <c r="L24" s="112" t="n">
        <f aca="false">J24*K24</f>
        <v>-0</v>
      </c>
      <c r="M24" s="112" t="n">
        <f aca="false">SUM(J$6:J24)</f>
        <v>-1446</v>
      </c>
      <c r="N24" s="112" t="n">
        <f aca="false">SUM(J$6:J24)</f>
        <v>-1446</v>
      </c>
      <c r="P24" s="112" t="n">
        <f aca="false">D24/P$3</f>
        <v>-0.000151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-0.038</v>
      </c>
      <c r="T24" s="114" t="n">
        <f aca="false">L24/$R$3</f>
        <v>-0</v>
      </c>
      <c r="U24" s="114" t="n">
        <f aca="false">I24/$R$3</f>
        <v>-1.446</v>
      </c>
      <c r="V24" s="114" t="n">
        <f aca="false">M24/$R$3</f>
        <v>-1.446</v>
      </c>
      <c r="W24" s="114" t="n">
        <f aca="false">N24/$R$3</f>
        <v>-1.446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INDEX('[4]Master Data'!$A$2:$B$8,MATCH(WEEKDAY('TBS Gas MTM'!A25,3),'[4]Master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-1446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-1446</v>
      </c>
      <c r="N25" s="112" t="n">
        <f aca="false">SUM(J$6:J25)</f>
        <v>-1446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-1.446</v>
      </c>
      <c r="V25" s="114" t="n">
        <f aca="false">M25/$R$3</f>
        <v>-1.446</v>
      </c>
      <c r="W25" s="114" t="n">
        <f aca="false">N25/$R$3</f>
        <v>-1.446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INDEX('[4]Master Data'!$A$2:$B$8,MATCH(WEEKDAY('TBS Gas MTM'!A26,3),'[4]Master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-1446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-1446</v>
      </c>
      <c r="N26" s="112" t="n">
        <f aca="false">SUM(J$6:J26)</f>
        <v>-1446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-1.446</v>
      </c>
      <c r="V26" s="114" t="n">
        <f aca="false">M26/$R$3</f>
        <v>-1.446</v>
      </c>
      <c r="W26" s="114" t="n">
        <f aca="false">N26/$R$3</f>
        <v>-1.446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INDEX('[4]Master Data'!$A$2:$B$8,MATCH(WEEKDAY('TBS Gas MTM'!A27,3),'[4]Master Data'!$A$2:$A$8,0),2)</f>
        <v>M</v>
      </c>
      <c r="D27" s="112" t="n">
        <v>-151</v>
      </c>
      <c r="E27" s="112" t="n">
        <v>0</v>
      </c>
      <c r="F27" s="112" t="n">
        <v>0</v>
      </c>
      <c r="G27" s="112" t="n">
        <v>-1308</v>
      </c>
      <c r="I27" s="112" t="n">
        <f aca="false">IF(MONTH($A27)=MONTH($A26),IF(G27=0,I26,G27),0)</f>
        <v>-1308</v>
      </c>
      <c r="J27" s="112" t="n">
        <f aca="false">IF(MONTH($A27)=MONTH($A26),SUM(I27-I26),I27)</f>
        <v>138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-1308</v>
      </c>
      <c r="N27" s="112" t="n">
        <f aca="false">SUM(J$6:J27)</f>
        <v>-1308</v>
      </c>
      <c r="P27" s="112" t="n">
        <f aca="false">D27/P$3</f>
        <v>-0.000151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0.138</v>
      </c>
      <c r="T27" s="114" t="n">
        <f aca="false">L27/$R$3</f>
        <v>0</v>
      </c>
      <c r="U27" s="114" t="n">
        <f aca="false">I27/$R$3</f>
        <v>-1.308</v>
      </c>
      <c r="V27" s="114" t="n">
        <f aca="false">M27/$R$3</f>
        <v>-1.308</v>
      </c>
      <c r="W27" s="114" t="n">
        <f aca="false">N27/$R$3</f>
        <v>-1.308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INDEX('[4]Master Data'!$A$2:$B$8,MATCH(WEEKDAY('TBS Gas MTM'!A28,3),'[4]Master Data'!$A$2:$A$8,0),2)</f>
        <v>T</v>
      </c>
      <c r="D28" s="112" t="n">
        <v>-150.722499999683</v>
      </c>
      <c r="E28" s="112" t="n">
        <v>0</v>
      </c>
      <c r="F28" s="112" t="n">
        <v>0</v>
      </c>
      <c r="G28" s="112" t="n">
        <v>-1217</v>
      </c>
      <c r="I28" s="112" t="n">
        <f aca="false">IF(MONTH($A28)=MONTH($A27),IF(G28=0,I27,G28),0)</f>
        <v>-1217</v>
      </c>
      <c r="J28" s="112" t="n">
        <f aca="false">IF(MONTH($A28)=MONTH($A27),SUM(I28-I27),I28)</f>
        <v>91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-1217</v>
      </c>
      <c r="N28" s="112" t="n">
        <f aca="false">SUM(J$6:J28)</f>
        <v>-1217</v>
      </c>
      <c r="P28" s="112" t="n">
        <f aca="false">D28/P$3</f>
        <v>-0.000150722499999683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0.091</v>
      </c>
      <c r="T28" s="114" t="n">
        <f aca="false">L28/$R$3</f>
        <v>0</v>
      </c>
      <c r="U28" s="114" t="n">
        <f aca="false">I28/$R$3</f>
        <v>-1.217</v>
      </c>
      <c r="V28" s="114" t="n">
        <f aca="false">M28/$R$3</f>
        <v>-1.217</v>
      </c>
      <c r="W28" s="114" t="n">
        <f aca="false">N28/$R$3</f>
        <v>-1.217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INDEX('[4]Master Data'!$A$2:$B$8,MATCH(WEEKDAY('TBS Gas MTM'!A29,3),'[4]Master Data'!$A$2:$A$8,0),2)</f>
        <v>W</v>
      </c>
      <c r="D29" s="112" t="n">
        <v>-150.722499999683</v>
      </c>
      <c r="E29" s="112" t="n">
        <v>0</v>
      </c>
      <c r="F29" s="112" t="n">
        <v>0</v>
      </c>
      <c r="G29" s="112" t="n">
        <v>-1207</v>
      </c>
      <c r="I29" s="112" t="n">
        <f aca="false">IF(MONTH($A29)=MONTH($A28),IF(G29=0,I28,G29),0)</f>
        <v>-1207</v>
      </c>
      <c r="J29" s="112" t="n">
        <f aca="false">IF(MONTH($A29)=MONTH($A28),SUM(I29-I28),I29)</f>
        <v>10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-1207</v>
      </c>
      <c r="N29" s="112" t="n">
        <f aca="false">SUM(J$6:J29)</f>
        <v>-1207</v>
      </c>
      <c r="P29" s="112" t="n">
        <f aca="false">D29/P$3</f>
        <v>-0.000150722499999683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0.01</v>
      </c>
      <c r="T29" s="114" t="n">
        <f aca="false">L29/$R$3</f>
        <v>0</v>
      </c>
      <c r="U29" s="114" t="n">
        <f aca="false">I29/$R$3</f>
        <v>-1.207</v>
      </c>
      <c r="V29" s="114" t="n">
        <f aca="false">M29/$R$3</f>
        <v>-1.207</v>
      </c>
      <c r="W29" s="114" t="n">
        <f aca="false">N29/$R$3</f>
        <v>-1.207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INDEX('[4]Master Data'!$A$2:$B$8,MATCH(WEEKDAY('TBS Gas MTM'!A30,3),'[4]Master Data'!$A$2:$A$8,0),2)</f>
        <v>Th</v>
      </c>
      <c r="D30" s="112" t="n">
        <v>-150.722499999683</v>
      </c>
      <c r="E30" s="112" t="n">
        <v>0</v>
      </c>
      <c r="F30" s="112" t="n">
        <v>0</v>
      </c>
      <c r="G30" s="112" t="n">
        <v>-1256</v>
      </c>
      <c r="I30" s="112" t="n">
        <f aca="false">IF(MONTH($A30)=MONTH($A29),IF(G30=0,I29,G30),0)</f>
        <v>-1256</v>
      </c>
      <c r="J30" s="112" t="n">
        <f aca="false">IF(MONTH($A30)=MONTH($A29),SUM(I30-I29),I30)</f>
        <v>-49</v>
      </c>
      <c r="K30" s="112" t="n">
        <f aca="false">IF(WEEKDAY(A30,3)&gt;4,0,(IF(A30&lt;K$2,0,IF(A30&lt;=K$3,1,0))))</f>
        <v>0</v>
      </c>
      <c r="L30" s="112" t="n">
        <f aca="false">J30*K30</f>
        <v>-0</v>
      </c>
      <c r="M30" s="112" t="n">
        <f aca="false">SUM(J$6:J30)</f>
        <v>-1256</v>
      </c>
      <c r="N30" s="112" t="n">
        <f aca="false">SUM(J$6:J30)</f>
        <v>-1256</v>
      </c>
      <c r="P30" s="112" t="n">
        <f aca="false">D30/P$3</f>
        <v>-0.000150722499999683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-0.049</v>
      </c>
      <c r="T30" s="114" t="n">
        <f aca="false">L30/$R$3</f>
        <v>-0</v>
      </c>
      <c r="U30" s="114" t="n">
        <f aca="false">I30/$R$3</f>
        <v>-1.256</v>
      </c>
      <c r="V30" s="114" t="n">
        <f aca="false">M30/$R$3</f>
        <v>-1.256</v>
      </c>
      <c r="W30" s="114" t="n">
        <f aca="false">N30/$R$3</f>
        <v>-1.256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INDEX('[4]Master Data'!$A$2:$B$8,MATCH(WEEKDAY('TBS Gas MTM'!A31,3),'[4]Master Data'!$A$2:$A$8,0),2)</f>
        <v>F</v>
      </c>
      <c r="D31" s="112" t="n">
        <v>-150.722499999683</v>
      </c>
      <c r="E31" s="112" t="n">
        <v>0</v>
      </c>
      <c r="F31" s="112" t="n">
        <v>0</v>
      </c>
      <c r="G31" s="112" t="n">
        <v>-1270</v>
      </c>
      <c r="I31" s="112" t="n">
        <f aca="false">IF(MONTH($A31)=MONTH($A30),IF(G31=0,I30,G31),0)</f>
        <v>-1270</v>
      </c>
      <c r="J31" s="112" t="n">
        <f aca="false">IF(MONTH($A31)=MONTH($A30),SUM(I31-I30),I31)</f>
        <v>-14</v>
      </c>
      <c r="K31" s="112" t="n">
        <f aca="false">IF(WEEKDAY(A31,3)&gt;4,0,(IF(A31&lt;K$2,0,IF(A31&lt;=K$3,1,0))))</f>
        <v>0</v>
      </c>
      <c r="L31" s="112" t="n">
        <f aca="false">J31*K31</f>
        <v>-0</v>
      </c>
      <c r="M31" s="112" t="n">
        <f aca="false">SUM(J$6:J31)</f>
        <v>-1270</v>
      </c>
      <c r="N31" s="112" t="n">
        <f aca="false">SUM(J$6:J31)</f>
        <v>-1270</v>
      </c>
      <c r="P31" s="112" t="n">
        <f aca="false">D31/P$3</f>
        <v>-0.000150722499999683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-0.014</v>
      </c>
      <c r="T31" s="114" t="n">
        <f aca="false">L31/$R$3</f>
        <v>-0</v>
      </c>
      <c r="U31" s="114" t="n">
        <f aca="false">I31/$R$3</f>
        <v>-1.27</v>
      </c>
      <c r="V31" s="114" t="n">
        <f aca="false">M31/$R$3</f>
        <v>-1.27</v>
      </c>
      <c r="W31" s="114" t="n">
        <f aca="false">N31/$R$3</f>
        <v>-1.27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INDEX('[4]Master Data'!$A$2:$B$8,MATCH(WEEKDAY('TBS Gas MTM'!A32,3),'[4]Master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-1270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-1270</v>
      </c>
      <c r="N32" s="112" t="n">
        <f aca="false">SUM(J$6:J32)</f>
        <v>-1270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-1.27</v>
      </c>
      <c r="V32" s="114" t="n">
        <f aca="false">M32/$R$3</f>
        <v>-1.27</v>
      </c>
      <c r="W32" s="114" t="n">
        <f aca="false">N32/$R$3</f>
        <v>-1.27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INDEX('[4]Master Data'!$A$2:$B$8,MATCH(WEEKDAY('TBS Gas MTM'!A33,3),'[4]Master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-1270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-1270</v>
      </c>
      <c r="N33" s="112" t="n">
        <f aca="false">SUM(J$6:J33)</f>
        <v>-1270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-1.27</v>
      </c>
      <c r="V33" s="114" t="n">
        <f aca="false">M33/$R$3</f>
        <v>-1.27</v>
      </c>
      <c r="W33" s="114" t="n">
        <f aca="false">N33/$R$3</f>
        <v>-1.27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INDEX('[4]Master Data'!$A$2:$B$8,MATCH(WEEKDAY('TBS Gas MTM'!A34,3),'[4]Master Data'!$A$2:$A$8,0),2)</f>
        <v>M</v>
      </c>
      <c r="D34" s="112" t="n">
        <v>-150.722499999683</v>
      </c>
      <c r="E34" s="112" t="n">
        <v>0</v>
      </c>
      <c r="F34" s="112" t="n">
        <v>0</v>
      </c>
      <c r="G34" s="112" t="n">
        <v>-1258</v>
      </c>
      <c r="I34" s="112" t="n">
        <f aca="false">IF(MONTH($A34)=MONTH($A33),IF(G34=0,I33,G34),0)</f>
        <v>-1258</v>
      </c>
      <c r="J34" s="112" t="n">
        <f aca="false">IF(MONTH($A34)=MONTH($A33),SUM(I34-I33),I34)</f>
        <v>12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-1258</v>
      </c>
      <c r="N34" s="112" t="n">
        <f aca="false">SUM(J$6:J34)</f>
        <v>-1258</v>
      </c>
      <c r="P34" s="112" t="n">
        <f aca="false">D34/P$3</f>
        <v>-0.000150722499999683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0.012</v>
      </c>
      <c r="T34" s="114" t="n">
        <f aca="false">L34/$R$3</f>
        <v>0</v>
      </c>
      <c r="U34" s="114" t="n">
        <f aca="false">I34/$R$3</f>
        <v>-1.258</v>
      </c>
      <c r="V34" s="114" t="n">
        <f aca="false">M34/$R$3</f>
        <v>-1.258</v>
      </c>
      <c r="W34" s="114" t="n">
        <f aca="false">N34/$R$3</f>
        <v>-1.258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INDEX('[4]Master Data'!$A$2:$B$8,MATCH(WEEKDAY('TBS Gas MTM'!A35,3),'[4]Master Data'!$A$2:$A$8,0),2)</f>
        <v>T</v>
      </c>
      <c r="D35" s="112" t="n">
        <v>-150.722499999683</v>
      </c>
      <c r="E35" s="112" t="n">
        <v>0</v>
      </c>
      <c r="F35" s="112" t="n">
        <v>0</v>
      </c>
      <c r="G35" s="112" t="n">
        <v>-1378</v>
      </c>
      <c r="I35" s="112" t="n">
        <f aca="false">IF(MONTH($A35)=MONTH($A34),IF(G35=0,I34,G35),0)</f>
        <v>-1378</v>
      </c>
      <c r="J35" s="112" t="n">
        <f aca="false">IF(MONTH($A35)=MONTH($A34),SUM(I35-I34),I35)</f>
        <v>-120</v>
      </c>
      <c r="K35" s="112" t="n">
        <f aca="false">IF(WEEKDAY(A35,3)&gt;4,0,(IF(A35&lt;K$2,0,IF(A35&lt;=K$3,1,0))))</f>
        <v>0</v>
      </c>
      <c r="L35" s="112" t="n">
        <f aca="false">J35*K35</f>
        <v>-0</v>
      </c>
      <c r="M35" s="112" t="n">
        <f aca="false">SUM(J$6:J35)</f>
        <v>-1378</v>
      </c>
      <c r="N35" s="112" t="n">
        <f aca="false">SUM(J$6:J35)</f>
        <v>-1378</v>
      </c>
      <c r="P35" s="112" t="n">
        <f aca="false">D35/P$3</f>
        <v>-0.000150722499999683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-0.12</v>
      </c>
      <c r="T35" s="114" t="n">
        <f aca="false">L35/$R$3</f>
        <v>-0</v>
      </c>
      <c r="U35" s="114" t="n">
        <f aca="false">I35/$R$3</f>
        <v>-1.378</v>
      </c>
      <c r="V35" s="114" t="n">
        <f aca="false">M35/$R$3</f>
        <v>-1.378</v>
      </c>
      <c r="W35" s="114" t="n">
        <f aca="false">N35/$R$3</f>
        <v>-1.378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INDEX('[4]Master Data'!$A$2:$B$8,MATCH(WEEKDAY('TBS Gas MTM'!A36,3),'[4]Master Data'!$A$2:$A$8,0),2)</f>
        <v>W</v>
      </c>
      <c r="D36" s="112" t="n">
        <v>-150.722499999683</v>
      </c>
      <c r="E36" s="112" t="n">
        <v>0</v>
      </c>
      <c r="F36" s="112" t="n">
        <v>0</v>
      </c>
      <c r="G36" s="112" t="n">
        <v>-1549</v>
      </c>
      <c r="I36" s="112" t="n">
        <f aca="false">IF(MONTH($A36)=MONTH($A35),IF(G36=0,I35,G36),0)</f>
        <v>-1549</v>
      </c>
      <c r="J36" s="112" t="n">
        <f aca="false">IF(MONTH($A36)=MONTH($A35),SUM(I36-I35),I36)</f>
        <v>-171</v>
      </c>
      <c r="K36" s="112" t="n">
        <f aca="false">IF(WEEKDAY(A36,3)&gt;4,0,(IF(A36&lt;K$2,0,IF(A36&lt;=K$3,1,0))))</f>
        <v>0</v>
      </c>
      <c r="L36" s="112" t="n">
        <f aca="false">J36*K36</f>
        <v>-0</v>
      </c>
      <c r="M36" s="112" t="n">
        <f aca="false">SUM(J$6:J36)</f>
        <v>-1549</v>
      </c>
      <c r="N36" s="112" t="n">
        <f aca="false">SUM(J$6:J36)</f>
        <v>-1549</v>
      </c>
      <c r="P36" s="112" t="n">
        <f aca="false">D36/P$3</f>
        <v>-0.000150722499999683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-0.171</v>
      </c>
      <c r="T36" s="114" t="n">
        <f aca="false">L36/$R$3</f>
        <v>-0</v>
      </c>
      <c r="U36" s="114" t="n">
        <f aca="false">I36/$R$3</f>
        <v>-1.549</v>
      </c>
      <c r="V36" s="114" t="n">
        <f aca="false">M36/$R$3</f>
        <v>-1.549</v>
      </c>
      <c r="W36" s="114" t="n">
        <f aca="false">N36/$R$3</f>
        <v>-1.549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INDEX('[4]Master Data'!$A$2:$B$8,MATCH(WEEKDAY('TBS Gas MTM'!A37,3),'[4]Master Data'!$A$2:$A$8,0),2)</f>
        <v>Th</v>
      </c>
      <c r="D37" s="112" t="n">
        <v>-151</v>
      </c>
      <c r="E37" s="112" t="n">
        <v>0</v>
      </c>
      <c r="F37" s="112" t="n">
        <v>0</v>
      </c>
      <c r="G37" s="112" t="n">
        <v>-65</v>
      </c>
      <c r="I37" s="112" t="n">
        <f aca="false">IF(MONTH($A37)=MONTH($A36),IF(G37=0,I36,G37),G37)</f>
        <v>-65</v>
      </c>
      <c r="J37" s="112" t="n">
        <f aca="false">IF(MONTH($A37)=MONTH($A36),SUM(I37-I36),I37)</f>
        <v>-65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-1614</v>
      </c>
      <c r="N37" s="112" t="n">
        <f aca="false">SUM(J$6:J37)</f>
        <v>-1614</v>
      </c>
      <c r="P37" s="112" t="n">
        <f aca="false">D37/P$3</f>
        <v>-0.000151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-0.065</v>
      </c>
      <c r="T37" s="114" t="n">
        <f aca="false">L37/$R$3</f>
        <v>-0</v>
      </c>
      <c r="U37" s="114" t="n">
        <f aca="false">I37/$R$3</f>
        <v>-0.065</v>
      </c>
      <c r="V37" s="114" t="n">
        <f aca="false">M37/$R$3</f>
        <v>-1.614</v>
      </c>
      <c r="W37" s="114" t="n">
        <f aca="false">N37/$R$3</f>
        <v>-1.614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INDEX('[4]Master Data'!$A$2:$B$8,MATCH(WEEKDAY('TBS Gas MTM'!A38,3),'[4]Master Data'!$A$2:$A$8,0),2)</f>
        <v>F</v>
      </c>
      <c r="D38" s="112" t="n">
        <v>-151.008099999279</v>
      </c>
      <c r="E38" s="112" t="n">
        <v>0</v>
      </c>
      <c r="F38" s="112" t="n">
        <v>0</v>
      </c>
      <c r="G38" s="112" t="n">
        <v>80</v>
      </c>
      <c r="I38" s="112" t="n">
        <f aca="false">IF(MONTH($A38)=MONTH($A37),IF(G38=0,I37,G38),G38)</f>
        <v>80</v>
      </c>
      <c r="J38" s="112" t="n">
        <f aca="false">IF(MONTH($A38)=MONTH($A37),SUM(I38-I37),I38)</f>
        <v>145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-1469</v>
      </c>
      <c r="N38" s="112" t="n">
        <f aca="false">SUM(J$6:J38)</f>
        <v>-1469</v>
      </c>
      <c r="P38" s="112" t="n">
        <f aca="false">D38/P$3</f>
        <v>-0.000151008099999279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0.145</v>
      </c>
      <c r="T38" s="114" t="n">
        <f aca="false">L38/$R$3</f>
        <v>0</v>
      </c>
      <c r="U38" s="114" t="n">
        <f aca="false">I38/$R$3</f>
        <v>0.08</v>
      </c>
      <c r="V38" s="114" t="n">
        <f aca="false">M38/$R$3</f>
        <v>-1.469</v>
      </c>
      <c r="W38" s="114" t="n">
        <f aca="false">N38/$R$3</f>
        <v>-1.469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INDEX('[4]Master Data'!$A$2:$B$8,MATCH(WEEKDAY('TBS Gas MTM'!A39,3),'[4]Master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80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-1469</v>
      </c>
      <c r="N39" s="112" t="n">
        <f aca="false">SUM(J$6:J39)</f>
        <v>-1469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0.08</v>
      </c>
      <c r="V39" s="114" t="n">
        <f aca="false">M39/$R$3</f>
        <v>-1.469</v>
      </c>
      <c r="W39" s="114" t="n">
        <f aca="false">N39/$R$3</f>
        <v>-1.469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INDEX('[4]Master Data'!$A$2:$B$8,MATCH(WEEKDAY('TBS Gas MTM'!A40,3),'[4]Master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80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-1469</v>
      </c>
      <c r="N40" s="112" t="n">
        <f aca="false">SUM(J$6:J40)</f>
        <v>-1469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0.08</v>
      </c>
      <c r="V40" s="114" t="n">
        <f aca="false">M40/$R$3</f>
        <v>-1.469</v>
      </c>
      <c r="W40" s="114" t="n">
        <f aca="false">N40/$R$3</f>
        <v>-1.469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INDEX('[4]Master Data'!$A$2:$B$8,MATCH(WEEKDAY('TBS Gas MTM'!A41,3),'[4]Master Data'!$A$2:$A$8,0),2)</f>
        <v>M</v>
      </c>
      <c r="D41" s="112" t="n">
        <v>-151.008099999279</v>
      </c>
      <c r="E41" s="112" t="n">
        <v>0</v>
      </c>
      <c r="F41" s="112" t="n">
        <v>0</v>
      </c>
      <c r="G41" s="112" t="n">
        <v>152</v>
      </c>
      <c r="I41" s="112" t="n">
        <f aca="false">IF(MONTH($A41)=MONTH($A40),IF(G41=0,I40,G41),G41)</f>
        <v>152</v>
      </c>
      <c r="J41" s="112" t="n">
        <f aca="false">IF(MONTH($A41)=MONTH($A40),SUM(I41-I40),I41)</f>
        <v>72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-1397</v>
      </c>
      <c r="N41" s="112" t="n">
        <f aca="false">SUM(J$6:J41)</f>
        <v>-1397</v>
      </c>
      <c r="P41" s="112" t="n">
        <f aca="false">D41/P$3</f>
        <v>-0.000151008099999279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0.072</v>
      </c>
      <c r="T41" s="114" t="n">
        <f aca="false">L41/$R$3</f>
        <v>0</v>
      </c>
      <c r="U41" s="114" t="n">
        <f aca="false">I41/$R$3</f>
        <v>0.152</v>
      </c>
      <c r="V41" s="114" t="n">
        <f aca="false">M41/$R$3</f>
        <v>-1.397</v>
      </c>
      <c r="W41" s="114" t="n">
        <f aca="false">N41/$R$3</f>
        <v>-1.397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INDEX('[4]Master Data'!$A$2:$B$8,MATCH(WEEKDAY('TBS Gas MTM'!A42,3),'[4]Master Data'!$A$2:$A$8,0),2)</f>
        <v>T</v>
      </c>
      <c r="D42" s="112" t="n">
        <v>-151.008099999279</v>
      </c>
      <c r="E42" s="112" t="n">
        <v>0</v>
      </c>
      <c r="F42" s="112" t="n">
        <v>0</v>
      </c>
      <c r="G42" s="112" t="n">
        <v>219</v>
      </c>
      <c r="I42" s="112" t="n">
        <f aca="false">IF(MONTH($A42)=MONTH($A41),IF(G42=0,I41,G42),G42)</f>
        <v>219</v>
      </c>
      <c r="J42" s="112" t="n">
        <f aca="false">IF(MONTH($A42)=MONTH($A41),SUM(I42-I41),I42)</f>
        <v>67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-1330</v>
      </c>
      <c r="N42" s="112" t="n">
        <f aca="false">SUM(J$6:J42)</f>
        <v>-1330</v>
      </c>
      <c r="P42" s="112" t="n">
        <f aca="false">D42/P$3</f>
        <v>-0.000151008099999279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0.067</v>
      </c>
      <c r="T42" s="114" t="n">
        <f aca="false">L42/$R$3</f>
        <v>0</v>
      </c>
      <c r="U42" s="114" t="n">
        <f aca="false">I42/$R$3</f>
        <v>0.219</v>
      </c>
      <c r="V42" s="114" t="n">
        <f aca="false">M42/$R$3</f>
        <v>-1.33</v>
      </c>
      <c r="W42" s="114" t="n">
        <f aca="false">N42/$R$3</f>
        <v>-1.33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INDEX('[4]Master Data'!$A$2:$B$8,MATCH(WEEKDAY('TBS Gas MTM'!A43,3),'[4]Master Data'!$A$2:$A$8,0),2)</f>
        <v>W</v>
      </c>
      <c r="D43" s="112" t="n">
        <v>-151.008099999279</v>
      </c>
      <c r="E43" s="112" t="n">
        <v>0</v>
      </c>
      <c r="F43" s="112" t="n">
        <v>0</v>
      </c>
      <c r="G43" s="112" t="n">
        <v>169</v>
      </c>
      <c r="I43" s="112" t="n">
        <f aca="false">IF(MONTH($A43)=MONTH($A42),IF(G43=0,I42,G43),G43)</f>
        <v>169</v>
      </c>
      <c r="J43" s="112" t="n">
        <f aca="false">IF(MONTH($A43)=MONTH($A42),SUM(I43-I42),I43)</f>
        <v>-50</v>
      </c>
      <c r="K43" s="112" t="n">
        <f aca="false">IF(WEEKDAY(A43,3)&gt;4,0,(IF(A43&lt;K$2,0,IF(A43&lt;=K$3,1,0))))</f>
        <v>0</v>
      </c>
      <c r="L43" s="112" t="n">
        <f aca="false">J43*K43</f>
        <v>-0</v>
      </c>
      <c r="M43" s="112" t="n">
        <f aca="false">SUM(J$6:J43)</f>
        <v>-1380</v>
      </c>
      <c r="N43" s="112" t="n">
        <f aca="false">SUM(J$6:J43)</f>
        <v>-1380</v>
      </c>
      <c r="P43" s="112" t="n">
        <f aca="false">D43/P$3</f>
        <v>-0.000151008099999279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-0.05</v>
      </c>
      <c r="T43" s="114" t="n">
        <f aca="false">L43/$R$3</f>
        <v>-0</v>
      </c>
      <c r="U43" s="114" t="n">
        <f aca="false">I43/$R$3</f>
        <v>0.169</v>
      </c>
      <c r="V43" s="114" t="n">
        <f aca="false">M43/$R$3</f>
        <v>-1.38</v>
      </c>
      <c r="W43" s="114" t="n">
        <f aca="false">N43/$R$3</f>
        <v>-1.38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INDEX('[4]Master Data'!$A$2:$B$8,MATCH(WEEKDAY('TBS Gas MTM'!A44,3),'[4]Master Data'!$A$2:$A$8,0),2)</f>
        <v>Th</v>
      </c>
      <c r="D44" s="112" t="n">
        <v>-151.008099999279</v>
      </c>
      <c r="E44" s="112" t="n">
        <v>0</v>
      </c>
      <c r="F44" s="112" t="n">
        <v>0</v>
      </c>
      <c r="G44" s="112" t="n">
        <v>179</v>
      </c>
      <c r="I44" s="112" t="n">
        <f aca="false">IF(MONTH($A44)=MONTH($A43),IF(G44=0,I43,G44),G44)</f>
        <v>179</v>
      </c>
      <c r="J44" s="112" t="n">
        <f aca="false">IF(MONTH($A44)=MONTH($A43),SUM(I44-I43),I44)</f>
        <v>10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-1370</v>
      </c>
      <c r="N44" s="112" t="n">
        <f aca="false">SUM(J$6:J44)</f>
        <v>-1370</v>
      </c>
      <c r="P44" s="112" t="n">
        <f aca="false">D44/P$3</f>
        <v>-0.000151008099999279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0.01</v>
      </c>
      <c r="T44" s="114" t="n">
        <f aca="false">L44/$R$3</f>
        <v>0</v>
      </c>
      <c r="U44" s="114" t="n">
        <f aca="false">I44/$R$3</f>
        <v>0.179</v>
      </c>
      <c r="V44" s="114" t="n">
        <f aca="false">M44/$R$3</f>
        <v>-1.37</v>
      </c>
      <c r="W44" s="114" t="n">
        <f aca="false">N44/$R$3</f>
        <v>-1.37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INDEX('[4]Master Data'!$A$2:$B$8,MATCH(WEEKDAY('TBS Gas MTM'!A45,3),'[4]Master Data'!$A$2:$A$8,0),2)</f>
        <v>F</v>
      </c>
      <c r="D45" s="112" t="n">
        <v>-151.008099999279</v>
      </c>
      <c r="E45" s="112" t="n">
        <v>0</v>
      </c>
      <c r="F45" s="112" t="n">
        <v>0</v>
      </c>
      <c r="G45" s="112" t="n">
        <v>-1463</v>
      </c>
      <c r="I45" s="112" t="n">
        <f aca="false">IF(MONTH($A45)=MONTH($A44),IF(G45=0,I44,G45),G45)</f>
        <v>-1463</v>
      </c>
      <c r="J45" s="112" t="n">
        <f aca="false">IF(MONTH($A45)=MONTH($A44),SUM(I45-I44),I45)</f>
        <v>-1642</v>
      </c>
      <c r="K45" s="112" t="n">
        <f aca="false">IF(WEEKDAY(A45,3)&gt;4,0,(IF(A45&lt;K$2,0,IF(A45&lt;=K$3,1,0))))</f>
        <v>0</v>
      </c>
      <c r="L45" s="112" t="n">
        <f aca="false">J45*K45</f>
        <v>-0</v>
      </c>
      <c r="M45" s="112" t="n">
        <f aca="false">SUM(J$6:J45)</f>
        <v>-3012</v>
      </c>
      <c r="N45" s="112" t="n">
        <f aca="false">SUM(J$6:J45)</f>
        <v>-3012</v>
      </c>
      <c r="P45" s="112" t="n">
        <f aca="false">D45/P$3</f>
        <v>-0.000151008099999279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-1.642</v>
      </c>
      <c r="T45" s="114" t="n">
        <f aca="false">L45/$R$3</f>
        <v>-0</v>
      </c>
      <c r="U45" s="114" t="n">
        <f aca="false">I45/$R$3</f>
        <v>-1.463</v>
      </c>
      <c r="V45" s="114" t="n">
        <f aca="false">M45/$R$3</f>
        <v>-3.012</v>
      </c>
      <c r="W45" s="114" t="n">
        <f aca="false">N45/$R$3</f>
        <v>-3.012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INDEX('[4]Master Data'!$A$2:$B$8,MATCH(WEEKDAY('TBS Gas MTM'!A46,3),'[4]Master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-1463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-3012</v>
      </c>
      <c r="N46" s="112" t="n">
        <f aca="false">SUM(J$6:J46)</f>
        <v>-3012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-1.463</v>
      </c>
      <c r="V46" s="114" t="n">
        <f aca="false">M46/$R$3</f>
        <v>-3.012</v>
      </c>
      <c r="W46" s="114" t="n">
        <f aca="false">N46/$R$3</f>
        <v>-3.012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INDEX('[4]Master Data'!$A$2:$B$8,MATCH(WEEKDAY('TBS Gas MTM'!A47,3),'[4]Master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-1463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-3012</v>
      </c>
      <c r="N47" s="112" t="n">
        <f aca="false">SUM(J$6:J47)</f>
        <v>-3012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-1.463</v>
      </c>
      <c r="V47" s="114" t="n">
        <f aca="false">M47/$R$3</f>
        <v>-3.012</v>
      </c>
      <c r="W47" s="114" t="n">
        <f aca="false">N47/$R$3</f>
        <v>-3.012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INDEX('[4]Master Data'!$A$2:$B$8,MATCH(WEEKDAY('TBS Gas MTM'!A48,3),'[4]Master Data'!$A$2:$A$8,0),2)</f>
        <v>M</v>
      </c>
      <c r="D48" s="112" t="n">
        <v>-151.008099999279</v>
      </c>
      <c r="E48" s="112" t="n">
        <v>0</v>
      </c>
      <c r="F48" s="112" t="n">
        <v>0</v>
      </c>
      <c r="G48" s="112" t="n">
        <v>-1418</v>
      </c>
      <c r="I48" s="112" t="n">
        <f aca="false">IF(MONTH($A48)=MONTH($A47),IF(G48=0,I47,G48),G48)</f>
        <v>-1418</v>
      </c>
      <c r="J48" s="112" t="n">
        <f aca="false">IF(MONTH($A48)=MONTH($A47),SUM(I48-I47),I48)</f>
        <v>45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-2967</v>
      </c>
      <c r="N48" s="112" t="n">
        <f aca="false">SUM(J$6:J48)</f>
        <v>-2967</v>
      </c>
      <c r="P48" s="112" t="n">
        <f aca="false">D48/P$3</f>
        <v>-0.000151008099999279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0.045</v>
      </c>
      <c r="T48" s="114" t="n">
        <f aca="false">L48/$R$3</f>
        <v>0</v>
      </c>
      <c r="U48" s="114" t="n">
        <f aca="false">I48/$R$3</f>
        <v>-1.418</v>
      </c>
      <c r="V48" s="114" t="n">
        <f aca="false">M48/$R$3</f>
        <v>-2.967</v>
      </c>
      <c r="W48" s="114" t="n">
        <f aca="false">N48/$R$3</f>
        <v>-2.967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INDEX('[4]Master Data'!$A$2:$B$8,MATCH(WEEKDAY('TBS Gas MTM'!A49,3),'[4]Master Data'!$A$2:$A$8,0),2)</f>
        <v>T</v>
      </c>
      <c r="D49" s="112" t="n">
        <v>-151.008099999279</v>
      </c>
      <c r="E49" s="112" t="n">
        <v>0</v>
      </c>
      <c r="F49" s="112" t="n">
        <v>0</v>
      </c>
      <c r="G49" s="112" t="n">
        <v>-1371</v>
      </c>
      <c r="I49" s="112" t="n">
        <f aca="false">IF(MONTH($A49)=MONTH($A48),IF(G49=0,I48,G49),G49)</f>
        <v>-1371</v>
      </c>
      <c r="J49" s="112" t="n">
        <f aca="false">IF(MONTH($A49)=MONTH($A48),SUM(I49-I48),I49)</f>
        <v>47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-2920</v>
      </c>
      <c r="N49" s="112" t="n">
        <f aca="false">SUM(J$6:J49)</f>
        <v>-2920</v>
      </c>
      <c r="P49" s="112" t="n">
        <f aca="false">D49/P$3</f>
        <v>-0.000151008099999279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0.047</v>
      </c>
      <c r="T49" s="114" t="n">
        <f aca="false">L49/$R$3</f>
        <v>0</v>
      </c>
      <c r="U49" s="114" t="n">
        <f aca="false">I49/$R$3</f>
        <v>-1.371</v>
      </c>
      <c r="V49" s="114" t="n">
        <f aca="false">M49/$R$3</f>
        <v>-2.92</v>
      </c>
      <c r="W49" s="114" t="n">
        <f aca="false">N49/$R$3</f>
        <v>-2.92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INDEX('[4]Master Data'!$A$2:$B$8,MATCH(WEEKDAY('TBS Gas MTM'!A50,3),'[4]Master Data'!$A$2:$A$8,0),2)</f>
        <v>W</v>
      </c>
      <c r="D50" s="112" t="n">
        <v>-151.008099999279</v>
      </c>
      <c r="E50" s="112" t="n">
        <v>0</v>
      </c>
      <c r="F50" s="112" t="n">
        <v>0</v>
      </c>
      <c r="G50" s="112" t="n">
        <v>-1241</v>
      </c>
      <c r="I50" s="112" t="n">
        <f aca="false">IF(MONTH($A50)=MONTH($A49),IF(G50=0,I49,G50),G50)</f>
        <v>-1241</v>
      </c>
      <c r="J50" s="112" t="n">
        <f aca="false">IF(MONTH($A50)=MONTH($A49),SUM(I50-I49),I50)</f>
        <v>130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-2790</v>
      </c>
      <c r="N50" s="112" t="n">
        <f aca="false">SUM(J$6:J50)</f>
        <v>-2790</v>
      </c>
      <c r="P50" s="112" t="n">
        <f aca="false">D50/P$3</f>
        <v>-0.000151008099999279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0.13</v>
      </c>
      <c r="T50" s="114" t="n">
        <f aca="false">L50/$R$3</f>
        <v>0</v>
      </c>
      <c r="U50" s="114" t="n">
        <f aca="false">I50/$R$3</f>
        <v>-1.241</v>
      </c>
      <c r="V50" s="114" t="n">
        <f aca="false">M50/$R$3</f>
        <v>-2.79</v>
      </c>
      <c r="W50" s="114" t="n">
        <f aca="false">N50/$R$3</f>
        <v>-2.79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INDEX('[4]Master Data'!$A$2:$B$8,MATCH(WEEKDAY('TBS Gas MTM'!A51,3),'[4]Master Data'!$A$2:$A$8,0),2)</f>
        <v>Th</v>
      </c>
      <c r="D51" s="112" t="n">
        <v>-151.008099999279</v>
      </c>
      <c r="E51" s="112" t="n">
        <v>0</v>
      </c>
      <c r="F51" s="112" t="n">
        <v>0</v>
      </c>
      <c r="G51" s="112" t="n">
        <v>-1171</v>
      </c>
      <c r="I51" s="112" t="n">
        <f aca="false">IF(MONTH($A51)=MONTH($A50),IF(G51=0,I50,G51),G51)</f>
        <v>-1171</v>
      </c>
      <c r="J51" s="112" t="n">
        <f aca="false">IF(MONTH($A51)=MONTH($A50),SUM(I51-I50),I51)</f>
        <v>70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-2720</v>
      </c>
      <c r="N51" s="112" t="n">
        <f aca="false">SUM(J$6:J51)</f>
        <v>-2720</v>
      </c>
      <c r="P51" s="112" t="n">
        <f aca="false">D51/P$3</f>
        <v>-0.000151008099999279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0.07</v>
      </c>
      <c r="T51" s="114" t="n">
        <f aca="false">L51/$R$3</f>
        <v>0</v>
      </c>
      <c r="U51" s="114" t="n">
        <f aca="false">I51/$R$3</f>
        <v>-1.171</v>
      </c>
      <c r="V51" s="114" t="n">
        <f aca="false">M51/$R$3</f>
        <v>-2.72</v>
      </c>
      <c r="W51" s="114" t="n">
        <f aca="false">N51/$R$3</f>
        <v>-2.72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INDEX('[4]Master Data'!$A$2:$B$8,MATCH(WEEKDAY('TBS Gas MTM'!A52,3),'[4]Master Data'!$A$2:$A$8,0),2)</f>
        <v>F</v>
      </c>
      <c r="D52" s="112" t="n">
        <v>-151.008099999279</v>
      </c>
      <c r="E52" s="112" t="n">
        <v>0</v>
      </c>
      <c r="F52" s="112" t="n">
        <v>0</v>
      </c>
      <c r="G52" s="112" t="n">
        <v>-1325</v>
      </c>
      <c r="I52" s="112" t="n">
        <f aca="false">IF(MONTH($A52)=MONTH($A51),IF(G52=0,I51,G52),G52)</f>
        <v>-1325</v>
      </c>
      <c r="J52" s="112" t="n">
        <f aca="false">IF(MONTH($A52)=MONTH($A51),SUM(I52-I51),I52)</f>
        <v>-154</v>
      </c>
      <c r="K52" s="112" t="n">
        <f aca="false">IF(WEEKDAY(A52,3)&gt;4,0,(IF(A52&lt;K$2,0,IF(A52&lt;=K$3,1,0))))</f>
        <v>0</v>
      </c>
      <c r="L52" s="112" t="n">
        <f aca="false">J52*K52</f>
        <v>-0</v>
      </c>
      <c r="M52" s="112" t="n">
        <f aca="false">SUM(J$6:J52)</f>
        <v>-2874</v>
      </c>
      <c r="N52" s="112" t="n">
        <f aca="false">SUM(J$6:J52)</f>
        <v>-2874</v>
      </c>
      <c r="P52" s="112" t="n">
        <f aca="false">D52/P$3</f>
        <v>-0.000151008099999279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-0.154</v>
      </c>
      <c r="T52" s="114" t="n">
        <f aca="false">L52/$R$3</f>
        <v>-0</v>
      </c>
      <c r="U52" s="114" t="n">
        <f aca="false">I52/$R$3</f>
        <v>-1.325</v>
      </c>
      <c r="V52" s="114" t="n">
        <f aca="false">M52/$R$3</f>
        <v>-2.874</v>
      </c>
      <c r="W52" s="114" t="n">
        <f aca="false">N52/$R$3</f>
        <v>-2.874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INDEX('[4]Master Data'!$A$2:$B$8,MATCH(WEEKDAY('TBS Gas MTM'!A53,3),'[4]Master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-1325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-2874</v>
      </c>
      <c r="N53" s="112" t="n">
        <f aca="false">SUM(J$6:J53)</f>
        <v>-2874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-1.325</v>
      </c>
      <c r="V53" s="114" t="n">
        <f aca="false">M53/$R$3</f>
        <v>-2.874</v>
      </c>
      <c r="W53" s="114" t="n">
        <f aca="false">N53/$R$3</f>
        <v>-2.874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INDEX('[4]Master Data'!$A$2:$B$8,MATCH(WEEKDAY('TBS Gas MTM'!A54,3),'[4]Master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-1325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-2874</v>
      </c>
      <c r="N54" s="112" t="n">
        <f aca="false">SUM(J$6:J54)</f>
        <v>-2874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-1.325</v>
      </c>
      <c r="V54" s="114" t="n">
        <f aca="false">M54/$R$3</f>
        <v>-2.874</v>
      </c>
      <c r="W54" s="114" t="n">
        <f aca="false">N54/$R$3</f>
        <v>-2.874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INDEX('[4]Master Data'!$A$2:$B$8,MATCH(WEEKDAY('TBS Gas MTM'!A55,3),'[4]Master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-1325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-2874</v>
      </c>
      <c r="N55" s="112" t="n">
        <f aca="false">SUM(J$6:J55)</f>
        <v>-2874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-1.325</v>
      </c>
      <c r="V55" s="114" t="n">
        <f aca="false">M55/$R$3</f>
        <v>-2.874</v>
      </c>
      <c r="W55" s="114" t="n">
        <f aca="false">N55/$R$3</f>
        <v>-2.874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INDEX('[4]Master Data'!$A$2:$B$8,MATCH(WEEKDAY('TBS Gas MTM'!A56,3),'[4]Master Data'!$A$2:$A$8,0),2)</f>
        <v>T</v>
      </c>
      <c r="D56" s="112" t="n">
        <v>-543.735300000291</v>
      </c>
      <c r="E56" s="112" t="n">
        <v>0</v>
      </c>
      <c r="F56" s="112" t="n">
        <v>0</v>
      </c>
      <c r="G56" s="112" t="n">
        <v>-1832</v>
      </c>
      <c r="I56" s="112" t="n">
        <f aca="false">IF(MONTH($A56)=MONTH($A55),IF(G56=0,I55,G56),G56)</f>
        <v>-1832</v>
      </c>
      <c r="J56" s="112" t="n">
        <f aca="false">IF(MONTH($A56)=MONTH($A55),SUM(I56-I55),I56)</f>
        <v>-507</v>
      </c>
      <c r="K56" s="112" t="n">
        <f aca="false">IF(WEEKDAY(A56,3)&gt;4,0,(IF(A56&lt;K$2,0,IF(A56&lt;=K$3,1,0))))</f>
        <v>0</v>
      </c>
      <c r="L56" s="112" t="n">
        <f aca="false">J56*K56</f>
        <v>-0</v>
      </c>
      <c r="M56" s="112" t="n">
        <f aca="false">SUM(J$6:J56)</f>
        <v>-3381</v>
      </c>
      <c r="N56" s="112" t="n">
        <f aca="false">SUM(J$6:J56)</f>
        <v>-3381</v>
      </c>
      <c r="P56" s="112" t="n">
        <f aca="false">D56/P$3</f>
        <v>-0.000543735300000291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-0.507</v>
      </c>
      <c r="T56" s="114" t="n">
        <f aca="false">L56/$R$3</f>
        <v>-0</v>
      </c>
      <c r="U56" s="114" t="n">
        <f aca="false">I56/$R$3</f>
        <v>-1.832</v>
      </c>
      <c r="V56" s="114" t="n">
        <f aca="false">M56/$R$3</f>
        <v>-3.381</v>
      </c>
      <c r="W56" s="114" t="n">
        <f aca="false">N56/$R$3</f>
        <v>-3.381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INDEX('[4]Master Data'!$A$2:$B$8,MATCH(WEEKDAY('TBS Gas MTM'!A57,3),'[4]Master Data'!$A$2:$A$8,0),2)</f>
        <v>W</v>
      </c>
      <c r="D57" s="112" t="n">
        <v>-151</v>
      </c>
      <c r="E57" s="112" t="n">
        <v>0</v>
      </c>
      <c r="F57" s="112" t="n">
        <v>0</v>
      </c>
      <c r="G57" s="112" t="n">
        <v>-5198</v>
      </c>
      <c r="I57" s="112" t="n">
        <f aca="false">IF(MONTH($A57)=MONTH($A56),IF(G57=0,I56,G57),G57)</f>
        <v>-5198</v>
      </c>
      <c r="J57" s="112" t="n">
        <f aca="false">IF(MONTH($A57)=MONTH($A56),SUM(I57-I56),I57)</f>
        <v>-3366</v>
      </c>
      <c r="K57" s="112" t="n">
        <f aca="false">IF(WEEKDAY(A57,3)&gt;4,0,(IF(A57&lt;K$2,0,IF(A57&lt;=K$3,1,0))))</f>
        <v>0</v>
      </c>
      <c r="L57" s="112" t="n">
        <f aca="false">J57*K57</f>
        <v>-0</v>
      </c>
      <c r="M57" s="112" t="n">
        <f aca="false">SUM(J$6:J57)</f>
        <v>-6747</v>
      </c>
      <c r="N57" s="112" t="n">
        <f aca="false">SUM(J$6:J57)</f>
        <v>-6747</v>
      </c>
      <c r="P57" s="112" t="n">
        <f aca="false">D57/P$3</f>
        <v>-0.000151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-3.366</v>
      </c>
      <c r="T57" s="114" t="n">
        <f aca="false">L57/$R$3</f>
        <v>-0</v>
      </c>
      <c r="U57" s="114" t="n">
        <f aca="false">I57/$R$3</f>
        <v>-5.198</v>
      </c>
      <c r="V57" s="114" t="n">
        <f aca="false">M57/$R$3</f>
        <v>-6.747</v>
      </c>
      <c r="W57" s="114" t="n">
        <f aca="false">N57/$R$3</f>
        <v>-6.747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INDEX('[4]Master Data'!$A$2:$B$8,MATCH(WEEKDAY('TBS Gas MTM'!A58,3),'[4]Master Data'!$A$2:$A$8,0),2)</f>
        <v>Th</v>
      </c>
      <c r="D58" s="112" t="n">
        <v>-151</v>
      </c>
      <c r="E58" s="112" t="n">
        <v>0</v>
      </c>
      <c r="F58" s="112" t="n">
        <v>0</v>
      </c>
      <c r="G58" s="112" t="n">
        <v>-5190</v>
      </c>
      <c r="I58" s="112" t="n">
        <f aca="false">IF(MONTH($A58)=MONTH($A57),IF(G58=0,I57,G58),G58)</f>
        <v>-5190</v>
      </c>
      <c r="J58" s="112" t="n">
        <f aca="false">IF(MONTH($A58)=MONTH($A57),SUM(I58-I57),I58)</f>
        <v>8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-6739</v>
      </c>
      <c r="N58" s="112" t="n">
        <f aca="false">SUM(J$6:J58)</f>
        <v>-6739</v>
      </c>
      <c r="P58" s="112" t="n">
        <f aca="false">D58/P$3</f>
        <v>-0.000151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0.008</v>
      </c>
      <c r="T58" s="114" t="n">
        <f aca="false">L58/$R$3</f>
        <v>0</v>
      </c>
      <c r="U58" s="114" t="n">
        <f aca="false">I58/$R$3</f>
        <v>-5.19</v>
      </c>
      <c r="V58" s="114" t="n">
        <f aca="false">M58/$R$3</f>
        <v>-6.739</v>
      </c>
      <c r="W58" s="114" t="n">
        <f aca="false">N58/$R$3</f>
        <v>-6.739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INDEX('[4]Master Data'!$A$2:$B$8,MATCH(WEEKDAY('TBS Gas MTM'!A59,3),'[4]Master Data'!$A$2:$A$8,0),2)</f>
        <v>F</v>
      </c>
      <c r="D59" s="112" t="n">
        <v>-151.513400001917</v>
      </c>
      <c r="E59" s="112" t="n">
        <v>0</v>
      </c>
      <c r="F59" s="112" t="n">
        <v>0</v>
      </c>
      <c r="G59" s="112" t="n">
        <v>-5276</v>
      </c>
      <c r="I59" s="112" t="n">
        <f aca="false">IF(MONTH($A59)=MONTH($A58),IF(G59=0,I58,G59),G59)</f>
        <v>-5276</v>
      </c>
      <c r="J59" s="112" t="n">
        <f aca="false">IF(MONTH($A59)=MONTH($A58),SUM(I59-I58),I59)</f>
        <v>-86</v>
      </c>
      <c r="K59" s="112" t="n">
        <f aca="false">IF(WEEKDAY(A59,3)&gt;4,0,(IF(A59&lt;K$2,0,IF(A59&lt;=K$3,1,0))))</f>
        <v>0</v>
      </c>
      <c r="L59" s="112" t="n">
        <f aca="false">J59*K59</f>
        <v>-0</v>
      </c>
      <c r="M59" s="112" t="n">
        <f aca="false">SUM(J$6:J59)</f>
        <v>-6825</v>
      </c>
      <c r="N59" s="112" t="n">
        <f aca="false">SUM(J$6:J59)</f>
        <v>-6825</v>
      </c>
      <c r="P59" s="112" t="n">
        <f aca="false">D59/P$3</f>
        <v>-0.000151513400001917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-0.086</v>
      </c>
      <c r="T59" s="114" t="n">
        <f aca="false">L59/$R$3</f>
        <v>-0</v>
      </c>
      <c r="U59" s="114" t="n">
        <f aca="false">I59/$R$3</f>
        <v>-5.276</v>
      </c>
      <c r="V59" s="114" t="n">
        <f aca="false">M59/$R$3</f>
        <v>-6.825</v>
      </c>
      <c r="W59" s="114" t="n">
        <f aca="false">N59/$R$3</f>
        <v>-6.825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INDEX('[4]Master Data'!$A$2:$B$8,MATCH(WEEKDAY('TBS Gas MTM'!A60,3),'[4]Master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-5276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-6825</v>
      </c>
      <c r="N60" s="112" t="n">
        <f aca="false">SUM(J$6:J60)</f>
        <v>-6825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-5.276</v>
      </c>
      <c r="V60" s="114" t="n">
        <f aca="false">M60/$R$3</f>
        <v>-6.825</v>
      </c>
      <c r="W60" s="114" t="n">
        <f aca="false">N60/$R$3</f>
        <v>-6.825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INDEX('[4]Master Data'!$A$2:$B$8,MATCH(WEEKDAY('TBS Gas MTM'!A61,3),'[4]Master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-5276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-6825</v>
      </c>
      <c r="N61" s="112" t="n">
        <f aca="false">SUM(J$6:J61)</f>
        <v>-6825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-5.276</v>
      </c>
      <c r="V61" s="114" t="n">
        <f aca="false">M61/$R$3</f>
        <v>-6.825</v>
      </c>
      <c r="W61" s="114" t="n">
        <f aca="false">N61/$R$3</f>
        <v>-6.825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INDEX('[4]Master Data'!$A$2:$B$8,MATCH(WEEKDAY('TBS Gas MTM'!A62,3),'[4]Master Data'!$A$2:$A$8,0),2)</f>
        <v>M</v>
      </c>
      <c r="D62" s="112" t="n">
        <v>-151.60660000192</v>
      </c>
      <c r="E62" s="112" t="n">
        <v>0</v>
      </c>
      <c r="F62" s="112" t="n">
        <v>0</v>
      </c>
      <c r="G62" s="112" t="n">
        <v>-5483</v>
      </c>
      <c r="I62" s="112" t="n">
        <f aca="false">IF(MONTH($A62)=MONTH($A61),IF(G62=0,I61,G62),G62)</f>
        <v>-5483</v>
      </c>
      <c r="J62" s="112" t="n">
        <f aca="false">IF(MONTH($A62)=MONTH($A61),SUM(I62-I61),I62)</f>
        <v>-207</v>
      </c>
      <c r="K62" s="112" t="n">
        <f aca="false">IF(WEEKDAY(A62,3)&gt;4,0,(IF(A62&lt;K$2,0,IF(A62&lt;=K$3,1,0))))</f>
        <v>0</v>
      </c>
      <c r="L62" s="112" t="n">
        <f aca="false">J62*K62</f>
        <v>-0</v>
      </c>
      <c r="M62" s="112" t="n">
        <f aca="false">SUM(J$6:J62)</f>
        <v>-7032</v>
      </c>
      <c r="N62" s="112" t="n">
        <f aca="false">SUM(J$6:J62)</f>
        <v>-7032</v>
      </c>
      <c r="P62" s="112" t="n">
        <f aca="false">D62/P$3</f>
        <v>-0.00015160660000192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-0.207</v>
      </c>
      <c r="T62" s="114" t="n">
        <f aca="false">L62/$R$3</f>
        <v>-0</v>
      </c>
      <c r="U62" s="114" t="n">
        <f aca="false">I62/$R$3</f>
        <v>-5.483</v>
      </c>
      <c r="V62" s="114" t="n">
        <f aca="false">M62/$R$3</f>
        <v>-7.032</v>
      </c>
      <c r="W62" s="114" t="n">
        <f aca="false">N62/$R$3</f>
        <v>-7.032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INDEX('[4]Master Data'!$A$2:$B$8,MATCH(WEEKDAY('TBS Gas MTM'!A63,3),'[4]Master Data'!$A$2:$A$8,0),2)</f>
        <v>T</v>
      </c>
      <c r="D63" s="112" t="n">
        <v>-151.60660000192</v>
      </c>
      <c r="E63" s="112" t="n">
        <v>0</v>
      </c>
      <c r="F63" s="112" t="n">
        <v>0</v>
      </c>
      <c r="G63" s="112" t="n">
        <v>-5593</v>
      </c>
      <c r="I63" s="112" t="n">
        <f aca="false">IF(MONTH($A63)=MONTH($A62),IF(G63=0,I62,G63),G63)</f>
        <v>-5593</v>
      </c>
      <c r="J63" s="112" t="n">
        <f aca="false">IF(MONTH($A63)=MONTH($A62),SUM(I63-I62),I63)</f>
        <v>-110</v>
      </c>
      <c r="K63" s="112" t="n">
        <f aca="false">IF(WEEKDAY(A63,3)&gt;4,0,(IF(A63&lt;K$2,0,IF(A63&lt;=K$3,1,0))))</f>
        <v>0</v>
      </c>
      <c r="L63" s="112" t="n">
        <f aca="false">J63*K63</f>
        <v>-0</v>
      </c>
      <c r="M63" s="112" t="n">
        <f aca="false">SUM(J$6:J63)</f>
        <v>-7142</v>
      </c>
      <c r="N63" s="112" t="n">
        <f aca="false">SUM(J$6:J63)</f>
        <v>-7142</v>
      </c>
      <c r="P63" s="112" t="n">
        <f aca="false">D63/P$3</f>
        <v>-0.00015160660000192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-0.11</v>
      </c>
      <c r="T63" s="114" t="n">
        <f aca="false">L63/$R$3</f>
        <v>-0</v>
      </c>
      <c r="U63" s="114" t="n">
        <f aca="false">I63/$R$3</f>
        <v>-5.593</v>
      </c>
      <c r="V63" s="114" t="n">
        <f aca="false">M63/$R$3</f>
        <v>-7.142</v>
      </c>
      <c r="W63" s="114" t="n">
        <f aca="false">N63/$R$3</f>
        <v>-7.142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INDEX('[4]Master Data'!$A$2:$B$8,MATCH(WEEKDAY('TBS Gas MTM'!A64,3),'[4]Master Data'!$A$2:$A$8,0),2)</f>
        <v>W</v>
      </c>
      <c r="D64" s="112" t="n">
        <v>-151.60660000192</v>
      </c>
      <c r="E64" s="112" t="n">
        <v>0</v>
      </c>
      <c r="F64" s="112" t="n">
        <v>0</v>
      </c>
      <c r="G64" s="112" t="n">
        <v>-5685</v>
      </c>
      <c r="I64" s="112" t="n">
        <f aca="false">IF(MONTH($A64)=MONTH($A63),IF(G64=0,I63,G64),G64)</f>
        <v>-5685</v>
      </c>
      <c r="J64" s="112" t="n">
        <f aca="false">IF(MONTH($A64)=MONTH($A63),SUM(I64-I63),I64)</f>
        <v>-92</v>
      </c>
      <c r="K64" s="112" t="n">
        <f aca="false">IF(WEEKDAY(A64,3)&gt;4,0,(IF(A64&lt;K$2,0,IF(A64&lt;=K$3,1,0))))</f>
        <v>0</v>
      </c>
      <c r="L64" s="112" t="n">
        <f aca="false">J64*K64</f>
        <v>-0</v>
      </c>
      <c r="M64" s="112" t="n">
        <f aca="false">SUM(J$6:J64)</f>
        <v>-7234</v>
      </c>
      <c r="N64" s="112" t="n">
        <f aca="false">SUM(J$6:J64)</f>
        <v>-7234</v>
      </c>
      <c r="P64" s="112" t="n">
        <f aca="false">D64/P$3</f>
        <v>-0.00015160660000192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-0.092</v>
      </c>
      <c r="T64" s="114" t="n">
        <f aca="false">L64/$R$3</f>
        <v>-0</v>
      </c>
      <c r="U64" s="114" t="n">
        <f aca="false">I64/$R$3</f>
        <v>-5.685</v>
      </c>
      <c r="V64" s="114" t="n">
        <f aca="false">M64/$R$3</f>
        <v>-7.234</v>
      </c>
      <c r="W64" s="114" t="n">
        <f aca="false">N64/$R$3</f>
        <v>-7.234</v>
      </c>
    </row>
    <row r="65" customFormat="false" ht="12.75" hidden="false" customHeight="false" outlineLevel="0" collapsed="false">
      <c r="A65" s="108" t="n">
        <f aca="false">A64+1</f>
        <v>36951</v>
      </c>
      <c r="B65" s="119" t="str">
        <f aca="false">INDEX('[4]Master Data'!$A$2:$B$8,MATCH(WEEKDAY('TBS Gas MTM'!A65,3),'[4]Master Data'!$A$2:$A$8,0),2)</f>
        <v>Th</v>
      </c>
      <c r="D65" s="112" t="n">
        <v>-151.681000000332</v>
      </c>
      <c r="E65" s="112" t="n">
        <v>0</v>
      </c>
      <c r="F65" s="112" t="n">
        <v>0</v>
      </c>
      <c r="G65" s="112" t="n">
        <v>-31</v>
      </c>
      <c r="I65" s="112" t="n">
        <f aca="false">IF(MONTH($A65)=MONTH($A64),IF(G65=0,I64,G65),G65)</f>
        <v>-31</v>
      </c>
      <c r="J65" s="112" t="n">
        <f aca="false">IF(MONTH($A65)=MONTH($A64),SUM(I65-I64),I65)</f>
        <v>-31</v>
      </c>
      <c r="K65" s="112" t="n">
        <f aca="false">IF(WEEKDAY(A65,3)&gt;4,0,(IF(A65&lt;K$2,0,IF(A65&lt;=K$3,1,0))))</f>
        <v>0</v>
      </c>
      <c r="L65" s="112" t="n">
        <f aca="false">J65*K65</f>
        <v>-0</v>
      </c>
      <c r="M65" s="112" t="n">
        <f aca="false">SUM(J$6:J65)</f>
        <v>-7265</v>
      </c>
      <c r="N65" s="112" t="n">
        <f aca="false">SUM(J$6:J65)</f>
        <v>-7265</v>
      </c>
      <c r="P65" s="112" t="n">
        <f aca="false">D65/P$3</f>
        <v>-0.000151681000000332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-0.031</v>
      </c>
      <c r="T65" s="114" t="n">
        <f aca="false">L65/$R$3</f>
        <v>-0</v>
      </c>
      <c r="U65" s="114" t="n">
        <f aca="false">I65/$R$3</f>
        <v>-0.031</v>
      </c>
      <c r="V65" s="114" t="n">
        <f aca="false">M65/$R$3</f>
        <v>-7.265</v>
      </c>
      <c r="W65" s="114" t="n">
        <f aca="false">N65/$R$3</f>
        <v>-7.265</v>
      </c>
    </row>
    <row r="66" customFormat="false" ht="12.75" hidden="false" customHeight="false" outlineLevel="0" collapsed="false">
      <c r="A66" s="108" t="n">
        <f aca="false">A65+1</f>
        <v>36952</v>
      </c>
      <c r="B66" s="119" t="str">
        <f aca="false">INDEX('[4]Master Data'!$A$2:$B$8,MATCH(WEEKDAY('TBS Gas MTM'!A66,3),'[4]Master Data'!$A$2:$A$8,0),2)</f>
        <v>F</v>
      </c>
      <c r="D66" s="112" t="n">
        <v>-151.681000000332</v>
      </c>
      <c r="E66" s="112" t="n">
        <v>0</v>
      </c>
      <c r="F66" s="112" t="n">
        <v>0</v>
      </c>
      <c r="G66" s="112" t="n">
        <v>55</v>
      </c>
      <c r="I66" s="112" t="n">
        <f aca="false">IF(MONTH($A66)=MONTH($A65),IF(G66=0,I65,G66),G66)</f>
        <v>55</v>
      </c>
      <c r="J66" s="112" t="n">
        <f aca="false">IF(MONTH($A66)=MONTH($A65),SUM(I66-I65),I66)</f>
        <v>86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-7179</v>
      </c>
      <c r="N66" s="112" t="n">
        <f aca="false">SUM(J$6:J66)</f>
        <v>-7179</v>
      </c>
      <c r="P66" s="112" t="n">
        <f aca="false">D66/P$3</f>
        <v>-0.000151681000000332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0.086</v>
      </c>
      <c r="T66" s="114" t="n">
        <f aca="false">L66/$R$3</f>
        <v>0</v>
      </c>
      <c r="U66" s="114" t="n">
        <f aca="false">I66/$R$3</f>
        <v>0.055</v>
      </c>
      <c r="V66" s="114" t="n">
        <f aca="false">M66/$R$3</f>
        <v>-7.179</v>
      </c>
      <c r="W66" s="114" t="n">
        <f aca="false">N66/$R$3</f>
        <v>-7.179</v>
      </c>
    </row>
    <row r="67" customFormat="false" ht="12.75" hidden="false" customHeight="false" outlineLevel="0" collapsed="false">
      <c r="A67" s="108" t="n">
        <f aca="false">A66+1</f>
        <v>36953</v>
      </c>
      <c r="B67" s="119" t="str">
        <f aca="false">INDEX('[4]Master Data'!$A$2:$B$8,MATCH(WEEKDAY('TBS Gas MTM'!A67,3),'[4]Master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55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-7179</v>
      </c>
      <c r="N67" s="112" t="n">
        <f aca="false">SUM(J$6:J67)</f>
        <v>-7179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0.055</v>
      </c>
      <c r="V67" s="114" t="n">
        <f aca="false">M67/$R$3</f>
        <v>-7.179</v>
      </c>
      <c r="W67" s="114" t="n">
        <f aca="false">N67/$R$3</f>
        <v>-7.179</v>
      </c>
    </row>
    <row r="68" customFormat="false" ht="12.75" hidden="false" customHeight="false" outlineLevel="0" collapsed="false">
      <c r="A68" s="108" t="n">
        <f aca="false">A67+1</f>
        <v>36954</v>
      </c>
      <c r="B68" s="119" t="str">
        <f aca="false">INDEX('[4]Master Data'!$A$2:$B$8,MATCH(WEEKDAY('TBS Gas MTM'!A68,3),'[4]Master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55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-7179</v>
      </c>
      <c r="N68" s="112" t="n">
        <f aca="false">SUM(J$6:J68)</f>
        <v>-7179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0.055</v>
      </c>
      <c r="V68" s="114" t="n">
        <f aca="false">M68/$R$3</f>
        <v>-7.179</v>
      </c>
      <c r="W68" s="114" t="n">
        <f aca="false">N68/$R$3</f>
        <v>-7.179</v>
      </c>
    </row>
    <row r="69" customFormat="false" ht="12.75" hidden="false" customHeight="false" outlineLevel="0" collapsed="false">
      <c r="A69" s="108" t="n">
        <f aca="false">A68+1</f>
        <v>36955</v>
      </c>
      <c r="B69" s="119" t="str">
        <f aca="false">INDEX('[4]Master Data'!$A$2:$B$8,MATCH(WEEKDAY('TBS Gas MTM'!A69,3),'[4]Master Data'!$A$2:$A$8,0),2)</f>
        <v>M</v>
      </c>
      <c r="D69" s="112" t="n">
        <v>-151.681000000332</v>
      </c>
      <c r="E69" s="112" t="n">
        <v>0</v>
      </c>
      <c r="F69" s="112" t="n">
        <v>0</v>
      </c>
      <c r="G69" s="112" t="n">
        <v>57</v>
      </c>
      <c r="I69" s="112" t="n">
        <f aca="false">IF(MONTH($A69)=MONTH($A68),IF(G69=0,I68,G69),G69)</f>
        <v>57</v>
      </c>
      <c r="J69" s="112" t="n">
        <f aca="false">IF(MONTH($A69)=MONTH($A68),SUM(I69-I68),I69)</f>
        <v>2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-7177</v>
      </c>
      <c r="N69" s="112" t="n">
        <f aca="false">SUM(J$6:J69)</f>
        <v>-7177</v>
      </c>
      <c r="P69" s="112" t="n">
        <f aca="false">D69/P$3</f>
        <v>-0.000151681000000332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0.002</v>
      </c>
      <c r="T69" s="114" t="n">
        <f aca="false">L69/$R$3</f>
        <v>0</v>
      </c>
      <c r="U69" s="114" t="n">
        <f aca="false">I69/$R$3</f>
        <v>0.057</v>
      </c>
      <c r="V69" s="114" t="n">
        <f aca="false">M69/$R$3</f>
        <v>-7.177</v>
      </c>
      <c r="W69" s="114" t="n">
        <f aca="false">N69/$R$3</f>
        <v>-7.177</v>
      </c>
    </row>
    <row r="70" customFormat="false" ht="12.75" hidden="false" customHeight="false" outlineLevel="0" collapsed="false">
      <c r="A70" s="108" t="n">
        <f aca="false">A69+1</f>
        <v>36956</v>
      </c>
      <c r="B70" s="119" t="str">
        <f aca="false">INDEX('[4]Master Data'!$A$2:$B$8,MATCH(WEEKDAY('TBS Gas MTM'!A70,3),'[4]Master Data'!$A$2:$A$8,0),2)</f>
        <v>T</v>
      </c>
      <c r="D70" s="112" t="n">
        <v>-151.681000000332</v>
      </c>
      <c r="E70" s="112" t="n">
        <v>0</v>
      </c>
      <c r="F70" s="112" t="n">
        <v>0</v>
      </c>
      <c r="G70" s="112" t="n">
        <v>96</v>
      </c>
      <c r="I70" s="112" t="n">
        <f aca="false">IF(MONTH($A70)=MONTH($A69),IF(G70=0,I69,G70),G70)</f>
        <v>96</v>
      </c>
      <c r="J70" s="112" t="n">
        <f aca="false">IF(MONTH($A70)=MONTH($A69),SUM(I70-I69),I70)</f>
        <v>39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-7138</v>
      </c>
      <c r="N70" s="112" t="n">
        <f aca="false">SUM(J$6:J70)</f>
        <v>-7138</v>
      </c>
      <c r="P70" s="112" t="n">
        <f aca="false">D70/P$3</f>
        <v>-0.000151681000000332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0.039</v>
      </c>
      <c r="T70" s="114" t="n">
        <f aca="false">L70/$R$3</f>
        <v>0</v>
      </c>
      <c r="U70" s="114" t="n">
        <f aca="false">I70/$R$3</f>
        <v>0.096</v>
      </c>
      <c r="V70" s="114" t="n">
        <f aca="false">M70/$R$3</f>
        <v>-7.138</v>
      </c>
      <c r="W70" s="114" t="n">
        <f aca="false">N70/$R$3</f>
        <v>-7.138</v>
      </c>
    </row>
    <row r="71" customFormat="false" ht="12.75" hidden="false" customHeight="false" outlineLevel="0" collapsed="false">
      <c r="A71" s="108" t="n">
        <f aca="false">A70+1</f>
        <v>36957</v>
      </c>
      <c r="B71" s="119" t="str">
        <f aca="false">INDEX('[4]Master Data'!$A$2:$B$8,MATCH(WEEKDAY('TBS Gas MTM'!A71,3),'[4]Master Data'!$A$2:$A$8,0),2)</f>
        <v>W</v>
      </c>
      <c r="D71" s="112" t="n">
        <v>-151.681000000332</v>
      </c>
      <c r="E71" s="112" t="n">
        <v>0</v>
      </c>
      <c r="F71" s="112" t="n">
        <v>0</v>
      </c>
      <c r="G71" s="112" t="n">
        <v>31</v>
      </c>
      <c r="I71" s="112" t="n">
        <f aca="false">IF(MONTH($A71)=MONTH($A70),IF(G71=0,I70,G71),G71)</f>
        <v>31</v>
      </c>
      <c r="J71" s="112" t="n">
        <f aca="false">IF(MONTH($A71)=MONTH($A70),SUM(I71-I70),I71)</f>
        <v>-65</v>
      </c>
      <c r="K71" s="112" t="n">
        <f aca="false">IF(WEEKDAY(A71,3)&gt;4,0,(IF(A71&lt;K$2,0,IF(A71&lt;=K$3,1,0))))</f>
        <v>0</v>
      </c>
      <c r="L71" s="112" t="n">
        <f aca="false">J71*K71</f>
        <v>-0</v>
      </c>
      <c r="M71" s="112" t="n">
        <f aca="false">SUM(J$6:J71)</f>
        <v>-7203</v>
      </c>
      <c r="N71" s="112" t="n">
        <f aca="false">SUM(J$6:J71)</f>
        <v>-7203</v>
      </c>
      <c r="P71" s="112" t="n">
        <f aca="false">D71/P$3</f>
        <v>-0.000151681000000332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-0.065</v>
      </c>
      <c r="T71" s="114" t="n">
        <f aca="false">L71/$R$3</f>
        <v>-0</v>
      </c>
      <c r="U71" s="114" t="n">
        <f aca="false">I71/$R$3</f>
        <v>0.031</v>
      </c>
      <c r="V71" s="114" t="n">
        <f aca="false">M71/$R$3</f>
        <v>-7.203</v>
      </c>
      <c r="W71" s="114" t="n">
        <f aca="false">N71/$R$3</f>
        <v>-7.203</v>
      </c>
    </row>
    <row r="72" customFormat="false" ht="12.75" hidden="false" customHeight="false" outlineLevel="0" collapsed="false">
      <c r="A72" s="108" t="n">
        <f aca="false">A71+1</f>
        <v>36958</v>
      </c>
      <c r="B72" s="119" t="str">
        <f aca="false">INDEX('[4]Master Data'!$A$2:$B$8,MATCH(WEEKDAY('TBS Gas MTM'!A72,3),'[4]Master Data'!$A$2:$A$8,0),2)</f>
        <v>Th</v>
      </c>
      <c r="D72" s="112" t="n">
        <v>-151.804299999494</v>
      </c>
      <c r="E72" s="112" t="n">
        <v>0</v>
      </c>
      <c r="F72" s="112" t="n">
        <v>0</v>
      </c>
      <c r="G72" s="112" t="n">
        <v>15</v>
      </c>
      <c r="I72" s="112" t="n">
        <f aca="false">IF(MONTH($A72)=MONTH($A71),IF(G72=0,I71,G72),G72)</f>
        <v>15</v>
      </c>
      <c r="J72" s="112" t="n">
        <f aca="false">IF(MONTH($A72)=MONTH($A71),SUM(I72-I71),I72)</f>
        <v>-16</v>
      </c>
      <c r="K72" s="112" t="n">
        <f aca="false">IF(WEEKDAY(A72,3)&gt;4,0,(IF(A72&lt;K$2,0,IF(A72&lt;=K$3,1,0))))</f>
        <v>0</v>
      </c>
      <c r="L72" s="112" t="n">
        <f aca="false">J72*K72</f>
        <v>-0</v>
      </c>
      <c r="M72" s="112" t="n">
        <f aca="false">SUM(J$6:J72)</f>
        <v>-7219</v>
      </c>
      <c r="N72" s="112" t="n">
        <f aca="false">SUM(J$6:J72)</f>
        <v>-7219</v>
      </c>
      <c r="P72" s="112" t="n">
        <f aca="false">D72/P$3</f>
        <v>-0.000151804299999494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-0.016</v>
      </c>
      <c r="T72" s="114" t="n">
        <f aca="false">L72/$R$3</f>
        <v>-0</v>
      </c>
      <c r="U72" s="114" t="n">
        <f aca="false">I72/$R$3</f>
        <v>0.015</v>
      </c>
      <c r="V72" s="114" t="n">
        <f aca="false">M72/$R$3</f>
        <v>-7.219</v>
      </c>
      <c r="W72" s="114" t="n">
        <f aca="false">N72/$R$3</f>
        <v>-7.219</v>
      </c>
    </row>
    <row r="73" customFormat="false" ht="12.75" hidden="false" customHeight="false" outlineLevel="0" collapsed="false">
      <c r="A73" s="108" t="n">
        <f aca="false">A72+1</f>
        <v>36959</v>
      </c>
      <c r="B73" s="119" t="str">
        <f aca="false">INDEX('[4]Master Data'!$A$2:$B$8,MATCH(WEEKDAY('TBS Gas MTM'!A73,3),'[4]Master Data'!$A$2:$A$8,0),2)</f>
        <v>F</v>
      </c>
      <c r="D73" s="112" t="n">
        <v>-152</v>
      </c>
      <c r="E73" s="112" t="n">
        <v>0</v>
      </c>
      <c r="F73" s="112" t="n">
        <v>0</v>
      </c>
      <c r="G73" s="112" t="n">
        <v>-25</v>
      </c>
      <c r="I73" s="112" t="n">
        <f aca="false">IF(MONTH($A73)=MONTH($A72),IF(G73=0,I72,G73),G73)</f>
        <v>-25</v>
      </c>
      <c r="J73" s="112" t="n">
        <f aca="false">IF(MONTH($A73)=MONTH($A72),SUM(I73-I72),I73)</f>
        <v>-40</v>
      </c>
      <c r="K73" s="112" t="n">
        <f aca="false">IF(WEEKDAY(A73,3)&gt;4,0,(IF(A73&lt;K$2,0,IF(A73&lt;=K$3,1,0))))</f>
        <v>0</v>
      </c>
      <c r="L73" s="112" t="n">
        <f aca="false">J73*K73</f>
        <v>-0</v>
      </c>
      <c r="M73" s="112" t="n">
        <f aca="false">SUM(J$6:J73)</f>
        <v>-7259</v>
      </c>
      <c r="N73" s="112" t="n">
        <f aca="false">SUM(J$6:J73)</f>
        <v>-7259</v>
      </c>
      <c r="P73" s="112" t="n">
        <f aca="false">D73/P$3</f>
        <v>-0.000152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-0.04</v>
      </c>
      <c r="T73" s="114" t="n">
        <f aca="false">L73/$R$3</f>
        <v>-0</v>
      </c>
      <c r="U73" s="114" t="n">
        <f aca="false">I73/$R$3</f>
        <v>-0.025</v>
      </c>
      <c r="V73" s="114" t="n">
        <f aca="false">M73/$R$3</f>
        <v>-7.259</v>
      </c>
      <c r="W73" s="114" t="n">
        <f aca="false">N73/$R$3</f>
        <v>-7.259</v>
      </c>
    </row>
    <row r="74" customFormat="false" ht="12.75" hidden="false" customHeight="false" outlineLevel="0" collapsed="false">
      <c r="A74" s="108" t="n">
        <f aca="false">A73+1</f>
        <v>36960</v>
      </c>
      <c r="B74" s="119" t="str">
        <f aca="false">INDEX('[4]Master Data'!$A$2:$B$8,MATCH(WEEKDAY('TBS Gas MTM'!A74,3),'[4]Master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-25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-7259</v>
      </c>
      <c r="N74" s="112" t="n">
        <f aca="false">SUM(J$6:J74)</f>
        <v>-7259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-0.025</v>
      </c>
      <c r="V74" s="114" t="n">
        <f aca="false">M74/$R$3</f>
        <v>-7.259</v>
      </c>
      <c r="W74" s="114" t="n">
        <f aca="false">N74/$R$3</f>
        <v>-7.259</v>
      </c>
    </row>
    <row r="75" customFormat="false" ht="12.75" hidden="false" customHeight="false" outlineLevel="0" collapsed="false">
      <c r="A75" s="108" t="n">
        <f aca="false">A74+1</f>
        <v>36961</v>
      </c>
      <c r="B75" s="119" t="str">
        <f aca="false">INDEX('[4]Master Data'!$A$2:$B$8,MATCH(WEEKDAY('TBS Gas MTM'!A75,3),'[4]Master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-25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-7259</v>
      </c>
      <c r="N75" s="112" t="n">
        <f aca="false">SUM(J$6:J75)</f>
        <v>-7259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-0.025</v>
      </c>
      <c r="V75" s="114" t="n">
        <f aca="false">M75/$R$3</f>
        <v>-7.259</v>
      </c>
      <c r="W75" s="114" t="n">
        <f aca="false">N75/$R$3</f>
        <v>-7.259</v>
      </c>
    </row>
    <row r="76" customFormat="false" ht="12.75" hidden="false" customHeight="false" outlineLevel="0" collapsed="false">
      <c r="A76" s="108" t="n">
        <f aca="false">A75+1</f>
        <v>36962</v>
      </c>
      <c r="B76" s="119" t="str">
        <f aca="false">INDEX('[4]Master Data'!$A$2:$B$8,MATCH(WEEKDAY('TBS Gas MTM'!A76,3),'[4]Master Data'!$A$2:$A$8,0),2)</f>
        <v>M</v>
      </c>
      <c r="D76" s="112" t="n">
        <v>-152</v>
      </c>
      <c r="E76" s="112" t="n">
        <v>0</v>
      </c>
      <c r="F76" s="112" t="n">
        <v>0</v>
      </c>
      <c r="G76" s="112" t="n">
        <v>-86</v>
      </c>
      <c r="I76" s="112" t="n">
        <f aca="false">IF(MONTH($A76)=MONTH($A75),IF(G76=0,I75,G76),G76)</f>
        <v>-86</v>
      </c>
      <c r="J76" s="112" t="n">
        <f aca="false">IF(MONTH($A76)=MONTH($A75),SUM(I76-I75),I76)</f>
        <v>-61</v>
      </c>
      <c r="K76" s="112" t="n">
        <f aca="false">IF(WEEKDAY(A76,3)&gt;4,0,(IF(A76&lt;K$2,0,IF(A76&lt;=K$3,1,0))))</f>
        <v>0</v>
      </c>
      <c r="L76" s="112" t="n">
        <f aca="false">J76*K76</f>
        <v>-0</v>
      </c>
      <c r="M76" s="112" t="n">
        <f aca="false">SUM(J$6:J76)</f>
        <v>-7320</v>
      </c>
      <c r="N76" s="112" t="n">
        <f aca="false">SUM(J$6:J76)</f>
        <v>-7320</v>
      </c>
      <c r="P76" s="112" t="n">
        <f aca="false">D76/P$3</f>
        <v>-0.000152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-0.061</v>
      </c>
      <c r="T76" s="114" t="n">
        <f aca="false">L76/$R$3</f>
        <v>-0</v>
      </c>
      <c r="U76" s="114" t="n">
        <f aca="false">I76/$R$3</f>
        <v>-0.086</v>
      </c>
      <c r="V76" s="114" t="n">
        <f aca="false">M76/$R$3</f>
        <v>-7.32</v>
      </c>
      <c r="W76" s="114" t="n">
        <f aca="false">N76/$R$3</f>
        <v>-7.32</v>
      </c>
    </row>
    <row r="77" customFormat="false" ht="12.75" hidden="false" customHeight="false" outlineLevel="0" collapsed="false">
      <c r="A77" s="108" t="n">
        <f aca="false">A76+1</f>
        <v>36963</v>
      </c>
      <c r="B77" s="119" t="str">
        <f aca="false">INDEX('[4]Master Data'!$A$2:$B$8,MATCH(WEEKDAY('TBS Gas MTM'!A77,3),'[4]Master Data'!$A$2:$A$8,0),2)</f>
        <v>T</v>
      </c>
      <c r="D77" s="112" t="n">
        <v>-152</v>
      </c>
      <c r="E77" s="112" t="n">
        <v>0</v>
      </c>
      <c r="F77" s="112" t="n">
        <v>0</v>
      </c>
      <c r="G77" s="112" t="n">
        <v>-34</v>
      </c>
      <c r="I77" s="112" t="n">
        <f aca="false">IF(MONTH($A77)=MONTH($A76),IF(G77=0,I76,G77),G77)</f>
        <v>-34</v>
      </c>
      <c r="J77" s="112" t="n">
        <f aca="false">IF(MONTH($A77)=MONTH($A76),SUM(I77-I76),I77)</f>
        <v>52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-7268</v>
      </c>
      <c r="N77" s="112" t="n">
        <f aca="false">SUM(J$6:J77)</f>
        <v>-7268</v>
      </c>
      <c r="P77" s="112" t="n">
        <f aca="false">D77/P$3</f>
        <v>-0.000152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0.052</v>
      </c>
      <c r="T77" s="114" t="n">
        <f aca="false">L77/$R$3</f>
        <v>0</v>
      </c>
      <c r="U77" s="114" t="n">
        <f aca="false">I77/$R$3</f>
        <v>-0.034</v>
      </c>
      <c r="V77" s="114" t="n">
        <f aca="false">M77/$R$3</f>
        <v>-7.268</v>
      </c>
      <c r="W77" s="114" t="n">
        <f aca="false">N77/$R$3</f>
        <v>-7.268</v>
      </c>
    </row>
    <row r="78" customFormat="false" ht="12.75" hidden="false" customHeight="false" outlineLevel="0" collapsed="false">
      <c r="A78" s="108" t="n">
        <f aca="false">A77+1</f>
        <v>36964</v>
      </c>
      <c r="B78" s="119" t="str">
        <f aca="false">INDEX('[4]Master Data'!$A$2:$B$8,MATCH(WEEKDAY('TBS Gas MTM'!A78,3),'[4]Master Data'!$A$2:$A$8,0),2)</f>
        <v>W</v>
      </c>
      <c r="D78" s="112" t="n">
        <v>-152</v>
      </c>
      <c r="E78" s="112" t="n">
        <v>0</v>
      </c>
      <c r="F78" s="112" t="n">
        <v>0</v>
      </c>
      <c r="G78" s="112" t="n">
        <v>-189</v>
      </c>
      <c r="I78" s="112" t="n">
        <f aca="false">IF(MONTH($A78)=MONTH($A77),IF(G78=0,I77,G78),G78)</f>
        <v>-189</v>
      </c>
      <c r="J78" s="112" t="n">
        <f aca="false">IF(MONTH($A78)=MONTH($A77),SUM(I78-I77),I78)</f>
        <v>-155</v>
      </c>
      <c r="K78" s="112" t="n">
        <f aca="false">IF(WEEKDAY(A78,3)&gt;4,0,(IF(A78&lt;K$2,0,IF(A78&lt;=K$3,1,0))))</f>
        <v>0</v>
      </c>
      <c r="L78" s="112" t="n">
        <f aca="false">J78*K78</f>
        <v>-0</v>
      </c>
      <c r="M78" s="112" t="n">
        <f aca="false">SUM(J$6:J78)</f>
        <v>-7423</v>
      </c>
      <c r="N78" s="112" t="n">
        <f aca="false">SUM(J$6:J78)</f>
        <v>-7423</v>
      </c>
      <c r="P78" s="112" t="n">
        <f aca="false">D78/P$3</f>
        <v>-0.000152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-0.155</v>
      </c>
      <c r="T78" s="114" t="n">
        <f aca="false">L78/$R$3</f>
        <v>-0</v>
      </c>
      <c r="U78" s="114" t="n">
        <f aca="false">I78/$R$3</f>
        <v>-0.189</v>
      </c>
      <c r="V78" s="114" t="n">
        <f aca="false">M78/$R$3</f>
        <v>-7.423</v>
      </c>
      <c r="W78" s="114" t="n">
        <f aca="false">N78/$R$3</f>
        <v>-7.423</v>
      </c>
    </row>
    <row r="79" customFormat="false" ht="12.75" hidden="false" customHeight="false" outlineLevel="0" collapsed="false">
      <c r="A79" s="108" t="n">
        <f aca="false">A78+1</f>
        <v>36965</v>
      </c>
      <c r="B79" s="119" t="str">
        <f aca="false">INDEX('[4]Master Data'!$A$2:$B$8,MATCH(WEEKDAY('TBS Gas MTM'!A79,3),'[4]Master Data'!$A$2:$A$8,0),2)</f>
        <v>Th</v>
      </c>
      <c r="D79" s="112" t="n">
        <v>-152</v>
      </c>
      <c r="E79" s="112" t="n">
        <v>0</v>
      </c>
      <c r="F79" s="112" t="n">
        <v>0</v>
      </c>
      <c r="G79" s="112" t="n">
        <v>-309</v>
      </c>
      <c r="I79" s="112" t="n">
        <f aca="false">IF(MONTH($A79)=MONTH($A78),IF(G79=0,I78,G79),G79)</f>
        <v>-309</v>
      </c>
      <c r="J79" s="112" t="n">
        <f aca="false">IF(MONTH($A79)=MONTH($A78),SUM(I79-I78),I79)</f>
        <v>-120</v>
      </c>
      <c r="K79" s="112" t="n">
        <f aca="false">IF(WEEKDAY(A79,3)&gt;4,0,(IF(A79&lt;K$2,0,IF(A79&lt;=K$3,1,0))))</f>
        <v>0</v>
      </c>
      <c r="L79" s="112" t="n">
        <f aca="false">J79*K79</f>
        <v>-0</v>
      </c>
      <c r="M79" s="112" t="n">
        <f aca="false">SUM(J$6:J79)</f>
        <v>-7543</v>
      </c>
      <c r="N79" s="112" t="n">
        <f aca="false">SUM(J$6:J79)</f>
        <v>-7543</v>
      </c>
      <c r="P79" s="112" t="n">
        <f aca="false">D79/P$3</f>
        <v>-0.000152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-0.12</v>
      </c>
      <c r="T79" s="114" t="n">
        <f aca="false">L79/$R$3</f>
        <v>-0</v>
      </c>
      <c r="U79" s="114" t="n">
        <f aca="false">I79/$R$3</f>
        <v>-0.309</v>
      </c>
      <c r="V79" s="114" t="n">
        <f aca="false">M79/$R$3</f>
        <v>-7.543</v>
      </c>
      <c r="W79" s="114" t="n">
        <f aca="false">N79/$R$3</f>
        <v>-7.543</v>
      </c>
    </row>
    <row r="80" customFormat="false" ht="12.75" hidden="false" customHeight="false" outlineLevel="0" collapsed="false">
      <c r="A80" s="108" t="n">
        <f aca="false">A79+1</f>
        <v>36966</v>
      </c>
      <c r="B80" s="119" t="str">
        <f aca="false">INDEX('[4]Master Data'!$A$2:$B$8,MATCH(WEEKDAY('TBS Gas MTM'!A80,3),'[4]Master Data'!$A$2:$A$8,0),2)</f>
        <v>F</v>
      </c>
      <c r="D80" s="112" t="n">
        <v>-152</v>
      </c>
      <c r="E80" s="112" t="n">
        <v>0</v>
      </c>
      <c r="F80" s="112" t="n">
        <v>0</v>
      </c>
      <c r="G80" s="112" t="n">
        <v>-336</v>
      </c>
      <c r="I80" s="112" t="n">
        <f aca="false">IF(MONTH($A80)=MONTH($A79),IF(G80=0,I79,G80),G80)</f>
        <v>-336</v>
      </c>
      <c r="J80" s="112" t="n">
        <f aca="false">IF(MONTH($A80)=MONTH($A79),SUM(I80-I79),I80)</f>
        <v>-27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-7570</v>
      </c>
      <c r="N80" s="112" t="n">
        <f aca="false">SUM(J$6:J80)</f>
        <v>-7570</v>
      </c>
      <c r="P80" s="112" t="n">
        <f aca="false">D80/P$3</f>
        <v>-0.000152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-0.027</v>
      </c>
      <c r="T80" s="114" t="n">
        <f aca="false">L80/$R$3</f>
        <v>-0</v>
      </c>
      <c r="U80" s="114" t="n">
        <f aca="false">I80/$R$3</f>
        <v>-0.336</v>
      </c>
      <c r="V80" s="114" t="n">
        <f aca="false">M80/$R$3</f>
        <v>-7.57</v>
      </c>
      <c r="W80" s="114" t="n">
        <f aca="false">N80/$R$3</f>
        <v>-7.57</v>
      </c>
    </row>
    <row r="81" customFormat="false" ht="12.75" hidden="false" customHeight="false" outlineLevel="0" collapsed="false">
      <c r="A81" s="108" t="n">
        <f aca="false">A80+1</f>
        <v>36967</v>
      </c>
      <c r="B81" s="119" t="str">
        <f aca="false">INDEX('[4]Master Data'!$A$2:$B$8,MATCH(WEEKDAY('TBS Gas MTM'!A81,3),'[4]Master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-336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-7570</v>
      </c>
      <c r="N81" s="112" t="n">
        <f aca="false">SUM(J$6:J81)</f>
        <v>-7570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-0.336</v>
      </c>
      <c r="V81" s="114" t="n">
        <f aca="false">M81/$R$3</f>
        <v>-7.57</v>
      </c>
      <c r="W81" s="114" t="n">
        <f aca="false">N81/$R$3</f>
        <v>-7.57</v>
      </c>
    </row>
    <row r="82" customFormat="false" ht="12.75" hidden="false" customHeight="false" outlineLevel="0" collapsed="false">
      <c r="A82" s="108" t="n">
        <f aca="false">A81+1</f>
        <v>36968</v>
      </c>
      <c r="B82" s="119" t="str">
        <f aca="false">INDEX('[4]Master Data'!$A$2:$B$8,MATCH(WEEKDAY('TBS Gas MTM'!A82,3),'[4]Master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-336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-7570</v>
      </c>
      <c r="N82" s="112" t="n">
        <f aca="false">SUM(J$6:J82)</f>
        <v>-7570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-0.336</v>
      </c>
      <c r="V82" s="114" t="n">
        <f aca="false">M82/$R$3</f>
        <v>-7.57</v>
      </c>
      <c r="W82" s="114" t="n">
        <f aca="false">N82/$R$3</f>
        <v>-7.57</v>
      </c>
    </row>
    <row r="83" customFormat="false" ht="12.75" hidden="false" customHeight="false" outlineLevel="0" collapsed="false">
      <c r="A83" s="108" t="n">
        <f aca="false">A82+1</f>
        <v>36969</v>
      </c>
      <c r="B83" s="119" t="str">
        <f aca="false">INDEX('[4]Master Data'!$A$2:$B$8,MATCH(WEEKDAY('TBS Gas MTM'!A83,3),'[4]Master Data'!$A$2:$A$8,0),2)</f>
        <v>M</v>
      </c>
      <c r="D83" s="112" t="n">
        <v>115812.353200002</v>
      </c>
      <c r="E83" s="112" t="n">
        <v>0</v>
      </c>
      <c r="F83" s="112" t="n">
        <v>0</v>
      </c>
      <c r="G83" s="112" t="n">
        <v>-512615</v>
      </c>
      <c r="I83" s="112" t="n">
        <f aca="false">IF(MONTH($A83)=MONTH($A82),IF(G83=0,I82,G83),G83)</f>
        <v>-512615</v>
      </c>
      <c r="J83" s="112" t="n">
        <f aca="false">IF(MONTH($A83)=MONTH($A82),SUM(I83-I82),I83)</f>
        <v>-512279</v>
      </c>
      <c r="K83" s="112" t="n">
        <f aca="false">IF(WEEKDAY(A83,3)&gt;4,0,(IF(A83&lt;K$2,0,IF(A83&lt;=K$3,1,0))))</f>
        <v>0</v>
      </c>
      <c r="L83" s="112" t="n">
        <f aca="false">J83*K83</f>
        <v>-0</v>
      </c>
      <c r="M83" s="112" t="n">
        <f aca="false">SUM(J$6:J83)</f>
        <v>-519849</v>
      </c>
      <c r="N83" s="112" t="n">
        <f aca="false">SUM(J$6:J83)</f>
        <v>-519849</v>
      </c>
      <c r="P83" s="112" t="n">
        <f aca="false">D83/P$3</f>
        <v>0.115812353200002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-512.279</v>
      </c>
      <c r="T83" s="114" t="n">
        <f aca="false">L83/$R$3</f>
        <v>-0</v>
      </c>
      <c r="U83" s="114" t="n">
        <f aca="false">I83/$R$3</f>
        <v>-512.615</v>
      </c>
      <c r="V83" s="114" t="n">
        <f aca="false">M83/$R$3</f>
        <v>-519.849</v>
      </c>
      <c r="W83" s="114" t="n">
        <f aca="false">N83/$R$3</f>
        <v>-519.849</v>
      </c>
    </row>
    <row r="84" customFormat="false" ht="12.75" hidden="false" customHeight="false" outlineLevel="0" collapsed="false">
      <c r="A84" s="108" t="n">
        <f aca="false">A83+1</f>
        <v>36970</v>
      </c>
      <c r="B84" s="119" t="str">
        <f aca="false">INDEX('[4]Master Data'!$A$2:$B$8,MATCH(WEEKDAY('TBS Gas MTM'!A84,3),'[4]Master Data'!$A$2:$A$8,0),2)</f>
        <v>T</v>
      </c>
      <c r="D84" s="112" t="n">
        <v>-812.21099999873</v>
      </c>
      <c r="E84" s="112" t="n">
        <v>0</v>
      </c>
      <c r="F84" s="112" t="n">
        <v>0</v>
      </c>
      <c r="G84" s="112" t="n">
        <v>-214613</v>
      </c>
      <c r="I84" s="112" t="n">
        <f aca="false">IF(MONTH($A84)=MONTH($A83),IF(G84=0,I83,G84),G84)</f>
        <v>-214613</v>
      </c>
      <c r="J84" s="112" t="n">
        <f aca="false">IF(MONTH($A84)=MONTH($A83),SUM(I84-I83),I84)</f>
        <v>298002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-221847</v>
      </c>
      <c r="N84" s="112" t="n">
        <f aca="false">SUM(J$6:J84)</f>
        <v>-221847</v>
      </c>
      <c r="P84" s="112" t="n">
        <f aca="false">D84/P$3</f>
        <v>-0.00081221099999873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298.002</v>
      </c>
      <c r="T84" s="114" t="n">
        <f aca="false">L84/$R$3</f>
        <v>0</v>
      </c>
      <c r="U84" s="114" t="n">
        <f aca="false">I84/$R$3</f>
        <v>-214.613</v>
      </c>
      <c r="V84" s="114" t="n">
        <f aca="false">M84/$R$3</f>
        <v>-221.847</v>
      </c>
      <c r="W84" s="114" t="n">
        <f aca="false">N84/$R$3</f>
        <v>-221.847</v>
      </c>
    </row>
    <row r="85" customFormat="false" ht="12.75" hidden="false" customHeight="false" outlineLevel="0" collapsed="false">
      <c r="A85" s="108" t="n">
        <f aca="false">A84+1</f>
        <v>36971</v>
      </c>
      <c r="B85" s="119" t="str">
        <f aca="false">INDEX('[4]Master Data'!$A$2:$B$8,MATCH(WEEKDAY('TBS Gas MTM'!A85,3),'[4]Master Data'!$A$2:$A$8,0),2)</f>
        <v>W</v>
      </c>
      <c r="D85" s="133" t="n">
        <v>-814.971400000621</v>
      </c>
      <c r="E85" s="112" t="n">
        <v>0</v>
      </c>
      <c r="F85" s="112" t="n">
        <v>0</v>
      </c>
      <c r="G85" s="133" t="n">
        <v>-214682</v>
      </c>
      <c r="I85" s="112" t="n">
        <f aca="false">IF(MONTH($A85)=MONTH($A84),IF(G85=0,I84,G85),G85)</f>
        <v>-214682</v>
      </c>
      <c r="J85" s="112" t="n">
        <f aca="false">IF(MONTH($A85)=MONTH($A84),SUM(I85-I84),I85)</f>
        <v>-69</v>
      </c>
      <c r="K85" s="112" t="n">
        <f aca="false">IF(WEEKDAY(A85,3)&gt;4,0,(IF(A85&lt;K$2,0,IF(A85&lt;=K$3,1,0))))</f>
        <v>0</v>
      </c>
      <c r="L85" s="112" t="n">
        <f aca="false">J85*K85</f>
        <v>-0</v>
      </c>
      <c r="M85" s="112" t="n">
        <f aca="false">SUM(J$6:J85)</f>
        <v>-221916</v>
      </c>
      <c r="N85" s="112" t="n">
        <f aca="false">SUM(J$6:J85)</f>
        <v>-221916</v>
      </c>
      <c r="P85" s="112" t="n">
        <f aca="false">D85/P$3</f>
        <v>-0.000814971400000621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-0.069</v>
      </c>
      <c r="T85" s="114" t="n">
        <f aca="false">L85/$R$3</f>
        <v>-0</v>
      </c>
      <c r="U85" s="114" t="n">
        <f aca="false">I85/$R$3</f>
        <v>-214.682</v>
      </c>
      <c r="V85" s="114" t="n">
        <f aca="false">M85/$R$3</f>
        <v>-221.916</v>
      </c>
      <c r="W85" s="114" t="n">
        <f aca="false">N85/$R$3</f>
        <v>-221.916</v>
      </c>
    </row>
    <row r="86" customFormat="false" ht="12.75" hidden="false" customHeight="false" outlineLevel="0" collapsed="false">
      <c r="A86" s="108" t="n">
        <f aca="false">A85+1</f>
        <v>36972</v>
      </c>
      <c r="B86" s="119" t="str">
        <f aca="false">INDEX('[4]Master Data'!$A$2:$B$8,MATCH(WEEKDAY('TBS Gas MTM'!A86,3),'[4]Master Data'!$A$2:$A$8,0),2)</f>
        <v>Th</v>
      </c>
      <c r="D86" s="133" t="n">
        <v>0</v>
      </c>
      <c r="E86" s="112" t="n">
        <v>0</v>
      </c>
      <c r="F86" s="112" t="n">
        <v>0</v>
      </c>
      <c r="G86" s="112" t="n">
        <v>-214682</v>
      </c>
      <c r="I86" s="112" t="n">
        <f aca="false">IF(MONTH($A86)=MONTH($A85),IF(G86=0,I85,G86),G86)</f>
        <v>-214682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-221916</v>
      </c>
      <c r="N86" s="112" t="n">
        <f aca="false">SUM(J$6:J86)</f>
        <v>-221916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-214.682</v>
      </c>
      <c r="V86" s="114" t="n">
        <f aca="false">M86/$R$3</f>
        <v>-221.916</v>
      </c>
      <c r="W86" s="114" t="n">
        <f aca="false">N86/$R$3</f>
        <v>-221.916</v>
      </c>
    </row>
    <row r="87" customFormat="false" ht="12.75" hidden="false" customHeight="false" outlineLevel="0" collapsed="false">
      <c r="A87" s="108" t="n">
        <f aca="false">A86+1</f>
        <v>36973</v>
      </c>
      <c r="B87" s="119" t="str">
        <f aca="false">INDEX('[4]Master Data'!$A$2:$B$8,MATCH(WEEKDAY('TBS Gas MTM'!A87,3),'[4]Master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-214682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-221916</v>
      </c>
      <c r="N87" s="112" t="n">
        <f aca="false">SUM(J$6:J87)</f>
        <v>-221916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-214.682</v>
      </c>
      <c r="V87" s="114" t="n">
        <f aca="false">M87/$R$3</f>
        <v>-221.916</v>
      </c>
      <c r="W87" s="114" t="n">
        <f aca="false">N87/$R$3</f>
        <v>-221.916</v>
      </c>
    </row>
    <row r="88" customFormat="false" ht="12.75" hidden="false" customHeight="false" outlineLevel="0" collapsed="false">
      <c r="A88" s="108" t="n">
        <f aca="false">A87+1</f>
        <v>36974</v>
      </c>
      <c r="B88" s="119" t="str">
        <f aca="false">INDEX('[4]Master Data'!$A$2:$B$8,MATCH(WEEKDAY('TBS Gas MTM'!A88,3),'[4]Master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-214682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-221916</v>
      </c>
      <c r="N88" s="112" t="n">
        <f aca="false">SUM(J$6:J88)</f>
        <v>-221916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-214.682</v>
      </c>
      <c r="V88" s="114" t="n">
        <f aca="false">M88/$R$3</f>
        <v>-221.916</v>
      </c>
      <c r="W88" s="114" t="n">
        <f aca="false">N88/$R$3</f>
        <v>-221.916</v>
      </c>
    </row>
    <row r="89" customFormat="false" ht="12.75" hidden="false" customHeight="false" outlineLevel="0" collapsed="false">
      <c r="A89" s="108" t="n">
        <f aca="false">A88+1</f>
        <v>36975</v>
      </c>
      <c r="B89" s="119" t="str">
        <f aca="false">INDEX('[4]Master Data'!$A$2:$B$8,MATCH(WEEKDAY('TBS Gas MTM'!A89,3),'[4]Master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-214682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-221916</v>
      </c>
      <c r="N89" s="112" t="n">
        <f aca="false">SUM(J$6:J89)</f>
        <v>-221916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-214.682</v>
      </c>
      <c r="V89" s="114" t="n">
        <f aca="false">M89/$R$3</f>
        <v>-221.916</v>
      </c>
      <c r="W89" s="114" t="n">
        <f aca="false">N89/$R$3</f>
        <v>-221.916</v>
      </c>
    </row>
    <row r="90" customFormat="false" ht="12.75" hidden="false" customHeight="false" outlineLevel="0" collapsed="false">
      <c r="A90" s="108" t="n">
        <f aca="false">A89+1</f>
        <v>36976</v>
      </c>
      <c r="B90" s="119" t="str">
        <f aca="false">INDEX('[4]Master Data'!$A$2:$B$8,MATCH(WEEKDAY('TBS Gas MTM'!A90,3),'[4]Master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-214682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-221916</v>
      </c>
      <c r="N90" s="112" t="n">
        <f aca="false">SUM(J$6:J90)</f>
        <v>-221916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-214.682</v>
      </c>
      <c r="V90" s="114" t="n">
        <f aca="false">M90/$R$3</f>
        <v>-221.916</v>
      </c>
      <c r="W90" s="114" t="n">
        <f aca="false">N90/$R$3</f>
        <v>-221.916</v>
      </c>
    </row>
    <row r="91" customFormat="false" ht="12.75" hidden="false" customHeight="false" outlineLevel="0" collapsed="false">
      <c r="A91" s="108" t="n">
        <f aca="false">A90+1</f>
        <v>36977</v>
      </c>
      <c r="B91" s="119" t="str">
        <f aca="false">INDEX('[4]Master Data'!$A$2:$B$8,MATCH(WEEKDAY('TBS Gas MTM'!A91,3),'[4]Master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-214682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-221916</v>
      </c>
      <c r="N91" s="112" t="n">
        <f aca="false">SUM(J$6:J91)</f>
        <v>-221916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-214.682</v>
      </c>
      <c r="V91" s="114" t="n">
        <f aca="false">M91/$R$3</f>
        <v>-221.916</v>
      </c>
      <c r="W91" s="114" t="n">
        <f aca="false">N91/$R$3</f>
        <v>-221.916</v>
      </c>
    </row>
    <row r="92" customFormat="false" ht="12.75" hidden="false" customHeight="false" outlineLevel="0" collapsed="false">
      <c r="A92" s="108" t="n">
        <f aca="false">A91+1</f>
        <v>36978</v>
      </c>
      <c r="B92" s="119" t="str">
        <f aca="false">INDEX('[4]Master Data'!$A$2:$B$8,MATCH(WEEKDAY('TBS Gas MTM'!A92,3),'[4]Master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-214682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-221916</v>
      </c>
      <c r="N92" s="112" t="n">
        <f aca="false">SUM(J$6:J92)</f>
        <v>-221916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-214.682</v>
      </c>
      <c r="V92" s="114" t="n">
        <f aca="false">M92/$R$3</f>
        <v>-221.916</v>
      </c>
      <c r="W92" s="114" t="n">
        <f aca="false">N92/$R$3</f>
        <v>-221.916</v>
      </c>
    </row>
    <row r="93" customFormat="false" ht="12.75" hidden="false" customHeight="false" outlineLevel="0" collapsed="false">
      <c r="A93" s="108" t="n">
        <f aca="false">A92+1</f>
        <v>36979</v>
      </c>
      <c r="B93" s="119" t="str">
        <f aca="false">INDEX('[4]Master Data'!$A$2:$B$8,MATCH(WEEKDAY('TBS Gas MTM'!A93,3),'[4]Master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-214682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-221916</v>
      </c>
      <c r="N93" s="112" t="n">
        <f aca="false">SUM(J$6:J93)</f>
        <v>-221916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-214.682</v>
      </c>
      <c r="V93" s="114" t="n">
        <f aca="false">M93/$R$3</f>
        <v>-221.916</v>
      </c>
      <c r="W93" s="114" t="n">
        <f aca="false">N93/$R$3</f>
        <v>-221.916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INDEX('[4]Master Data'!$A$2:$B$8,MATCH(WEEKDAY('TBS Gas MTM'!A94,3),'[4]Master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-214682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-221916</v>
      </c>
      <c r="N94" s="112" t="n">
        <f aca="false">SUM(J$6:J94)</f>
        <v>-221916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-214.682</v>
      </c>
      <c r="V94" s="114" t="n">
        <f aca="false">M94/$R$3</f>
        <v>-221.916</v>
      </c>
      <c r="W94" s="114" t="n">
        <f aca="false">N94/$R$3</f>
        <v>-221.916</v>
      </c>
    </row>
    <row r="95" customFormat="false" ht="12.75" hidden="false" customHeight="false" outlineLevel="0" collapsed="false">
      <c r="A95" s="108" t="n">
        <f aca="false">A94+1</f>
        <v>36981</v>
      </c>
      <c r="B95" s="119" t="str">
        <f aca="false">INDEX('[4]Master Data'!$A$2:$B$8,MATCH(WEEKDAY('TBS Gas MTM'!A95,3),'[4]Master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-214682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-221916</v>
      </c>
      <c r="N95" s="112" t="n">
        <f aca="false">SUM(J$6:J95)</f>
        <v>-221916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-214.682</v>
      </c>
      <c r="V95" s="114" t="n">
        <f aca="false">M95/$R$3</f>
        <v>-221.916</v>
      </c>
      <c r="W95" s="114" t="n">
        <f aca="false">N95/$R$3</f>
        <v>-221.916</v>
      </c>
    </row>
    <row r="96" customFormat="false" ht="12.75" hidden="false" customHeight="false" outlineLevel="0" collapsed="false">
      <c r="A96" s="108" t="n">
        <f aca="false">A95+1</f>
        <v>36982</v>
      </c>
      <c r="B96" s="119" t="str">
        <f aca="false">INDEX('[4]Master Data'!$A$2:$B$8,MATCH(WEEKDAY('TBS Gas MTM'!A96,3),'[4]Master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-221916</v>
      </c>
      <c r="N96" s="112" t="n">
        <f aca="false">SUM(J$6:J96)</f>
        <v>-221916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-221.916</v>
      </c>
      <c r="W96" s="114" t="n">
        <f aca="false">N96/$R$3</f>
        <v>-221.916</v>
      </c>
    </row>
    <row r="97" customFormat="false" ht="12.75" hidden="false" customHeight="false" outlineLevel="0" collapsed="false">
      <c r="A97" s="108" t="n">
        <f aca="false">A96+1</f>
        <v>36983</v>
      </c>
      <c r="B97" s="119" t="str">
        <f aca="false">INDEX('[4]Master Data'!$A$2:$B$8,MATCH(WEEKDAY('TBS Gas MTM'!A97,3),'[4]Master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-221916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-221.916</v>
      </c>
    </row>
    <row r="98" customFormat="false" ht="12.75" hidden="false" customHeight="false" outlineLevel="0" collapsed="false">
      <c r="A98" s="108" t="n">
        <f aca="false">A97+1</f>
        <v>36984</v>
      </c>
      <c r="B98" s="119" t="str">
        <f aca="false">INDEX('[4]Master Data'!$A$2:$B$8,MATCH(WEEKDAY('TBS Gas MTM'!A98,3),'[4]Master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-221916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-221.916</v>
      </c>
    </row>
    <row r="99" customFormat="false" ht="12.75" hidden="false" customHeight="false" outlineLevel="0" collapsed="false">
      <c r="A99" s="108" t="n">
        <f aca="false">A98+1</f>
        <v>36985</v>
      </c>
      <c r="B99" s="119" t="str">
        <f aca="false">INDEX('[4]Master Data'!$A$2:$B$8,MATCH(WEEKDAY('TBS Gas MTM'!A99,3),'[4]Master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-221916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-221.916</v>
      </c>
    </row>
    <row r="100" customFormat="false" ht="12.75" hidden="false" customHeight="false" outlineLevel="0" collapsed="false">
      <c r="A100" s="108" t="n">
        <f aca="false">A99+1</f>
        <v>36986</v>
      </c>
      <c r="B100" s="119" t="str">
        <f aca="false">INDEX('[4]Master Data'!$A$2:$B$8,MATCH(WEEKDAY('TBS Gas MTM'!A100,3),'[4]Master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-221916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-221.916</v>
      </c>
    </row>
    <row r="101" customFormat="false" ht="12.75" hidden="false" customHeight="false" outlineLevel="0" collapsed="false">
      <c r="A101" s="108" t="n">
        <f aca="false">A100+1</f>
        <v>36987</v>
      </c>
      <c r="B101" s="119" t="str">
        <f aca="false">INDEX('[4]Master Data'!$A$2:$B$8,MATCH(WEEKDAY('TBS Gas MTM'!A101,3),'[4]Master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-221916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-221.916</v>
      </c>
    </row>
    <row r="102" customFormat="false" ht="12.75" hidden="false" customHeight="false" outlineLevel="0" collapsed="false">
      <c r="A102" s="108" t="n">
        <f aca="false">A101+1</f>
        <v>36988</v>
      </c>
      <c r="B102" s="119" t="str">
        <f aca="false">INDEX('[4]Master Data'!$A$2:$B$8,MATCH(WEEKDAY('TBS Gas MTM'!A102,3),'[4]Master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-221916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-221.916</v>
      </c>
    </row>
    <row r="103" customFormat="false" ht="12.75" hidden="false" customHeight="false" outlineLevel="0" collapsed="false">
      <c r="A103" s="108" t="n">
        <f aca="false">A102+1</f>
        <v>36989</v>
      </c>
      <c r="B103" s="119" t="str">
        <f aca="false">INDEX('[4]Master Data'!$A$2:$B$8,MATCH(WEEKDAY('TBS Gas MTM'!A103,3),'[4]Master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-221916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-221.916</v>
      </c>
    </row>
    <row r="104" customFormat="false" ht="12.75" hidden="false" customHeight="false" outlineLevel="0" collapsed="false">
      <c r="A104" s="108" t="n">
        <f aca="false">A103+1</f>
        <v>36990</v>
      </c>
      <c r="B104" s="119" t="str">
        <f aca="false">INDEX('[4]Master Data'!$A$2:$B$8,MATCH(WEEKDAY('TBS Gas MTM'!A104,3),'[4]Master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-221916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-221.916</v>
      </c>
    </row>
    <row r="105" customFormat="false" ht="12.75" hidden="false" customHeight="false" outlineLevel="0" collapsed="false">
      <c r="A105" s="108" t="n">
        <f aca="false">A104+1</f>
        <v>36991</v>
      </c>
      <c r="B105" s="119" t="str">
        <f aca="false">INDEX('[4]Master Data'!$A$2:$B$8,MATCH(WEEKDAY('TBS Gas MTM'!A105,3),'[4]Master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-221916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-221.916</v>
      </c>
    </row>
    <row r="106" customFormat="false" ht="12.75" hidden="false" customHeight="false" outlineLevel="0" collapsed="false">
      <c r="A106" s="108" t="n">
        <f aca="false">A105+1</f>
        <v>36992</v>
      </c>
      <c r="B106" s="119" t="str">
        <f aca="false">INDEX('[4]Master Data'!$A$2:$B$8,MATCH(WEEKDAY('TBS Gas MTM'!A106,3),'[4]Master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-221916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-221.916</v>
      </c>
    </row>
    <row r="107" customFormat="false" ht="12.75" hidden="false" customHeight="false" outlineLevel="0" collapsed="false">
      <c r="A107" s="108" t="n">
        <f aca="false">A106+1</f>
        <v>36993</v>
      </c>
      <c r="B107" s="119" t="str">
        <f aca="false">INDEX('[4]Master Data'!$A$2:$B$8,MATCH(WEEKDAY('TBS Gas MTM'!A107,3),'[4]Master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-221916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-221.916</v>
      </c>
    </row>
    <row r="108" customFormat="false" ht="12.75" hidden="false" customHeight="false" outlineLevel="0" collapsed="false">
      <c r="A108" s="108" t="n">
        <f aca="false">A107+1</f>
        <v>36994</v>
      </c>
      <c r="B108" s="119" t="str">
        <f aca="false">INDEX('[4]Master Data'!$A$2:$B$8,MATCH(WEEKDAY('TBS Gas MTM'!A108,3),'[4]Master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-221916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-221.916</v>
      </c>
    </row>
    <row r="109" customFormat="false" ht="12.75" hidden="false" customHeight="false" outlineLevel="0" collapsed="false">
      <c r="A109" s="108" t="n">
        <f aca="false">A108+1</f>
        <v>36995</v>
      </c>
      <c r="B109" s="119" t="str">
        <f aca="false">INDEX('[4]Master Data'!$A$2:$B$8,MATCH(WEEKDAY('TBS Gas MTM'!A109,3),'[4]Master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-221916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-221.916</v>
      </c>
    </row>
    <row r="110" customFormat="false" ht="12.75" hidden="false" customHeight="false" outlineLevel="0" collapsed="false">
      <c r="A110" s="108" t="n">
        <f aca="false">A109+1</f>
        <v>36996</v>
      </c>
      <c r="B110" s="119" t="str">
        <f aca="false">INDEX('[4]Master Data'!$A$2:$B$8,MATCH(WEEKDAY('TBS Gas MTM'!A110,3),'[4]Master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-221916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-221.916</v>
      </c>
    </row>
    <row r="111" customFormat="false" ht="12.75" hidden="false" customHeight="false" outlineLevel="0" collapsed="false">
      <c r="A111" s="108" t="n">
        <f aca="false">A110+1</f>
        <v>36997</v>
      </c>
      <c r="B111" s="119" t="str">
        <f aca="false">INDEX('[4]Master Data'!$A$2:$B$8,MATCH(WEEKDAY('TBS Gas MTM'!A111,3),'[4]Master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-221916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-221.916</v>
      </c>
    </row>
    <row r="112" customFormat="false" ht="12.75" hidden="false" customHeight="false" outlineLevel="0" collapsed="false">
      <c r="A112" s="108" t="n">
        <f aca="false">A111+1</f>
        <v>36998</v>
      </c>
      <c r="B112" s="119" t="str">
        <f aca="false">INDEX('[4]Master Data'!$A$2:$B$8,MATCH(WEEKDAY('TBS Gas MTM'!A112,3),'[4]Master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-221916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-221.916</v>
      </c>
    </row>
    <row r="113" customFormat="false" ht="12.75" hidden="false" customHeight="false" outlineLevel="0" collapsed="false">
      <c r="A113" s="108" t="n">
        <f aca="false">A112+1</f>
        <v>36999</v>
      </c>
      <c r="B113" s="119" t="str">
        <f aca="false">INDEX('[4]Master Data'!$A$2:$B$8,MATCH(WEEKDAY('TBS Gas MTM'!A113,3),'[4]Master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-221916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-221.916</v>
      </c>
    </row>
    <row r="114" customFormat="false" ht="12.75" hidden="false" customHeight="false" outlineLevel="0" collapsed="false">
      <c r="A114" s="108" t="n">
        <f aca="false">A113+1</f>
        <v>37000</v>
      </c>
      <c r="B114" s="119" t="str">
        <f aca="false">INDEX('[4]Master Data'!$A$2:$B$8,MATCH(WEEKDAY('TBS Gas MTM'!A114,3),'[4]Master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-221916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-221.916</v>
      </c>
    </row>
    <row r="115" customFormat="false" ht="12.75" hidden="false" customHeight="false" outlineLevel="0" collapsed="false">
      <c r="A115" s="108" t="n">
        <f aca="false">A114+1</f>
        <v>37001</v>
      </c>
      <c r="B115" s="119" t="str">
        <f aca="false">INDEX('[4]Master Data'!$A$2:$B$8,MATCH(WEEKDAY('TBS Gas MTM'!A115,3),'[4]Master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-221916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-221.916</v>
      </c>
    </row>
    <row r="116" customFormat="false" ht="12.75" hidden="false" customHeight="false" outlineLevel="0" collapsed="false">
      <c r="A116" s="108" t="n">
        <f aca="false">A115+1</f>
        <v>37002</v>
      </c>
      <c r="B116" s="119" t="str">
        <f aca="false">INDEX('[4]Master Data'!$A$2:$B$8,MATCH(WEEKDAY('TBS Gas MTM'!A116,3),'[4]Master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-221916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-221.916</v>
      </c>
    </row>
    <row r="117" customFormat="false" ht="12.75" hidden="false" customHeight="false" outlineLevel="0" collapsed="false">
      <c r="A117" s="108" t="n">
        <f aca="false">A116+1</f>
        <v>37003</v>
      </c>
      <c r="B117" s="119" t="str">
        <f aca="false">INDEX('[4]Master Data'!$A$2:$B$8,MATCH(WEEKDAY('TBS Gas MTM'!A117,3),'[4]Master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-221916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-221.916</v>
      </c>
    </row>
    <row r="118" customFormat="false" ht="12.75" hidden="false" customHeight="false" outlineLevel="0" collapsed="false">
      <c r="A118" s="108" t="n">
        <f aca="false">A117+1</f>
        <v>37004</v>
      </c>
      <c r="B118" s="119" t="str">
        <f aca="false">INDEX('[4]Master Data'!$A$2:$B$8,MATCH(WEEKDAY('TBS Gas MTM'!A118,3),'[4]Master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-221916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-221.916</v>
      </c>
    </row>
    <row r="119" customFormat="false" ht="12.75" hidden="false" customHeight="false" outlineLevel="0" collapsed="false">
      <c r="A119" s="108" t="n">
        <f aca="false">A118+1</f>
        <v>37005</v>
      </c>
      <c r="B119" s="119" t="str">
        <f aca="false">INDEX('[4]Master Data'!$A$2:$B$8,MATCH(WEEKDAY('TBS Gas MTM'!A119,3),'[4]Master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-221916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-221.916</v>
      </c>
    </row>
    <row r="120" customFormat="false" ht="12.75" hidden="false" customHeight="false" outlineLevel="0" collapsed="false">
      <c r="A120" s="108" t="n">
        <f aca="false">A119+1</f>
        <v>37006</v>
      </c>
      <c r="B120" s="119" t="str">
        <f aca="false">INDEX('[4]Master Data'!$A$2:$B$8,MATCH(WEEKDAY('TBS Gas MTM'!A120,3),'[4]Master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-221916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-221.916</v>
      </c>
    </row>
    <row r="121" customFormat="false" ht="12.75" hidden="false" customHeight="false" outlineLevel="0" collapsed="false">
      <c r="A121" s="108" t="n">
        <f aca="false">A120+1</f>
        <v>37007</v>
      </c>
      <c r="B121" s="119" t="str">
        <f aca="false">INDEX('[4]Master Data'!$A$2:$B$8,MATCH(WEEKDAY('TBS Gas MTM'!A121,3),'[4]Master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-221916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-221.916</v>
      </c>
    </row>
    <row r="122" customFormat="false" ht="12.75" hidden="false" customHeight="false" outlineLevel="0" collapsed="false">
      <c r="A122" s="108" t="n">
        <f aca="false">A121+1</f>
        <v>37008</v>
      </c>
      <c r="B122" s="119" t="str">
        <f aca="false">INDEX('[4]Master Data'!$A$2:$B$8,MATCH(WEEKDAY('TBS Gas MTM'!A122,3),'[4]Master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-221916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-221.916</v>
      </c>
    </row>
    <row r="123" customFormat="false" ht="12.75" hidden="false" customHeight="false" outlineLevel="0" collapsed="false">
      <c r="A123" s="108" t="n">
        <f aca="false">A122+1</f>
        <v>37009</v>
      </c>
      <c r="B123" s="119" t="str">
        <f aca="false">INDEX('[4]Master Data'!$A$2:$B$8,MATCH(WEEKDAY('TBS Gas MTM'!A123,3),'[4]Master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-221916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-221.916</v>
      </c>
    </row>
    <row r="124" customFormat="false" ht="12.75" hidden="false" customHeight="false" outlineLevel="0" collapsed="false">
      <c r="A124" s="108" t="n">
        <f aca="false">A123+1</f>
        <v>37010</v>
      </c>
      <c r="B124" s="119" t="str">
        <f aca="false">INDEX('[4]Master Data'!$A$2:$B$8,MATCH(WEEKDAY('TBS Gas MTM'!A124,3),'[4]Master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-221916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-221.916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INDEX('[4]Master Data'!$A$2:$B$8,MATCH(WEEKDAY('TBS Gas MTM'!A125,3),'[4]Master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-221916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-221.916</v>
      </c>
    </row>
    <row r="126" customFormat="false" ht="12.75" hidden="false" customHeight="false" outlineLevel="0" collapsed="false">
      <c r="A126" s="108" t="n">
        <f aca="false">A125+1</f>
        <v>37012</v>
      </c>
      <c r="B126" s="119" t="str">
        <f aca="false">INDEX('[4]Master Data'!$A$2:$B$8,MATCH(WEEKDAY('TBS Gas MTM'!A126,3),'[4]Master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-221916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-221.916</v>
      </c>
    </row>
    <row r="127" customFormat="false" ht="12.75" hidden="false" customHeight="false" outlineLevel="0" collapsed="false">
      <c r="A127" s="108" t="n">
        <f aca="false">A126+1</f>
        <v>37013</v>
      </c>
      <c r="B127" s="119" t="str">
        <f aca="false">INDEX('[4]Master Data'!$A$2:$B$8,MATCH(WEEKDAY('TBS Gas MTM'!A127,3),'[4]Master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-221916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-221.916</v>
      </c>
    </row>
    <row r="128" customFormat="false" ht="12.75" hidden="false" customHeight="false" outlineLevel="0" collapsed="false">
      <c r="A128" s="108" t="n">
        <f aca="false">A127+1</f>
        <v>37014</v>
      </c>
      <c r="B128" s="119" t="str">
        <f aca="false">INDEX('[4]Master Data'!$A$2:$B$8,MATCH(WEEKDAY('TBS Gas MTM'!A128,3),'[4]Master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-221916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-221.916</v>
      </c>
    </row>
    <row r="129" customFormat="false" ht="12.75" hidden="false" customHeight="false" outlineLevel="0" collapsed="false">
      <c r="A129" s="108" t="n">
        <f aca="false">A128+1</f>
        <v>37015</v>
      </c>
      <c r="B129" s="119" t="str">
        <f aca="false">INDEX('[4]Master Data'!$A$2:$B$8,MATCH(WEEKDAY('TBS Gas MTM'!A129,3),'[4]Master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-221916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-221.916</v>
      </c>
    </row>
    <row r="130" customFormat="false" ht="12.75" hidden="false" customHeight="false" outlineLevel="0" collapsed="false">
      <c r="A130" s="108" t="n">
        <f aca="false">A129+1</f>
        <v>37016</v>
      </c>
      <c r="B130" s="119" t="str">
        <f aca="false">INDEX('[4]Master Data'!$A$2:$B$8,MATCH(WEEKDAY('TBS Gas MTM'!A130,3),'[4]Master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-221916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-221.916</v>
      </c>
    </row>
    <row r="131" customFormat="false" ht="12.75" hidden="false" customHeight="false" outlineLevel="0" collapsed="false">
      <c r="A131" s="108" t="n">
        <f aca="false">A130+1</f>
        <v>37017</v>
      </c>
      <c r="B131" s="119" t="str">
        <f aca="false">INDEX('[4]Master Data'!$A$2:$B$8,MATCH(WEEKDAY('TBS Gas MTM'!A131,3),'[4]Master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-221916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-221.916</v>
      </c>
    </row>
    <row r="132" customFormat="false" ht="12.75" hidden="false" customHeight="false" outlineLevel="0" collapsed="false">
      <c r="A132" s="108" t="n">
        <f aca="false">A131+1</f>
        <v>37018</v>
      </c>
      <c r="B132" s="119" t="str">
        <f aca="false">INDEX('[4]Master Data'!$A$2:$B$8,MATCH(WEEKDAY('TBS Gas MTM'!A132,3),'[4]Master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-221916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-221.916</v>
      </c>
    </row>
    <row r="133" customFormat="false" ht="12.75" hidden="false" customHeight="false" outlineLevel="0" collapsed="false">
      <c r="A133" s="108" t="n">
        <f aca="false">A132+1</f>
        <v>37019</v>
      </c>
      <c r="B133" s="119" t="str">
        <f aca="false">INDEX('[4]Master Data'!$A$2:$B$8,MATCH(WEEKDAY('TBS Gas MTM'!A133,3),'[4]Master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-221916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-221.916</v>
      </c>
    </row>
    <row r="134" customFormat="false" ht="12.75" hidden="false" customHeight="false" outlineLevel="0" collapsed="false">
      <c r="A134" s="108" t="n">
        <f aca="false">A133+1</f>
        <v>37020</v>
      </c>
      <c r="B134" s="119" t="str">
        <f aca="false">INDEX('[4]Master Data'!$A$2:$B$8,MATCH(WEEKDAY('TBS Gas MTM'!A134,3),'[4]Master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-221916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-221.916</v>
      </c>
    </row>
    <row r="135" customFormat="false" ht="12.75" hidden="false" customHeight="false" outlineLevel="0" collapsed="false">
      <c r="A135" s="108" t="n">
        <f aca="false">A134+1</f>
        <v>37021</v>
      </c>
      <c r="B135" s="119" t="str">
        <f aca="false">INDEX('[4]Master Data'!$A$2:$B$8,MATCH(WEEKDAY('TBS Gas MTM'!A135,3),'[4]Master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-221916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-221.916</v>
      </c>
    </row>
    <row r="136" customFormat="false" ht="12.75" hidden="false" customHeight="false" outlineLevel="0" collapsed="false">
      <c r="A136" s="108" t="n">
        <f aca="false">A135+1</f>
        <v>37022</v>
      </c>
      <c r="B136" s="119" t="str">
        <f aca="false">INDEX('[4]Master Data'!$A$2:$B$8,MATCH(WEEKDAY('TBS Gas MTM'!A136,3),'[4]Master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-221916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-221.916</v>
      </c>
    </row>
    <row r="137" customFormat="false" ht="12.75" hidden="false" customHeight="false" outlineLevel="0" collapsed="false">
      <c r="A137" s="108" t="n">
        <f aca="false">A136+1</f>
        <v>37023</v>
      </c>
      <c r="B137" s="119" t="str">
        <f aca="false">INDEX('[4]Master Data'!$A$2:$B$8,MATCH(WEEKDAY('TBS Gas MTM'!A137,3),'[4]Master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-221916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-221.916</v>
      </c>
    </row>
    <row r="138" customFormat="false" ht="12.75" hidden="false" customHeight="false" outlineLevel="0" collapsed="false">
      <c r="A138" s="108" t="n">
        <f aca="false">A137+1</f>
        <v>37024</v>
      </c>
      <c r="B138" s="119" t="str">
        <f aca="false">INDEX('[4]Master Data'!$A$2:$B$8,MATCH(WEEKDAY('TBS Gas MTM'!A138,3),'[4]Master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-221916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-221.916</v>
      </c>
    </row>
    <row r="139" customFormat="false" ht="12.75" hidden="false" customHeight="false" outlineLevel="0" collapsed="false">
      <c r="A139" s="108" t="n">
        <f aca="false">A138+1</f>
        <v>37025</v>
      </c>
      <c r="B139" s="119" t="str">
        <f aca="false">INDEX('[4]Master Data'!$A$2:$B$8,MATCH(WEEKDAY('TBS Gas MTM'!A139,3),'[4]Master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-221916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-221.916</v>
      </c>
    </row>
    <row r="140" customFormat="false" ht="12.75" hidden="false" customHeight="false" outlineLevel="0" collapsed="false">
      <c r="A140" s="108" t="n">
        <f aca="false">A139+1</f>
        <v>37026</v>
      </c>
      <c r="B140" s="119" t="str">
        <f aca="false">INDEX('[4]Master Data'!$A$2:$B$8,MATCH(WEEKDAY('TBS Gas MTM'!A140,3),'[4]Master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-221916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-221.916</v>
      </c>
    </row>
    <row r="141" customFormat="false" ht="12.75" hidden="false" customHeight="false" outlineLevel="0" collapsed="false">
      <c r="A141" s="108" t="n">
        <f aca="false">A140+1</f>
        <v>37027</v>
      </c>
      <c r="B141" s="119" t="str">
        <f aca="false">INDEX('[4]Master Data'!$A$2:$B$8,MATCH(WEEKDAY('TBS Gas MTM'!A141,3),'[4]Master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-221916</v>
      </c>
      <c r="P141" s="112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-221.916</v>
      </c>
    </row>
    <row r="142" customFormat="false" ht="12.75" hidden="false" customHeight="false" outlineLevel="0" collapsed="false">
      <c r="A142" s="108" t="n">
        <f aca="false">A141+1</f>
        <v>37028</v>
      </c>
      <c r="B142" s="119" t="str">
        <f aca="false">INDEX('[4]Master Data'!$A$2:$B$8,MATCH(WEEKDAY('TBS Gas MTM'!A142,3),'[4]Master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-221916</v>
      </c>
      <c r="P142" s="112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-221.916</v>
      </c>
    </row>
    <row r="143" customFormat="false" ht="12.75" hidden="false" customHeight="false" outlineLevel="0" collapsed="false">
      <c r="A143" s="108" t="n">
        <f aca="false">A142+1</f>
        <v>37029</v>
      </c>
      <c r="B143" s="119" t="str">
        <f aca="false">INDEX('[4]Master Data'!$A$2:$B$8,MATCH(WEEKDAY('TBS Gas MTM'!A143,3),'[4]Master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-221916</v>
      </c>
      <c r="P143" s="112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-221.916</v>
      </c>
    </row>
    <row r="144" customFormat="false" ht="12.75" hidden="false" customHeight="false" outlineLevel="0" collapsed="false">
      <c r="A144" s="108" t="n">
        <f aca="false">A143+1</f>
        <v>37030</v>
      </c>
      <c r="B144" s="119" t="str">
        <f aca="false">INDEX('[4]Master Data'!$A$2:$B$8,MATCH(WEEKDAY('TBS Gas MTM'!A144,3),'[4]Master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-221916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-221.916</v>
      </c>
    </row>
    <row r="145" customFormat="false" ht="12.75" hidden="false" customHeight="false" outlineLevel="0" collapsed="false">
      <c r="A145" s="108" t="n">
        <f aca="false">A144+1</f>
        <v>37031</v>
      </c>
      <c r="B145" s="119" t="str">
        <f aca="false">INDEX('[4]Master Data'!$A$2:$B$8,MATCH(WEEKDAY('TBS Gas MTM'!A145,3),'[4]Master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-221916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-221.916</v>
      </c>
    </row>
    <row r="146" customFormat="false" ht="12.75" hidden="false" customHeight="false" outlineLevel="0" collapsed="false">
      <c r="A146" s="108" t="n">
        <f aca="false">A145+1</f>
        <v>37032</v>
      </c>
      <c r="B146" s="119" t="str">
        <f aca="false">INDEX('[4]Master Data'!$A$2:$B$8,MATCH(WEEKDAY('TBS Gas MTM'!A146,3),'[4]Master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-221916</v>
      </c>
      <c r="P146" s="112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-221.916</v>
      </c>
    </row>
    <row r="147" customFormat="false" ht="12.75" hidden="false" customHeight="false" outlineLevel="0" collapsed="false">
      <c r="A147" s="108" t="n">
        <f aca="false">A146+1</f>
        <v>37033</v>
      </c>
      <c r="B147" s="119" t="str">
        <f aca="false">INDEX('[4]Master Data'!$A$2:$B$8,MATCH(WEEKDAY('TBS Gas MTM'!A147,3),'[4]Master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-221916</v>
      </c>
      <c r="P147" s="112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-221.916</v>
      </c>
    </row>
    <row r="148" customFormat="false" ht="12.75" hidden="false" customHeight="false" outlineLevel="0" collapsed="false">
      <c r="A148" s="108" t="n">
        <f aca="false">A147+1</f>
        <v>37034</v>
      </c>
      <c r="B148" s="119" t="str">
        <f aca="false">INDEX('[4]Master Data'!$A$2:$B$8,MATCH(WEEKDAY('TBS Gas MTM'!A148,3),'[4]Master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-221916</v>
      </c>
      <c r="P148" s="112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-221.916</v>
      </c>
    </row>
    <row r="149" customFormat="false" ht="12.75" hidden="false" customHeight="false" outlineLevel="0" collapsed="false">
      <c r="A149" s="108" t="n">
        <f aca="false">A148+1</f>
        <v>37035</v>
      </c>
      <c r="B149" s="119" t="str">
        <f aca="false">INDEX('[4]Master Data'!$A$2:$B$8,MATCH(WEEKDAY('TBS Gas MTM'!A149,3),'[4]Master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-221916</v>
      </c>
      <c r="P149" s="112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-221.916</v>
      </c>
    </row>
    <row r="150" customFormat="false" ht="12.75" hidden="false" customHeight="false" outlineLevel="0" collapsed="false">
      <c r="A150" s="108" t="n">
        <f aca="false">A149+1</f>
        <v>37036</v>
      </c>
      <c r="B150" s="119" t="str">
        <f aca="false">INDEX('[4]Master Data'!$A$2:$B$8,MATCH(WEEKDAY('TBS Gas MTM'!A150,3),'[4]Master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-221916</v>
      </c>
      <c r="P150" s="112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-221.916</v>
      </c>
    </row>
    <row r="151" customFormat="false" ht="12.75" hidden="false" customHeight="false" outlineLevel="0" collapsed="false">
      <c r="A151" s="108" t="n">
        <f aca="false">A150+1</f>
        <v>37037</v>
      </c>
      <c r="B151" s="119" t="str">
        <f aca="false">INDEX('[4]Master Data'!$A$2:$B$8,MATCH(WEEKDAY('TBS Gas MTM'!A151,3),'[4]Master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-221916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-221.916</v>
      </c>
    </row>
    <row r="152" customFormat="false" ht="12.75" hidden="false" customHeight="false" outlineLevel="0" collapsed="false">
      <c r="A152" s="108" t="n">
        <f aca="false">A151+1</f>
        <v>37038</v>
      </c>
      <c r="B152" s="119" t="str">
        <f aca="false">INDEX('[4]Master Data'!$A$2:$B$8,MATCH(WEEKDAY('TBS Gas MTM'!A152,3),'[4]Master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-221916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-221.916</v>
      </c>
    </row>
    <row r="153" customFormat="false" ht="12.75" hidden="false" customHeight="false" outlineLevel="0" collapsed="false">
      <c r="A153" s="108" t="n">
        <f aca="false">A152+1</f>
        <v>37039</v>
      </c>
      <c r="B153" s="119" t="str">
        <f aca="false">INDEX('[4]Master Data'!$A$2:$B$8,MATCH(WEEKDAY('TBS Gas MTM'!A153,3),'[4]Master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-221916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-221.916</v>
      </c>
    </row>
    <row r="154" customFormat="false" ht="12.75" hidden="false" customHeight="false" outlineLevel="0" collapsed="false">
      <c r="A154" s="108" t="n">
        <f aca="false">A153+1</f>
        <v>37040</v>
      </c>
      <c r="B154" s="119" t="str">
        <f aca="false">INDEX('[4]Master Data'!$A$2:$B$8,MATCH(WEEKDAY('TBS Gas MTM'!A154,3),'[4]Master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-221916</v>
      </c>
      <c r="P154" s="112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-221.916</v>
      </c>
    </row>
    <row r="155" customFormat="false" ht="12.75" hidden="false" customHeight="false" outlineLevel="0" collapsed="false">
      <c r="A155" s="108" t="n">
        <f aca="false">A154+1</f>
        <v>37041</v>
      </c>
      <c r="B155" s="119" t="str">
        <f aca="false">INDEX('[4]Master Data'!$A$2:$B$8,MATCH(WEEKDAY('TBS Gas MTM'!A155,3),'[4]Master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-221916</v>
      </c>
      <c r="P155" s="112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-221.916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INDEX('[4]Master Data'!$A$2:$B$8,MATCH(WEEKDAY('TBS Gas MTM'!A156,3),'[4]Master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-221916</v>
      </c>
      <c r="P156" s="112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-221.916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INDEX('[4]Master Data'!$A$2:$B$8,MATCH(WEEKDAY('TBS Gas MTM'!A157,3),'[4]Master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-221916</v>
      </c>
      <c r="P157" s="112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-221.916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INDEX('[4]Master Data'!$A$2:$B$8,MATCH(WEEKDAY('TBS Gas MTM'!A158,3),'[4]Master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-221916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-221.916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INDEX('[4]Master Data'!$A$2:$B$8,MATCH(WEEKDAY('TBS Gas MTM'!A159,3),'[4]Master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-221916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-221.916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INDEX('[4]Master Data'!$A$2:$B$8,MATCH(WEEKDAY('TBS Gas MTM'!A160,3),'[4]Master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-221916</v>
      </c>
      <c r="P160" s="112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-221.916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INDEX('[4]Master Data'!$A$2:$B$8,MATCH(WEEKDAY('TBS Gas MTM'!A161,3),'[4]Master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-221916</v>
      </c>
      <c r="P161" s="112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-221.916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INDEX('[4]Master Data'!$A$2:$B$8,MATCH(WEEKDAY('TBS Gas MTM'!A162,3),'[4]Master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-221916</v>
      </c>
      <c r="P162" s="112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-221.916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INDEX('[4]Master Data'!$A$2:$B$8,MATCH(WEEKDAY('TBS Gas MTM'!A163,3),'[4]Master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-221916</v>
      </c>
      <c r="P163" s="112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-221.916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INDEX('[4]Master Data'!$A$2:$B$8,MATCH(WEEKDAY('TBS Gas MTM'!A164,3),'[4]Master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-221916</v>
      </c>
      <c r="P164" s="112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-221.916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INDEX('[4]Master Data'!$A$2:$B$8,MATCH(WEEKDAY('TBS Gas MTM'!A165,3),'[4]Master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-221916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-221.916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INDEX('[4]Master Data'!$A$2:$B$8,MATCH(WEEKDAY('TBS Gas MTM'!A166,3),'[4]Master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-221916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-221.916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INDEX('[4]Master Data'!$A$2:$B$8,MATCH(WEEKDAY('TBS Gas MTM'!A167,3),'[4]Master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-221916</v>
      </c>
      <c r="P167" s="112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-221.916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INDEX('[4]Master Data'!$A$2:$B$8,MATCH(WEEKDAY('TBS Gas MTM'!A168,3),'[4]Master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-221916</v>
      </c>
      <c r="P168" s="112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-221.916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INDEX('[4]Master Data'!$A$2:$B$8,MATCH(WEEKDAY('TBS Gas MTM'!A169,3),'[4]Master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-221916</v>
      </c>
      <c r="P169" s="112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-221.916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INDEX('[4]Master Data'!$A$2:$B$8,MATCH(WEEKDAY('TBS Gas MTM'!A170,3),'[4]Master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-221916</v>
      </c>
      <c r="P170" s="112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-221.916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INDEX('[4]Master Data'!$A$2:$B$8,MATCH(WEEKDAY('TBS Gas MTM'!A171,3),'[4]Master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-221916</v>
      </c>
      <c r="P171" s="112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-221.916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INDEX('[4]Master Data'!$A$2:$B$8,MATCH(WEEKDAY('TBS Gas MTM'!A172,3),'[4]Master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-221916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-221.916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INDEX('[4]Master Data'!$A$2:$B$8,MATCH(WEEKDAY('TBS Gas MTM'!A173,3),'[4]Master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-221916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-221.916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INDEX('[4]Master Data'!$A$2:$B$8,MATCH(WEEKDAY('TBS Gas MTM'!A174,3),'[4]Master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-221916</v>
      </c>
      <c r="P174" s="112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-221.916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INDEX('[4]Master Data'!$A$2:$B$8,MATCH(WEEKDAY('TBS Gas MTM'!A175,3),'[4]Master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-221916</v>
      </c>
      <c r="P175" s="112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-221.916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INDEX('[4]Master Data'!$A$2:$B$8,MATCH(WEEKDAY('TBS Gas MTM'!A176,3),'[4]Master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-221916</v>
      </c>
      <c r="P176" s="112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-221.916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INDEX('[4]Master Data'!$A$2:$B$8,MATCH(WEEKDAY('TBS Gas MTM'!A177,3),'[4]Master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-221916</v>
      </c>
      <c r="P177" s="112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-221.916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INDEX('[4]Master Data'!$A$2:$B$8,MATCH(WEEKDAY('TBS Gas MTM'!A178,3),'[4]Master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-221916</v>
      </c>
      <c r="P178" s="112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-221.916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INDEX('[4]Master Data'!$A$2:$B$8,MATCH(WEEKDAY('TBS Gas MTM'!A179,3),'[4]Master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-221916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-221.916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INDEX('[4]Master Data'!$A$2:$B$8,MATCH(WEEKDAY('TBS Gas MTM'!A180,3),'[4]Master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-221916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-221.916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INDEX('[4]Master Data'!$A$2:$B$8,MATCH(WEEKDAY('TBS Gas MTM'!A181,3),'[4]Master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-221916</v>
      </c>
      <c r="P181" s="112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-221.916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INDEX('[4]Master Data'!$A$2:$B$8,MATCH(WEEKDAY('TBS Gas MTM'!A182,3),'[4]Master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-221916</v>
      </c>
      <c r="P182" s="112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-221.916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INDEX('[4]Master Data'!$A$2:$B$8,MATCH(WEEKDAY('TBS Gas MTM'!A183,3),'[4]Master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-221916</v>
      </c>
      <c r="P183" s="112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-221.916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INDEX('[4]Master Data'!$A$2:$B$8,MATCH(WEEKDAY('TBS Gas MTM'!A184,3),'[4]Master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-221916</v>
      </c>
      <c r="P184" s="112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-221.916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INDEX('[4]Master Data'!$A$2:$B$8,MATCH(WEEKDAY('TBS Gas MTM'!A185,3),'[4]Master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-221916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-221.916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INDEX('[4]Master Data'!$A$2:$B$8,MATCH(WEEKDAY('TBS Gas MTM'!A186,3),'[4]Master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-221916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-221.916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INDEX('[4]Master Data'!$A$2:$B$8,MATCH(WEEKDAY('TBS Gas MTM'!A187,3),'[4]Master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-221916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-221.916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INDEX('[4]Master Data'!$A$2:$B$8,MATCH(WEEKDAY('TBS Gas MTM'!A188,3),'[4]Master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-221916</v>
      </c>
      <c r="P188" s="112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-221.916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INDEX('[4]Master Data'!$A$2:$B$8,MATCH(WEEKDAY('TBS Gas MTM'!A189,3),'[4]Master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-221916</v>
      </c>
      <c r="P189" s="112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-221.916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INDEX('[4]Master Data'!$A$2:$B$8,MATCH(WEEKDAY('TBS Gas MTM'!A190,3),'[4]Master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-221916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-221.916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INDEX('[4]Master Data'!$A$2:$B$8,MATCH(WEEKDAY('TBS Gas MTM'!A191,3),'[4]Master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-221916</v>
      </c>
      <c r="P191" s="112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-221.916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INDEX('[4]Master Data'!$A$2:$B$8,MATCH(WEEKDAY('TBS Gas MTM'!A192,3),'[4]Master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-221916</v>
      </c>
      <c r="P192" s="112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-221.916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INDEX('[4]Master Data'!$A$2:$B$8,MATCH(WEEKDAY('TBS Gas MTM'!A193,3),'[4]Master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-221916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-221.916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INDEX('[4]Master Data'!$A$2:$B$8,MATCH(WEEKDAY('TBS Gas MTM'!A194,3),'[4]Master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-221916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-221.916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INDEX('[4]Master Data'!$A$2:$B$8,MATCH(WEEKDAY('TBS Gas MTM'!A195,3),'[4]Master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-221916</v>
      </c>
      <c r="P195" s="112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-221.916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INDEX('[4]Master Data'!$A$2:$B$8,MATCH(WEEKDAY('TBS Gas MTM'!A196,3),'[4]Master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-221916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-221.916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INDEX('[4]Master Data'!$A$2:$B$8,MATCH(WEEKDAY('TBS Gas MTM'!A197,3),'[4]Master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-221916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-221.916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INDEX('[4]Master Data'!$A$2:$B$8,MATCH(WEEKDAY('TBS Gas MTM'!A198,3),'[4]Master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-221916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-221.916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INDEX('[4]Master Data'!$A$2:$B$8,MATCH(WEEKDAY('TBS Gas MTM'!A199,3),'[4]Master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-221916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-221.916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INDEX('[4]Master Data'!$A$2:$B$8,MATCH(WEEKDAY('TBS Gas MTM'!A200,3),'[4]Master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-221916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-221.916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INDEX('[4]Master Data'!$A$2:$B$8,MATCH(WEEKDAY('TBS Gas MTM'!A201,3),'[4]Master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-221916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-221.916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INDEX('[4]Master Data'!$A$2:$B$8,MATCH(WEEKDAY('TBS Gas MTM'!A202,3),'[4]Master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-221916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-221.916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INDEX('[4]Master Data'!$A$2:$B$8,MATCH(WEEKDAY('TBS Gas MTM'!A203,3),'[4]Master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-221916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-221.916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INDEX('[4]Master Data'!$A$2:$B$8,MATCH(WEEKDAY('TBS Gas MTM'!A204,3),'[4]Master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-221916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-221.916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INDEX('[4]Master Data'!$A$2:$B$8,MATCH(WEEKDAY('TBS Gas MTM'!A205,3),'[4]Master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-221916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-221.916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INDEX('[4]Master Data'!$A$2:$B$8,MATCH(WEEKDAY('TBS Gas MTM'!A206,3),'[4]Master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-221916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-221.916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INDEX('[4]Master Data'!$A$2:$B$8,MATCH(WEEKDAY('TBS Gas MTM'!A207,3),'[4]Master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-221916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-221.916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INDEX('[4]Master Data'!$A$2:$B$8,MATCH(WEEKDAY('TBS Gas MTM'!A208,3),'[4]Master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-221916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-221.916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INDEX('[4]Master Data'!$A$2:$B$8,MATCH(WEEKDAY('TBS Gas MTM'!A209,3),'[4]Master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-221916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-221.916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INDEX('[4]Master Data'!$A$2:$B$8,MATCH(WEEKDAY('TBS Gas MTM'!A210,3),'[4]Master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-221916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-221.916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INDEX('[4]Master Data'!$A$2:$B$8,MATCH(WEEKDAY('TBS Gas MTM'!A211,3),'[4]Master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-221916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-221.916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INDEX('[4]Master Data'!$A$2:$B$8,MATCH(WEEKDAY('TBS Gas MTM'!A212,3),'[4]Master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-221916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-221.916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INDEX('[4]Master Data'!$A$2:$B$8,MATCH(WEEKDAY('TBS Gas MTM'!A213,3),'[4]Master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-221916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-221.916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INDEX('[4]Master Data'!$A$2:$B$8,MATCH(WEEKDAY('TBS Gas MTM'!A214,3),'[4]Master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-221916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-221.916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INDEX('[4]Master Data'!$A$2:$B$8,MATCH(WEEKDAY('TBS Gas MTM'!A215,3),'[4]Master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-221916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-221.916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INDEX('[4]Master Data'!$A$2:$B$8,MATCH(WEEKDAY('TBS Gas MTM'!A216,3),'[4]Master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-221916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-221.916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INDEX('[4]Master Data'!$A$2:$B$8,MATCH(WEEKDAY('TBS Gas MTM'!A217,3),'[4]Master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-221916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-221.916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INDEX('[4]Master Data'!$A$2:$B$8,MATCH(WEEKDAY('TBS Gas MTM'!A218,3),'[4]Master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-221916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-221.916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INDEX('[4]Master Data'!$A$2:$B$8,MATCH(WEEKDAY('TBS Gas MTM'!A219,3),'[4]Master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-221916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-221.916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INDEX('[4]Master Data'!$A$2:$B$8,MATCH(WEEKDAY('TBS Gas MTM'!A220,3),'[4]Master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-221916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-221.916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INDEX('[4]Master Data'!$A$2:$B$8,MATCH(WEEKDAY('TBS Gas MTM'!A221,3),'[4]Master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-221916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-221.916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INDEX('[4]Master Data'!$A$2:$B$8,MATCH(WEEKDAY('TBS Gas MTM'!A222,3),'[4]Master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-221916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-221.916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INDEX('[4]Master Data'!$A$2:$B$8,MATCH(WEEKDAY('TBS Gas MTM'!A223,3),'[4]Master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-221916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-221.916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INDEX('[4]Master Data'!$A$2:$B$8,MATCH(WEEKDAY('TBS Gas MTM'!A224,3),'[4]Master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-221916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-221.916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INDEX('[4]Master Data'!$A$2:$B$8,MATCH(WEEKDAY('TBS Gas MTM'!A225,3),'[4]Master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-221916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-221.916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INDEX('[4]Master Data'!$A$2:$B$8,MATCH(WEEKDAY('TBS Gas MTM'!A226,3),'[4]Master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-221916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-221.916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INDEX('[4]Master Data'!$A$2:$B$8,MATCH(WEEKDAY('TBS Gas MTM'!A227,3),'[4]Master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-221916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-221.916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INDEX('[4]Master Data'!$A$2:$B$8,MATCH(WEEKDAY('TBS Gas MTM'!A228,3),'[4]Master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-221916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-221.916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INDEX('[4]Master Data'!$A$2:$B$8,MATCH(WEEKDAY('TBS Gas MTM'!A229,3),'[4]Master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-221916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-221.916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INDEX('[4]Master Data'!$A$2:$B$8,MATCH(WEEKDAY('TBS Gas MTM'!A230,3),'[4]Master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-221916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-221.916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INDEX('[4]Master Data'!$A$2:$B$8,MATCH(WEEKDAY('TBS Gas MTM'!A231,3),'[4]Master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-221916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-221.916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INDEX('[4]Master Data'!$A$2:$B$8,MATCH(WEEKDAY('TBS Gas MTM'!A232,3),'[4]Master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-221916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-221.916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INDEX('[4]Master Data'!$A$2:$B$8,MATCH(WEEKDAY('TBS Gas MTM'!A233,3),'[4]Master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-221916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-221.916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INDEX('[4]Master Data'!$A$2:$B$8,MATCH(WEEKDAY('TBS Gas MTM'!A234,3),'[4]Master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-221916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-221.916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INDEX('[4]Master Data'!$A$2:$B$8,MATCH(WEEKDAY('TBS Gas MTM'!A235,3),'[4]Master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-221916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-221.916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INDEX('[4]Master Data'!$A$2:$B$8,MATCH(WEEKDAY('TBS Gas MTM'!A236,3),'[4]Master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-221916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-221.916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INDEX('[4]Master Data'!$A$2:$B$8,MATCH(WEEKDAY('TBS Gas MTM'!A237,3),'[4]Master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-221916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-221.916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INDEX('[4]Master Data'!$A$2:$B$8,MATCH(WEEKDAY('TBS Gas MTM'!A238,3),'[4]Master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-221916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-221.916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INDEX('[4]Master Data'!$A$2:$B$8,MATCH(WEEKDAY('TBS Gas MTM'!A239,3),'[4]Master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-221916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-221.916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INDEX('[4]Master Data'!$A$2:$B$8,MATCH(WEEKDAY('TBS Gas MTM'!A240,3),'[4]Master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-221916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-221.916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INDEX('[4]Master Data'!$A$2:$B$8,MATCH(WEEKDAY('TBS Gas MTM'!A241,3),'[4]Master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-221916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-221.916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INDEX('[4]Master Data'!$A$2:$B$8,MATCH(WEEKDAY('TBS Gas MTM'!A242,3),'[4]Master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-221916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-221.916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INDEX('[4]Master Data'!$A$2:$B$8,MATCH(WEEKDAY('TBS Gas MTM'!A243,3),'[4]Master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-221916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-221.916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INDEX('[4]Master Data'!$A$2:$B$8,MATCH(WEEKDAY('TBS Gas MTM'!A244,3),'[4]Master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-221916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-221.916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INDEX('[4]Master Data'!$A$2:$B$8,MATCH(WEEKDAY('TBS Gas MTM'!A245,3),'[4]Master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-221916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-221.916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INDEX('[4]Master Data'!$A$2:$B$8,MATCH(WEEKDAY('TBS Gas MTM'!A246,3),'[4]Master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-221916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-221.916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INDEX('[4]Master Data'!$A$2:$B$8,MATCH(WEEKDAY('TBS Gas MTM'!A247,3),'[4]Master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-221916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-221.916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INDEX('[4]Master Data'!$A$2:$B$8,MATCH(WEEKDAY('TBS Gas MTM'!A248,3),'[4]Master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-221916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-221.916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INDEX('[4]Master Data'!$A$2:$B$8,MATCH(WEEKDAY('TBS Gas MTM'!A249,3),'[4]Master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-221916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-221.916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INDEX('[4]Master Data'!$A$2:$B$8,MATCH(WEEKDAY('TBS Gas MTM'!A250,3),'[4]Master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-221916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-221.916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INDEX('[4]Master Data'!$A$2:$B$8,MATCH(WEEKDAY('TBS Gas MTM'!A251,3),'[4]Master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-221916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-221.916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INDEX('[4]Master Data'!$A$2:$B$8,MATCH(WEEKDAY('TBS Gas MTM'!A252,3),'[4]Master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-221916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-221.916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INDEX('[4]Master Data'!$A$2:$B$8,MATCH(WEEKDAY('TBS Gas MTM'!A253,3),'[4]Master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-221916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-221.916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INDEX('[4]Master Data'!$A$2:$B$8,MATCH(WEEKDAY('TBS Gas MTM'!A254,3),'[4]Master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-221916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-221.916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INDEX('[4]Master Data'!$A$2:$B$8,MATCH(WEEKDAY('TBS Gas MTM'!A255,3),'[4]Master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-221916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-221.916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INDEX('[4]Master Data'!$A$2:$B$8,MATCH(WEEKDAY('TBS Gas MTM'!A256,3),'[4]Master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-221916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-221.916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INDEX('[4]Master Data'!$A$2:$B$8,MATCH(WEEKDAY('TBS Gas MTM'!A257,3),'[4]Master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-221916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-221.916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INDEX('[4]Master Data'!$A$2:$B$8,MATCH(WEEKDAY('TBS Gas MTM'!A258,3),'[4]Master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-221916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-221.916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INDEX('[4]Master Data'!$A$2:$B$8,MATCH(WEEKDAY('TBS Gas MTM'!A259,3),'[4]Master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-221916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-221.916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INDEX('[4]Master Data'!$A$2:$B$8,MATCH(WEEKDAY('TBS Gas MTM'!A260,3),'[4]Master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-221916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-221.916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INDEX('[4]Master Data'!$A$2:$B$8,MATCH(WEEKDAY('TBS Gas MTM'!A261,3),'[4]Master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-221916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-221.916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INDEX('[4]Master Data'!$A$2:$B$8,MATCH(WEEKDAY('TBS Gas MTM'!A262,3),'[4]Master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-221916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-221.916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INDEX('[4]Master Data'!$A$2:$B$8,MATCH(WEEKDAY('TBS Gas MTM'!A263,3),'[4]Master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-221916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-221.916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INDEX('[4]Master Data'!$A$2:$B$8,MATCH(WEEKDAY('TBS Gas MTM'!A264,3),'[4]Master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-221916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-221.916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INDEX('[4]Master Data'!$A$2:$B$8,MATCH(WEEKDAY('TBS Gas MTM'!A265,3),'[4]Master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-221916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-221.916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INDEX('[4]Master Data'!$A$2:$B$8,MATCH(WEEKDAY('TBS Gas MTM'!A266,3),'[4]Master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-221916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-221.916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INDEX('[4]Master Data'!$A$2:$B$8,MATCH(WEEKDAY('TBS Gas MTM'!A267,3),'[4]Master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-221916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-221.916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INDEX('[4]Master Data'!$A$2:$B$8,MATCH(WEEKDAY('TBS Gas MTM'!A268,3),'[4]Master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-221916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-221.916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INDEX('[4]Master Data'!$A$2:$B$8,MATCH(WEEKDAY('TBS Gas MTM'!A269,3),'[4]Master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-221916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-221.916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INDEX('[4]Master Data'!$A$2:$B$8,MATCH(WEEKDAY('TBS Gas MTM'!A270,3),'[4]Master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-221916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-221.916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INDEX('[4]Master Data'!$A$2:$B$8,MATCH(WEEKDAY('TBS Gas MTM'!A271,3),'[4]Master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-221916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-221.916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INDEX('[4]Master Data'!$A$2:$B$8,MATCH(WEEKDAY('TBS Gas MTM'!A272,3),'[4]Master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-221916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-221.916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INDEX('[4]Master Data'!$A$2:$B$8,MATCH(WEEKDAY('TBS Gas MTM'!A273,3),'[4]Master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-221916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-221.916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INDEX('[4]Master Data'!$A$2:$B$8,MATCH(WEEKDAY('TBS Gas MTM'!A274,3),'[4]Master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-221916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-221.916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INDEX('[4]Master Data'!$A$2:$B$8,MATCH(WEEKDAY('TBS Gas MTM'!A275,3),'[4]Master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-221916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-221.916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INDEX('[4]Master Data'!$A$2:$B$8,MATCH(WEEKDAY('TBS Gas MTM'!A276,3),'[4]Master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-221916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-221.916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INDEX('[4]Master Data'!$A$2:$B$8,MATCH(WEEKDAY('TBS Gas MTM'!A277,3),'[4]Master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-221916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-221.916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INDEX('[4]Master Data'!$A$2:$B$8,MATCH(WEEKDAY('TBS Gas MTM'!A278,3),'[4]Master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-221916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-221.916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INDEX('[4]Master Data'!$A$2:$B$8,MATCH(WEEKDAY('TBS Gas MTM'!A279,3),'[4]Master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-221916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-221.916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INDEX('[4]Master Data'!$A$2:$B$8,MATCH(WEEKDAY('TBS Gas MTM'!A280,3),'[4]Master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-221916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-221.916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INDEX('[4]Master Data'!$A$2:$B$8,MATCH(WEEKDAY('TBS Gas MTM'!A281,3),'[4]Master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-221916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-221.916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INDEX('[4]Master Data'!$A$2:$B$8,MATCH(WEEKDAY('TBS Gas MTM'!A282,3),'[4]Master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-221916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-221.916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INDEX('[4]Master Data'!$A$2:$B$8,MATCH(WEEKDAY('TBS Gas MTM'!A283,3),'[4]Master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-221916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-221.916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INDEX('[4]Master Data'!$A$2:$B$8,MATCH(WEEKDAY('TBS Gas MTM'!A284,3),'[4]Master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-221916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-221.916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INDEX('[4]Master Data'!$A$2:$B$8,MATCH(WEEKDAY('TBS Gas MTM'!A285,3),'[4]Master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-221916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-221.916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INDEX('[4]Master Data'!$A$2:$B$8,MATCH(WEEKDAY('TBS Gas MTM'!A286,3),'[4]Master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-221916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-221.916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INDEX('[4]Master Data'!$A$2:$B$8,MATCH(WEEKDAY('TBS Gas MTM'!A287,3),'[4]Master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-221916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-221.916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INDEX('[4]Master Data'!$A$2:$B$8,MATCH(WEEKDAY('TBS Gas MTM'!A288,3),'[4]Master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-221916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-221.916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INDEX('[4]Master Data'!$A$2:$B$8,MATCH(WEEKDAY('TBS Gas MTM'!A289,3),'[4]Master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-221916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-221.916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INDEX('[4]Master Data'!$A$2:$B$8,MATCH(WEEKDAY('TBS Gas MTM'!A290,3),'[4]Master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-221916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-221.916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INDEX('[4]Master Data'!$A$2:$B$8,MATCH(WEEKDAY('TBS Gas MTM'!A291,3),'[4]Master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-221916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-221.916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INDEX('[4]Master Data'!$A$2:$B$8,MATCH(WEEKDAY('TBS Gas MTM'!A292,3),'[4]Master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-221916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-221.916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INDEX('[4]Master Data'!$A$2:$B$8,MATCH(WEEKDAY('TBS Gas MTM'!A293,3),'[4]Master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-221916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-221.916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INDEX('[4]Master Data'!$A$2:$B$8,MATCH(WEEKDAY('TBS Gas MTM'!A294,3),'[4]Master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-221916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-221.916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INDEX('[4]Master Data'!$A$2:$B$8,MATCH(WEEKDAY('TBS Gas MTM'!A295,3),'[4]Master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-221916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-221.916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INDEX('[4]Master Data'!$A$2:$B$8,MATCH(WEEKDAY('TBS Gas MTM'!A296,3),'[4]Master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-221916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-221.916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INDEX('[4]Master Data'!$A$2:$B$8,MATCH(WEEKDAY('TBS Gas MTM'!A297,3),'[4]Master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-221916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-221.916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INDEX('[4]Master Data'!$A$2:$B$8,MATCH(WEEKDAY('TBS Gas MTM'!A298,3),'[4]Master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-221916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-221.916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INDEX('[4]Master Data'!$A$2:$B$8,MATCH(WEEKDAY('TBS Gas MTM'!A299,3),'[4]Master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-221916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-221.916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INDEX('[4]Master Data'!$A$2:$B$8,MATCH(WEEKDAY('TBS Gas MTM'!A300,3),'[4]Master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-221916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-221.916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INDEX('[4]Master Data'!$A$2:$B$8,MATCH(WEEKDAY('TBS Gas MTM'!A301,3),'[4]Master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-221916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-221.916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INDEX('[4]Master Data'!$A$2:$B$8,MATCH(WEEKDAY('TBS Gas MTM'!A302,3),'[4]Master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-221916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-221.916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INDEX('[4]Master Data'!$A$2:$B$8,MATCH(WEEKDAY('TBS Gas MTM'!A303,3),'[4]Master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-221916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-221.916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INDEX('[4]Master Data'!$A$2:$B$8,MATCH(WEEKDAY('TBS Gas MTM'!A304,3),'[4]Master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-221916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-221.916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INDEX('[4]Master Data'!$A$2:$B$8,MATCH(WEEKDAY('TBS Gas MTM'!A305,3),'[4]Master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-221916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-221.916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INDEX('[4]Master Data'!$A$2:$B$8,MATCH(WEEKDAY('TBS Gas MTM'!A306,3),'[4]Master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-221916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-221.916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INDEX('[4]Master Data'!$A$2:$B$8,MATCH(WEEKDAY('TBS Gas MTM'!A307,3),'[4]Master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-221916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-221.916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INDEX('[4]Master Data'!$A$2:$B$8,MATCH(WEEKDAY('TBS Gas MTM'!A308,3),'[4]Master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-221916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-221.916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INDEX('[4]Master Data'!$A$2:$B$8,MATCH(WEEKDAY('TBS Gas MTM'!A309,3),'[4]Master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-221916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-221.916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INDEX('[4]Master Data'!$A$2:$B$8,MATCH(WEEKDAY('TBS Gas MTM'!A310,3),'[4]Master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-221916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-221.916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INDEX('[4]Master Data'!$A$2:$B$8,MATCH(WEEKDAY('TBS Gas MTM'!A311,3),'[4]Master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-221916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-221.916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INDEX('[4]Master Data'!$A$2:$B$8,MATCH(WEEKDAY('TBS Gas MTM'!A312,3),'[4]Master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-221916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-221.916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INDEX('[4]Master Data'!$A$2:$B$8,MATCH(WEEKDAY('TBS Gas MTM'!A313,3),'[4]Master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-221916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-221.916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INDEX('[4]Master Data'!$A$2:$B$8,MATCH(WEEKDAY('TBS Gas MTM'!A314,3),'[4]Master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-221916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-221.916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INDEX('[4]Master Data'!$A$2:$B$8,MATCH(WEEKDAY('TBS Gas MTM'!A315,3),'[4]Master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-221916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-221.916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INDEX('[4]Master Data'!$A$2:$B$8,MATCH(WEEKDAY('TBS Gas MTM'!A316,3),'[4]Master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-221916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-221.916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INDEX('[4]Master Data'!$A$2:$B$8,MATCH(WEEKDAY('TBS Gas MTM'!A317,3),'[4]Master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-221916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-221.916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INDEX('[4]Master Data'!$A$2:$B$8,MATCH(WEEKDAY('TBS Gas MTM'!A318,3),'[4]Master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-221916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-221.916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INDEX('[4]Master Data'!$A$2:$B$8,MATCH(WEEKDAY('TBS Gas MTM'!A319,3),'[4]Master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-221916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-221.916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INDEX('[4]Master Data'!$A$2:$B$8,MATCH(WEEKDAY('TBS Gas MTM'!A320,3),'[4]Master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-221916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-221.916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INDEX('[4]Master Data'!$A$2:$B$8,MATCH(WEEKDAY('TBS Gas MTM'!A321,3),'[4]Master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-221916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-221.916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INDEX('[4]Master Data'!$A$2:$B$8,MATCH(WEEKDAY('TBS Gas MTM'!A322,3),'[4]Master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-221916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-221.916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INDEX('[4]Master Data'!$A$2:$B$8,MATCH(WEEKDAY('TBS Gas MTM'!A323,3),'[4]Master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-221916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-221.916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INDEX('[4]Master Data'!$A$2:$B$8,MATCH(WEEKDAY('TBS Gas MTM'!A324,3),'[4]Master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-221916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-221.916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INDEX('[4]Master Data'!$A$2:$B$8,MATCH(WEEKDAY('TBS Gas MTM'!A325,3),'[4]Master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-221916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-221.916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INDEX('[4]Master Data'!$A$2:$B$8,MATCH(WEEKDAY('TBS Gas MTM'!A326,3),'[4]Master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-221916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-221.916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INDEX('[4]Master Data'!$A$2:$B$8,MATCH(WEEKDAY('TBS Gas MTM'!A327,3),'[4]Master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-221916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-221.916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INDEX('[4]Master Data'!$A$2:$B$8,MATCH(WEEKDAY('TBS Gas MTM'!A328,3),'[4]Master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-221916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-221.916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INDEX('[4]Master Data'!$A$2:$B$8,MATCH(WEEKDAY('TBS Gas MTM'!A329,3),'[4]Master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-221916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-221.916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INDEX('[4]Master Data'!$A$2:$B$8,MATCH(WEEKDAY('TBS Gas MTM'!A330,3),'[4]Master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-221916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-221.916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INDEX('[4]Master Data'!$A$2:$B$8,MATCH(WEEKDAY('TBS Gas MTM'!A331,3),'[4]Master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-221916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-221.916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INDEX('[4]Master Data'!$A$2:$B$8,MATCH(WEEKDAY('TBS Gas MTM'!A332,3),'[4]Master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-221916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-221.916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INDEX('[4]Master Data'!$A$2:$B$8,MATCH(WEEKDAY('TBS Gas MTM'!A333,3),'[4]Master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-221916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-221.916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INDEX('[4]Master Data'!$A$2:$B$8,MATCH(WEEKDAY('TBS Gas MTM'!A334,3),'[4]Master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-221916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-221.916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INDEX('[4]Master Data'!$A$2:$B$8,MATCH(WEEKDAY('TBS Gas MTM'!A335,3),'[4]Master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-221916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-221.916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INDEX('[4]Master Data'!$A$2:$B$8,MATCH(WEEKDAY('TBS Gas MTM'!A336,3),'[4]Master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-221916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-221.916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INDEX('[4]Master Data'!$A$2:$B$8,MATCH(WEEKDAY('TBS Gas MTM'!A337,3),'[4]Master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-221916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-221.916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INDEX('[4]Master Data'!$A$2:$B$8,MATCH(WEEKDAY('TBS Gas MTM'!A338,3),'[4]Master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-221916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-221.916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INDEX('[4]Master Data'!$A$2:$B$8,MATCH(WEEKDAY('TBS Gas MTM'!A339,3),'[4]Master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-221916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-221.916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INDEX('[4]Master Data'!$A$2:$B$8,MATCH(WEEKDAY('TBS Gas MTM'!A340,3),'[4]Master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-221916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-221.916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INDEX('[4]Master Data'!$A$2:$B$8,MATCH(WEEKDAY('TBS Gas MTM'!A341,3),'[4]Master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-221916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-221.916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INDEX('[4]Master Data'!$A$2:$B$8,MATCH(WEEKDAY('TBS Gas MTM'!A342,3),'[4]Master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-221916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-221.916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INDEX('[4]Master Data'!$A$2:$B$8,MATCH(WEEKDAY('TBS Gas MTM'!A343,3),'[4]Master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-221916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-221.916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INDEX('[4]Master Data'!$A$2:$B$8,MATCH(WEEKDAY('TBS Gas MTM'!A344,3),'[4]Master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-221916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-221.916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INDEX('[4]Master Data'!$A$2:$B$8,MATCH(WEEKDAY('TBS Gas MTM'!A345,3),'[4]Master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-221916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-221.916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INDEX('[4]Master Data'!$A$2:$B$8,MATCH(WEEKDAY('TBS Gas MTM'!A346,3),'[4]Master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-221916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-221.916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INDEX('[4]Master Data'!$A$2:$B$8,MATCH(WEEKDAY('TBS Gas MTM'!A347,3),'[4]Master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-221916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-221.916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INDEX('[4]Master Data'!$A$2:$B$8,MATCH(WEEKDAY('TBS Gas MTM'!A348,3),'[4]Master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-221916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-221.916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INDEX('[4]Master Data'!$A$2:$B$8,MATCH(WEEKDAY('TBS Gas MTM'!A349,3),'[4]Master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-221916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-221.916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INDEX('[4]Master Data'!$A$2:$B$8,MATCH(WEEKDAY('TBS Gas MTM'!A350,3),'[4]Master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-221916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-221.916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INDEX('[4]Master Data'!$A$2:$B$8,MATCH(WEEKDAY('TBS Gas MTM'!A351,3),'[4]Master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-221916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-221.916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INDEX('[4]Master Data'!$A$2:$B$8,MATCH(WEEKDAY('TBS Gas MTM'!A352,3),'[4]Master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-221916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-221.916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INDEX('[4]Master Data'!$A$2:$B$8,MATCH(WEEKDAY('TBS Gas MTM'!A353,3),'[4]Master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-221916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-221.916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INDEX('[4]Master Data'!$A$2:$B$8,MATCH(WEEKDAY('TBS Gas MTM'!A354,3),'[4]Master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-221916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-221.916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INDEX('[4]Master Data'!$A$2:$B$8,MATCH(WEEKDAY('TBS Gas MTM'!A355,3),'[4]Master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-221916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-221.916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INDEX('[4]Master Data'!$A$2:$B$8,MATCH(WEEKDAY('TBS Gas MTM'!A356,3),'[4]Master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-221916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-221.916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INDEX('[4]Master Data'!$A$2:$B$8,MATCH(WEEKDAY('TBS Gas MTM'!A357,3),'[4]Master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-221916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-221.916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INDEX('[4]Master Data'!$A$2:$B$8,MATCH(WEEKDAY('TBS Gas MTM'!A358,3),'[4]Master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-221916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-221.916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INDEX('[4]Master Data'!$A$2:$B$8,MATCH(WEEKDAY('TBS Gas MTM'!A359,3),'[4]Master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-221916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-221.916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INDEX('[4]Master Data'!$A$2:$B$8,MATCH(WEEKDAY('TBS Gas MTM'!A360,3),'[4]Master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-221916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-221.916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INDEX('[4]Master Data'!$A$2:$B$8,MATCH(WEEKDAY('TBS Gas MTM'!A361,3),'[4]Master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-221916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-221.916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INDEX('[4]Master Data'!$A$2:$B$8,MATCH(WEEKDAY('TBS Gas MTM'!A362,3),'[4]Master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-221916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-221.916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INDEX('[4]Master Data'!$A$2:$B$8,MATCH(WEEKDAY('TBS Gas MTM'!A363,3),'[4]Master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-221916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-221.916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INDEX('[4]Master Data'!$A$2:$B$8,MATCH(WEEKDAY('TBS Gas MTM'!A364,3),'[4]Master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-221916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-221.916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INDEX('[4]Master Data'!$A$2:$B$8,MATCH(WEEKDAY('TBS Gas MTM'!A365,3),'[4]Master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-221916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-221.916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INDEX('[4]Master Data'!$A$2:$B$8,MATCH(WEEKDAY('TBS Gas MTM'!A366,3),'[4]Master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-221916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-221.916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INDEX('[4]Master Data'!$A$2:$B$8,MATCH(WEEKDAY('TBS Gas MTM'!A367,3),'[4]Master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-221916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-221.916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INDEX('[4]Master Data'!$A$2:$B$8,MATCH(WEEKDAY('TBS Gas MTM'!A368,3),'[4]Master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-221916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-221.916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INDEX('[4]Master Data'!$A$2:$B$8,MATCH(WEEKDAY('TBS Gas MTM'!A369,3),'[4]Master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-221916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-221.916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INDEX('[4]Master Data'!$A$2:$B$8,MATCH(WEEKDAY('TBS Gas MTM'!A370,3),'[4]Master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-221916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-221.916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INDEX('[4]Master Data'!$A$2:$B$8,MATCH(WEEKDAY('TBS Gas MTM'!A371,3),'[4]Master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-221916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82</v>
      </c>
      <c r="E4" s="119" t="s">
        <v>82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83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INDEX('[4]Master Data'!$A$2:$B$8,MATCH(WEEKDAY('TBS CRD MTM'!A6,3),'[4]Master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INDEX('[4]Master Data'!$A$2:$B$8,MATCH(WEEKDAY('TBS CRD MTM'!A7,3),'[4]Master Data'!$A$2:$A$8,0),2)</f>
        <v>T</v>
      </c>
      <c r="D7" s="112" t="n">
        <v>-369</v>
      </c>
      <c r="E7" s="112" t="n">
        <v>0</v>
      </c>
      <c r="F7" s="112" t="n">
        <v>0</v>
      </c>
      <c r="G7" s="112" t="n">
        <v>-20216</v>
      </c>
      <c r="I7" s="112" t="n">
        <f aca="false">IF(MONTH($A7)=MONTH($A6),IF(G7=0,I6,G7),0)</f>
        <v>-20216</v>
      </c>
      <c r="J7" s="112" t="n">
        <f aca="false">IF(MONTH($A7)=MONTH($A6),SUM(I7-I6),I7)</f>
        <v>-20216</v>
      </c>
      <c r="K7" s="112" t="n">
        <f aca="false">IF(WEEKDAY(A7,3)&gt;4,0,(IF(A7&lt;K$2,0,IF(A7&lt;=K$3,1,0))))</f>
        <v>0</v>
      </c>
      <c r="L7" s="112" t="n">
        <f aca="false">J7*K7</f>
        <v>-0</v>
      </c>
      <c r="M7" s="112" t="n">
        <f aca="false">SUM(J$6:J7)</f>
        <v>-20216</v>
      </c>
      <c r="N7" s="112" t="n">
        <f aca="false">SUM(J$6:J7)</f>
        <v>-20216</v>
      </c>
      <c r="P7" s="112" t="n">
        <f aca="false">D7/P$3</f>
        <v>-0.369</v>
      </c>
      <c r="Q7" s="112" t="n">
        <f aca="false">E7/P$3</f>
        <v>0</v>
      </c>
      <c r="R7" s="112" t="n">
        <f aca="false">F7/R$3</f>
        <v>0</v>
      </c>
      <c r="S7" s="114" t="n">
        <f aca="false">J7/$R$3</f>
        <v>-20.216</v>
      </c>
      <c r="T7" s="114" t="n">
        <f aca="false">L7/$R$3</f>
        <v>-0</v>
      </c>
      <c r="U7" s="114" t="n">
        <f aca="false">I7/$R$3</f>
        <v>-20.216</v>
      </c>
      <c r="V7" s="114" t="n">
        <f aca="false">M7/$R$3</f>
        <v>-20.216</v>
      </c>
      <c r="W7" s="114" t="n">
        <f aca="false">N7/$R$3</f>
        <v>-20.216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INDEX('[4]Master Data'!$A$2:$B$8,MATCH(WEEKDAY('TBS CRD MTM'!A8,3),'[4]Master Data'!$A$2:$A$8,0),2)</f>
        <v>W</v>
      </c>
      <c r="D8" s="112" t="n">
        <v>-350</v>
      </c>
      <c r="E8" s="112" t="n">
        <v>0</v>
      </c>
      <c r="F8" s="112" t="n">
        <v>0</v>
      </c>
      <c r="G8" s="112" t="n">
        <v>-543377</v>
      </c>
      <c r="I8" s="112" t="n">
        <f aca="false">IF(MONTH($A8)=MONTH($A7),IF(G8=0,I7,G8),0)</f>
        <v>-543377</v>
      </c>
      <c r="J8" s="112" t="n">
        <f aca="false">IF(MONTH($A8)=MONTH($A7),SUM(I8-I7),I8)</f>
        <v>-523161</v>
      </c>
      <c r="K8" s="112" t="n">
        <f aca="false">IF(WEEKDAY(A8,3)&gt;4,0,(IF(A8&lt;K$2,0,IF(A8&lt;=K$3,1,0))))</f>
        <v>0</v>
      </c>
      <c r="L8" s="112" t="n">
        <f aca="false">J8*K8</f>
        <v>-0</v>
      </c>
      <c r="M8" s="112" t="n">
        <f aca="false">SUM(J$6:J8)</f>
        <v>-543377</v>
      </c>
      <c r="N8" s="112" t="n">
        <f aca="false">SUM(J$6:J8)</f>
        <v>-543377</v>
      </c>
      <c r="P8" s="112" t="n">
        <f aca="false">D8/P$3</f>
        <v>-0.35</v>
      </c>
      <c r="Q8" s="112" t="n">
        <f aca="false">E8/P$3</f>
        <v>0</v>
      </c>
      <c r="R8" s="112" t="n">
        <f aca="false">F8/R$3</f>
        <v>0</v>
      </c>
      <c r="S8" s="114" t="n">
        <f aca="false">J8/$R$3</f>
        <v>-523.161</v>
      </c>
      <c r="T8" s="114" t="n">
        <f aca="false">L8/$R$3</f>
        <v>-0</v>
      </c>
      <c r="U8" s="114" t="n">
        <f aca="false">I8/$R$3</f>
        <v>-543.377</v>
      </c>
      <c r="V8" s="114" t="n">
        <f aca="false">M8/$R$3</f>
        <v>-543.377</v>
      </c>
      <c r="W8" s="114" t="n">
        <f aca="false">N8/$R$3</f>
        <v>-543.377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INDEX('[4]Master Data'!$A$2:$B$8,MATCH(WEEKDAY('TBS CRD MTM'!A9,3),'[4]Master Data'!$A$2:$A$8,0),2)</f>
        <v>Th</v>
      </c>
      <c r="D9" s="112" t="n">
        <v>-353</v>
      </c>
      <c r="E9" s="112" t="n">
        <v>0</v>
      </c>
      <c r="F9" s="112" t="n">
        <v>0</v>
      </c>
      <c r="G9" s="112" t="n">
        <v>-579834</v>
      </c>
      <c r="I9" s="112" t="n">
        <f aca="false">IF(MONTH($A9)=MONTH($A8),IF(G9=0,I8,G9),0)</f>
        <v>-579834</v>
      </c>
      <c r="J9" s="112" t="n">
        <f aca="false">IF(MONTH($A9)=MONTH($A8),SUM(I9-I8),I9)</f>
        <v>-36457</v>
      </c>
      <c r="K9" s="112" t="n">
        <f aca="false">IF(WEEKDAY(A9,3)&gt;4,0,(IF(A9&lt;K$2,0,IF(A9&lt;=K$3,1,0))))</f>
        <v>0</v>
      </c>
      <c r="L9" s="112" t="n">
        <f aca="false">J9*K9</f>
        <v>-0</v>
      </c>
      <c r="M9" s="112" t="n">
        <f aca="false">SUM(J$6:J9)</f>
        <v>-579834</v>
      </c>
      <c r="N9" s="112" t="n">
        <f aca="false">SUM(J$6:J9)</f>
        <v>-579834</v>
      </c>
      <c r="P9" s="112" t="n">
        <f aca="false">D9/P$3</f>
        <v>-0.353</v>
      </c>
      <c r="Q9" s="112" t="n">
        <f aca="false">E9/P$3</f>
        <v>0</v>
      </c>
      <c r="R9" s="112" t="n">
        <f aca="false">F9/R$3</f>
        <v>0</v>
      </c>
      <c r="S9" s="114" t="n">
        <f aca="false">J9/$R$3</f>
        <v>-36.457</v>
      </c>
      <c r="T9" s="114" t="n">
        <f aca="false">L9/$R$3</f>
        <v>-0</v>
      </c>
      <c r="U9" s="114" t="n">
        <f aca="false">I9/$R$3</f>
        <v>-579.834</v>
      </c>
      <c r="V9" s="114" t="n">
        <f aca="false">M9/$R$3</f>
        <v>-579.834</v>
      </c>
      <c r="W9" s="114" t="n">
        <f aca="false">N9/$R$3</f>
        <v>-579.834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INDEX('[4]Master Data'!$A$2:$B$8,MATCH(WEEKDAY('TBS CRD MTM'!A10,3),'[4]Master Data'!$A$2:$A$8,0),2)</f>
        <v>F</v>
      </c>
      <c r="D10" s="112" t="n">
        <v>-380</v>
      </c>
      <c r="E10" s="112" t="n">
        <v>0</v>
      </c>
      <c r="F10" s="112" t="n">
        <v>0</v>
      </c>
      <c r="G10" s="112" t="n">
        <v>-99538</v>
      </c>
      <c r="I10" s="112" t="n">
        <f aca="false">IF(MONTH($A10)=MONTH($A9),IF(G10=0,I9,G10),0)</f>
        <v>-99538</v>
      </c>
      <c r="J10" s="112" t="n">
        <f aca="false">IF(MONTH($A10)=MONTH($A9),SUM(I10-I9),I10)</f>
        <v>480296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-99538</v>
      </c>
      <c r="N10" s="112" t="n">
        <f aca="false">SUM(J$6:J10)</f>
        <v>-99538</v>
      </c>
      <c r="P10" s="112" t="n">
        <f aca="false">D10/P$3</f>
        <v>-0.38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480.296</v>
      </c>
      <c r="T10" s="114" t="n">
        <f aca="false">L10/$R$3</f>
        <v>0</v>
      </c>
      <c r="U10" s="114" t="n">
        <f aca="false">I10/$R$3</f>
        <v>-99.538</v>
      </c>
      <c r="V10" s="114" t="n">
        <f aca="false">M10/$R$3</f>
        <v>-99.538</v>
      </c>
      <c r="W10" s="114" t="n">
        <f aca="false">N10/$R$3</f>
        <v>-99.538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INDEX('[4]Master Data'!$A$2:$B$8,MATCH(WEEKDAY('TBS CRD MTM'!A11,3),'[4]Master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-99538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-99538</v>
      </c>
      <c r="N11" s="112" t="n">
        <f aca="false">SUM(J$6:J11)</f>
        <v>-99538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-99.538</v>
      </c>
      <c r="V11" s="114" t="n">
        <f aca="false">M11/$R$3</f>
        <v>-99.538</v>
      </c>
      <c r="W11" s="114" t="n">
        <f aca="false">N11/$R$3</f>
        <v>-99.538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INDEX('[4]Master Data'!$A$2:$B$8,MATCH(WEEKDAY('TBS CRD MTM'!A12,3),'[4]Master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-99538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-99538</v>
      </c>
      <c r="N12" s="112" t="n">
        <f aca="false">SUM(J$6:J12)</f>
        <v>-99538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-99.538</v>
      </c>
      <c r="V12" s="114" t="n">
        <f aca="false">M12/$R$3</f>
        <v>-99.538</v>
      </c>
      <c r="W12" s="114" t="n">
        <f aca="false">N12/$R$3</f>
        <v>-99.538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INDEX('[4]Master Data'!$A$2:$B$8,MATCH(WEEKDAY('TBS CRD MTM'!A13,3),'[4]Master Data'!$A$2:$A$8,0),2)</f>
        <v>M</v>
      </c>
      <c r="D13" s="112" t="n">
        <v>-412</v>
      </c>
      <c r="E13" s="112" t="n">
        <v>0</v>
      </c>
      <c r="F13" s="112" t="n">
        <v>0</v>
      </c>
      <c r="G13" s="112" t="n">
        <v>181741</v>
      </c>
      <c r="I13" s="112" t="n">
        <f aca="false">IF(MONTH($A13)=MONTH($A12),IF(G13=0,I12,G13),0)</f>
        <v>181741</v>
      </c>
      <c r="J13" s="112" t="n">
        <f aca="false">IF(MONTH($A13)=MONTH($A12),SUM(I13-I12),I13)</f>
        <v>281279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181741</v>
      </c>
      <c r="N13" s="112" t="n">
        <f aca="false">SUM(J$6:J13)</f>
        <v>181741</v>
      </c>
      <c r="P13" s="112" t="n">
        <f aca="false">D13/P$3</f>
        <v>-0.412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281.279</v>
      </c>
      <c r="T13" s="114" t="n">
        <f aca="false">L13/$R$3</f>
        <v>0</v>
      </c>
      <c r="U13" s="114" t="n">
        <f aca="false">I13/$R$3</f>
        <v>181.741</v>
      </c>
      <c r="V13" s="114" t="n">
        <f aca="false">M13/$R$3</f>
        <v>181.741</v>
      </c>
      <c r="W13" s="114" t="n">
        <f aca="false">N13/$R$3</f>
        <v>181.741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INDEX('[4]Master Data'!$A$2:$B$8,MATCH(WEEKDAY('TBS CRD MTM'!A14,3),'[4]Master Data'!$A$2:$A$8,0),2)</f>
        <v>T</v>
      </c>
      <c r="D14" s="112" t="n">
        <v>-392</v>
      </c>
      <c r="E14" s="112" t="n">
        <v>0</v>
      </c>
      <c r="F14" s="112" t="n">
        <v>0</v>
      </c>
      <c r="G14" s="112" t="n">
        <v>898</v>
      </c>
      <c r="I14" s="112" t="n">
        <f aca="false">IF(MONTH($A14)=MONTH($A13),IF(G14=0,I13,G14),0)</f>
        <v>898</v>
      </c>
      <c r="J14" s="112" t="n">
        <f aca="false">IF(MONTH($A14)=MONTH($A13),SUM(I14-I13),I14)</f>
        <v>-180843</v>
      </c>
      <c r="K14" s="112" t="n">
        <f aca="false">IF(WEEKDAY(A14,3)&gt;4,0,(IF(A14&lt;K$2,0,IF(A14&lt;=K$3,1,0))))</f>
        <v>0</v>
      </c>
      <c r="L14" s="112" t="n">
        <f aca="false">J14*K14</f>
        <v>-0</v>
      </c>
      <c r="M14" s="112" t="n">
        <f aca="false">SUM(J$6:J14)</f>
        <v>898</v>
      </c>
      <c r="N14" s="112" t="n">
        <f aca="false">SUM(J$6:J14)</f>
        <v>898</v>
      </c>
      <c r="P14" s="112" t="n">
        <f aca="false">D14/P$3</f>
        <v>-0.392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-180.843</v>
      </c>
      <c r="T14" s="114" t="n">
        <f aca="false">L14/$R$3</f>
        <v>-0</v>
      </c>
      <c r="U14" s="114" t="n">
        <f aca="false">I14/$R$3</f>
        <v>0.898</v>
      </c>
      <c r="V14" s="114" t="n">
        <f aca="false">M14/$R$3</f>
        <v>0.898</v>
      </c>
      <c r="W14" s="114" t="n">
        <f aca="false">N14/$R$3</f>
        <v>0.898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INDEX('[4]Master Data'!$A$2:$B$8,MATCH(WEEKDAY('TBS CRD MTM'!A15,3),'[4]Master Data'!$A$2:$A$8,0),2)</f>
        <v>W</v>
      </c>
      <c r="D15" s="112" t="n">
        <v>-352</v>
      </c>
      <c r="E15" s="112" t="n">
        <v>0</v>
      </c>
      <c r="F15" s="112" t="n">
        <v>0</v>
      </c>
      <c r="G15" s="112" t="n">
        <v>-270340</v>
      </c>
      <c r="I15" s="112" t="n">
        <f aca="false">IF(MONTH($A15)=MONTH($A14),IF(G15=0,I14,G15),0)</f>
        <v>-270340</v>
      </c>
      <c r="J15" s="112" t="n">
        <f aca="false">IF(MONTH($A15)=MONTH($A14),SUM(I15-I14),I15)</f>
        <v>-271238</v>
      </c>
      <c r="K15" s="112" t="n">
        <f aca="false">IF(WEEKDAY(A15,3)&gt;4,0,(IF(A15&lt;K$2,0,IF(A15&lt;=K$3,1,0))))</f>
        <v>0</v>
      </c>
      <c r="L15" s="112" t="n">
        <f aca="false">J15*K15</f>
        <v>-0</v>
      </c>
      <c r="M15" s="112" t="n">
        <f aca="false">SUM(J$6:J15)</f>
        <v>-270340</v>
      </c>
      <c r="N15" s="112" t="n">
        <f aca="false">SUM(J$6:J15)</f>
        <v>-270340</v>
      </c>
      <c r="P15" s="112" t="n">
        <f aca="false">D15/P$3</f>
        <v>-0.352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-271.238</v>
      </c>
      <c r="T15" s="114" t="n">
        <f aca="false">L15/$R$3</f>
        <v>-0</v>
      </c>
      <c r="U15" s="114" t="n">
        <f aca="false">I15/$R$3</f>
        <v>-270.34</v>
      </c>
      <c r="V15" s="114" t="n">
        <f aca="false">M15/$R$3</f>
        <v>-270.34</v>
      </c>
      <c r="W15" s="114" t="n">
        <f aca="false">N15/$R$3</f>
        <v>-270.34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INDEX('[4]Master Data'!$A$2:$B$8,MATCH(WEEKDAY('TBS CRD MTM'!A16,3),'[4]Master Data'!$A$2:$A$8,0),2)</f>
        <v>Th</v>
      </c>
      <c r="D16" s="112" t="n">
        <v>-348</v>
      </c>
      <c r="E16" s="112" t="n">
        <v>0</v>
      </c>
      <c r="F16" s="112" t="n">
        <v>0</v>
      </c>
      <c r="G16" s="112" t="n">
        <v>-300418</v>
      </c>
      <c r="I16" s="112" t="n">
        <f aca="false">IF(MONTH($A16)=MONTH($A15),IF(G16=0,I15,G16),0)</f>
        <v>-300418</v>
      </c>
      <c r="J16" s="112" t="n">
        <f aca="false">IF(MONTH($A16)=MONTH($A15),SUM(I16-I15),I16)</f>
        <v>-30078</v>
      </c>
      <c r="K16" s="112" t="n">
        <f aca="false">IF(WEEKDAY(A16,3)&gt;4,0,(IF(A16&lt;K$2,0,IF(A16&lt;=K$3,1,0))))</f>
        <v>0</v>
      </c>
      <c r="L16" s="112" t="n">
        <f aca="false">J16*K16</f>
        <v>-0</v>
      </c>
      <c r="M16" s="112" t="n">
        <f aca="false">SUM(J$6:J16)</f>
        <v>-300418</v>
      </c>
      <c r="N16" s="112" t="n">
        <f aca="false">SUM(J$6:J16)</f>
        <v>-300418</v>
      </c>
      <c r="P16" s="112" t="n">
        <f aca="false">D16/P$3</f>
        <v>-0.348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-30.078</v>
      </c>
      <c r="T16" s="114" t="n">
        <f aca="false">L16/$R$3</f>
        <v>-0</v>
      </c>
      <c r="U16" s="114" t="n">
        <f aca="false">I16/$R$3</f>
        <v>-300.418</v>
      </c>
      <c r="V16" s="114" t="n">
        <f aca="false">M16/$R$3</f>
        <v>-300.418</v>
      </c>
      <c r="W16" s="114" t="n">
        <f aca="false">N16/$R$3</f>
        <v>-300.418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INDEX('[4]Master Data'!$A$2:$B$8,MATCH(WEEKDAY('TBS CRD MTM'!A17,3),'[4]Master Data'!$A$2:$A$8,0),2)</f>
        <v>F</v>
      </c>
      <c r="D17" s="112" t="n">
        <v>-341</v>
      </c>
      <c r="E17" s="112" t="n">
        <v>0</v>
      </c>
      <c r="F17" s="112" t="n">
        <v>0</v>
      </c>
      <c r="G17" s="112" t="n">
        <v>-233367</v>
      </c>
      <c r="I17" s="112" t="n">
        <f aca="false">IF(MONTH($A17)=MONTH($A16),IF(G17=0,I16,G17),0)</f>
        <v>-233367</v>
      </c>
      <c r="J17" s="112" t="n">
        <f aca="false">IF(MONTH($A17)=MONTH($A16),SUM(I17-I16),I17)</f>
        <v>67051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-233367</v>
      </c>
      <c r="N17" s="112" t="n">
        <f aca="false">SUM(J$6:J17)</f>
        <v>-233367</v>
      </c>
      <c r="P17" s="112" t="n">
        <f aca="false">D17/P$3</f>
        <v>-0.341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67.051</v>
      </c>
      <c r="T17" s="114" t="n">
        <f aca="false">L17/$R$3</f>
        <v>0</v>
      </c>
      <c r="U17" s="114" t="n">
        <f aca="false">I17/$R$3</f>
        <v>-233.367</v>
      </c>
      <c r="V17" s="114" t="n">
        <f aca="false">M17/$R$3</f>
        <v>-233.367</v>
      </c>
      <c r="W17" s="114" t="n">
        <f aca="false">N17/$R$3</f>
        <v>-233.367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INDEX('[4]Master Data'!$A$2:$B$8,MATCH(WEEKDAY('TBS CRD MTM'!A18,3),'[4]Master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-233367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-233367</v>
      </c>
      <c r="N18" s="112" t="n">
        <f aca="false">SUM(J$6:J18)</f>
        <v>-233367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-233.367</v>
      </c>
      <c r="V18" s="114" t="n">
        <f aca="false">M18/$R$3</f>
        <v>-233.367</v>
      </c>
      <c r="W18" s="114" t="n">
        <f aca="false">N18/$R$3</f>
        <v>-233.367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INDEX('[4]Master Data'!$A$2:$B$8,MATCH(WEEKDAY('TBS CRD MTM'!A19,3),'[4]Master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-233367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-233367</v>
      </c>
      <c r="N19" s="112" t="n">
        <f aca="false">SUM(J$6:J19)</f>
        <v>-233367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-233.367</v>
      </c>
      <c r="V19" s="114" t="n">
        <f aca="false">M19/$R$3</f>
        <v>-233.367</v>
      </c>
      <c r="W19" s="114" t="n">
        <f aca="false">N19/$R$3</f>
        <v>-233.367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INDEX('[4]Master Data'!$A$2:$B$8,MATCH(WEEKDAY('TBS CRD MTM'!A20,3),'[4]Master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-233367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-233367</v>
      </c>
      <c r="N20" s="112" t="n">
        <f aca="false">SUM(J$6:J20)</f>
        <v>-233367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-233.367</v>
      </c>
      <c r="V20" s="114" t="n">
        <f aca="false">M20/$R$3</f>
        <v>-233.367</v>
      </c>
      <c r="W20" s="114" t="n">
        <f aca="false">N20/$R$3</f>
        <v>-233.367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INDEX('[4]Master Data'!$A$2:$B$8,MATCH(WEEKDAY('TBS CRD MTM'!A21,3),'[4]Master Data'!$A$2:$A$8,0),2)</f>
        <v>T</v>
      </c>
      <c r="D21" s="112" t="n">
        <v>-343</v>
      </c>
      <c r="E21" s="112" t="n">
        <v>0</v>
      </c>
      <c r="F21" s="112" t="n">
        <v>0</v>
      </c>
      <c r="G21" s="112" t="n">
        <v>-306468</v>
      </c>
      <c r="I21" s="112" t="n">
        <f aca="false">IF(MONTH($A21)=MONTH($A20),IF(G21=0,I20,G21),0)</f>
        <v>-306468</v>
      </c>
      <c r="J21" s="112" t="n">
        <f aca="false">IF(MONTH($A21)=MONTH($A20),SUM(I21-I20),I21)</f>
        <v>-73101</v>
      </c>
      <c r="K21" s="112" t="n">
        <f aca="false">IF(WEEKDAY(A21,3)&gt;4,0,(IF(A21&lt;K$2,0,IF(A21&lt;=K$3,1,0))))</f>
        <v>0</v>
      </c>
      <c r="L21" s="112" t="n">
        <f aca="false">J21*K21</f>
        <v>-0</v>
      </c>
      <c r="M21" s="112" t="n">
        <f aca="false">SUM(J$6:J21)</f>
        <v>-306468</v>
      </c>
      <c r="N21" s="112" t="n">
        <f aca="false">SUM(J$6:J21)</f>
        <v>-306468</v>
      </c>
      <c r="P21" s="112" t="n">
        <f aca="false">D21/P$3</f>
        <v>-0.343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-73.101</v>
      </c>
      <c r="T21" s="114" t="n">
        <f aca="false">L21/$R$3</f>
        <v>-0</v>
      </c>
      <c r="U21" s="114" t="n">
        <f aca="false">I21/$R$3</f>
        <v>-306.468</v>
      </c>
      <c r="V21" s="114" t="n">
        <f aca="false">M21/$R$3</f>
        <v>-306.468</v>
      </c>
      <c r="W21" s="114" t="n">
        <f aca="false">N21/$R$3</f>
        <v>-306.468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INDEX('[4]Master Data'!$A$2:$B$8,MATCH(WEEKDAY('TBS CRD MTM'!A22,3),'[4]Master Data'!$A$2:$A$8,0),2)</f>
        <v>W</v>
      </c>
      <c r="D22" s="112" t="n">
        <v>-358</v>
      </c>
      <c r="E22" s="112" t="n">
        <v>0</v>
      </c>
      <c r="F22" s="112" t="n">
        <v>0</v>
      </c>
      <c r="G22" s="112" t="n">
        <v>-345500</v>
      </c>
      <c r="I22" s="112" t="n">
        <f aca="false">IF(MONTH($A22)=MONTH($A21),IF(G22=0,I21,G22),0)</f>
        <v>-345500</v>
      </c>
      <c r="J22" s="112" t="n">
        <f aca="false">IF(MONTH($A22)=MONTH($A21),SUM(I22-I21),I22)</f>
        <v>-39032</v>
      </c>
      <c r="K22" s="112" t="n">
        <f aca="false">IF(WEEKDAY(A22,3)&gt;4,0,(IF(A22&lt;K$2,0,IF(A22&lt;=K$3,1,0))))</f>
        <v>0</v>
      </c>
      <c r="L22" s="112" t="n">
        <f aca="false">J22*K22</f>
        <v>-0</v>
      </c>
      <c r="M22" s="112" t="n">
        <f aca="false">SUM(J$6:J22)</f>
        <v>-345500</v>
      </c>
      <c r="N22" s="112" t="n">
        <f aca="false">SUM(J$6:J22)</f>
        <v>-345500</v>
      </c>
      <c r="P22" s="112" t="n">
        <f aca="false">D22/P$3</f>
        <v>-0.358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-39.032</v>
      </c>
      <c r="T22" s="114" t="n">
        <f aca="false">L22/$R$3</f>
        <v>-0</v>
      </c>
      <c r="U22" s="114" t="n">
        <f aca="false">I22/$R$3</f>
        <v>-345.5</v>
      </c>
      <c r="V22" s="114" t="n">
        <f aca="false">M22/$R$3</f>
        <v>-345.5</v>
      </c>
      <c r="W22" s="114" t="n">
        <f aca="false">N22/$R$3</f>
        <v>-345.5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INDEX('[4]Master Data'!$A$2:$B$8,MATCH(WEEKDAY('TBS CRD MTM'!A23,3),'[4]Master Data'!$A$2:$A$8,0),2)</f>
        <v>Th</v>
      </c>
      <c r="D23" s="112" t="n">
        <v>-349</v>
      </c>
      <c r="E23" s="112" t="n">
        <v>0</v>
      </c>
      <c r="F23" s="112" t="n">
        <v>0</v>
      </c>
      <c r="G23" s="112" t="n">
        <v>-415223</v>
      </c>
      <c r="I23" s="112" t="n">
        <f aca="false">IF(MONTH($A23)=MONTH($A22),IF(G23=0,I22,G23),0)</f>
        <v>-415223</v>
      </c>
      <c r="J23" s="112" t="n">
        <f aca="false">IF(MONTH($A23)=MONTH($A22),SUM(I23-I22),I23)</f>
        <v>-69723</v>
      </c>
      <c r="K23" s="112" t="n">
        <f aca="false">IF(WEEKDAY(A23,3)&gt;4,0,(IF(A23&lt;K$2,0,IF(A23&lt;=K$3,1,0))))</f>
        <v>0</v>
      </c>
      <c r="L23" s="112" t="n">
        <f aca="false">J23*K23</f>
        <v>-0</v>
      </c>
      <c r="M23" s="112" t="n">
        <f aca="false">SUM(J$6:J23)</f>
        <v>-415223</v>
      </c>
      <c r="N23" s="112" t="n">
        <f aca="false">SUM(J$6:J23)</f>
        <v>-415223</v>
      </c>
      <c r="P23" s="112" t="n">
        <f aca="false">D23/P$3</f>
        <v>-0.349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-69.723</v>
      </c>
      <c r="T23" s="114" t="n">
        <f aca="false">L23/$R$3</f>
        <v>-0</v>
      </c>
      <c r="U23" s="114" t="n">
        <f aca="false">I23/$R$3</f>
        <v>-415.223</v>
      </c>
      <c r="V23" s="114" t="n">
        <f aca="false">M23/$R$3</f>
        <v>-415.223</v>
      </c>
      <c r="W23" s="114" t="n">
        <f aca="false">N23/$R$3</f>
        <v>-415.223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INDEX('[4]Master Data'!$A$2:$B$8,MATCH(WEEKDAY('TBS CRD MTM'!A24,3),'[4]Master Data'!$A$2:$A$8,0),2)</f>
        <v>F</v>
      </c>
      <c r="D24" s="112" t="n">
        <v>-346</v>
      </c>
      <c r="E24" s="112" t="n">
        <v>0</v>
      </c>
      <c r="F24" s="112" t="n">
        <v>0</v>
      </c>
      <c r="G24" s="112" t="n">
        <v>-697754</v>
      </c>
      <c r="I24" s="112" t="n">
        <f aca="false">IF(MONTH($A24)=MONTH($A23),IF(G24=0,I23,G24),0)</f>
        <v>-697754</v>
      </c>
      <c r="J24" s="112" t="n">
        <f aca="false">IF(MONTH($A24)=MONTH($A23),SUM(I24-I23),I24)</f>
        <v>-282531</v>
      </c>
      <c r="K24" s="112" t="n">
        <f aca="false">IF(WEEKDAY(A24,3)&gt;4,0,(IF(A24&lt;K$2,0,IF(A24&lt;=K$3,1,0))))</f>
        <v>0</v>
      </c>
      <c r="L24" s="112" t="n">
        <f aca="false">J24*K24</f>
        <v>-0</v>
      </c>
      <c r="M24" s="112" t="n">
        <f aca="false">SUM(J$6:J24)</f>
        <v>-697754</v>
      </c>
      <c r="N24" s="112" t="n">
        <f aca="false">SUM(J$6:J24)</f>
        <v>-697754</v>
      </c>
      <c r="P24" s="112" t="n">
        <f aca="false">D24/P$3</f>
        <v>-0.346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-282.531</v>
      </c>
      <c r="T24" s="114" t="n">
        <f aca="false">L24/$R$3</f>
        <v>-0</v>
      </c>
      <c r="U24" s="114" t="n">
        <f aca="false">I24/$R$3</f>
        <v>-697.754</v>
      </c>
      <c r="V24" s="114" t="n">
        <f aca="false">M24/$R$3</f>
        <v>-697.754</v>
      </c>
      <c r="W24" s="114" t="n">
        <f aca="false">N24/$R$3</f>
        <v>-697.754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INDEX('[4]Master Data'!$A$2:$B$8,MATCH(WEEKDAY('TBS CRD MTM'!A25,3),'[4]Master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-697754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-697754</v>
      </c>
      <c r="N25" s="112" t="n">
        <f aca="false">SUM(J$6:J25)</f>
        <v>-697754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-697.754</v>
      </c>
      <c r="V25" s="114" t="n">
        <f aca="false">M25/$R$3</f>
        <v>-697.754</v>
      </c>
      <c r="W25" s="114" t="n">
        <f aca="false">N25/$R$3</f>
        <v>-697.754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INDEX('[4]Master Data'!$A$2:$B$8,MATCH(WEEKDAY('TBS CRD MTM'!A26,3),'[4]Master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-697754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-697754</v>
      </c>
      <c r="N26" s="112" t="n">
        <f aca="false">SUM(J$6:J26)</f>
        <v>-697754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-697.754</v>
      </c>
      <c r="V26" s="114" t="n">
        <f aca="false">M26/$R$3</f>
        <v>-697.754</v>
      </c>
      <c r="W26" s="114" t="n">
        <f aca="false">N26/$R$3</f>
        <v>-697.754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INDEX('[4]Master Data'!$A$2:$B$8,MATCH(WEEKDAY('TBS CRD MTM'!A27,3),'[4]Master Data'!$A$2:$A$8,0),2)</f>
        <v>M</v>
      </c>
      <c r="D27" s="112" t="n">
        <v>-379</v>
      </c>
      <c r="E27" s="112" t="n">
        <v>0</v>
      </c>
      <c r="F27" s="112" t="n">
        <v>0</v>
      </c>
      <c r="G27" s="112" t="n">
        <v>-289833</v>
      </c>
      <c r="I27" s="112" t="n">
        <f aca="false">IF(MONTH($A27)=MONTH($A26),IF(G27=0,I26,G27),0)</f>
        <v>-289833</v>
      </c>
      <c r="J27" s="112" t="n">
        <f aca="false">IF(MONTH($A27)=MONTH($A26),SUM(I27-I26),I27)</f>
        <v>407921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-289833</v>
      </c>
      <c r="N27" s="112" t="n">
        <f aca="false">SUM(J$6:J27)</f>
        <v>-289833</v>
      </c>
      <c r="P27" s="112" t="n">
        <f aca="false">D27/P$3</f>
        <v>-0.379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407.921</v>
      </c>
      <c r="T27" s="114" t="n">
        <f aca="false">L27/$R$3</f>
        <v>0</v>
      </c>
      <c r="U27" s="114" t="n">
        <f aca="false">I27/$R$3</f>
        <v>-289.833</v>
      </c>
      <c r="V27" s="114" t="n">
        <f aca="false">M27/$R$3</f>
        <v>-289.833</v>
      </c>
      <c r="W27" s="114" t="n">
        <f aca="false">N27/$R$3</f>
        <v>-289.833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INDEX('[4]Master Data'!$A$2:$B$8,MATCH(WEEKDAY('TBS CRD MTM'!A28,3),'[4]Master Data'!$A$2:$A$8,0),2)</f>
        <v>T</v>
      </c>
      <c r="D28" s="112" t="n">
        <v>-364</v>
      </c>
      <c r="E28" s="112" t="n">
        <v>0</v>
      </c>
      <c r="F28" s="112" t="n">
        <v>0</v>
      </c>
      <c r="G28" s="112" t="n">
        <v>-424641</v>
      </c>
      <c r="I28" s="112" t="n">
        <f aca="false">IF(MONTH($A28)=MONTH($A27),IF(G28=0,I27,G28),0)</f>
        <v>-424641</v>
      </c>
      <c r="J28" s="112" t="n">
        <f aca="false">IF(MONTH($A28)=MONTH($A27),SUM(I28-I27),I28)</f>
        <v>-134808</v>
      </c>
      <c r="K28" s="112" t="n">
        <f aca="false">IF(WEEKDAY(A28,3)&gt;4,0,(IF(A28&lt;K$2,0,IF(A28&lt;=K$3,1,0))))</f>
        <v>0</v>
      </c>
      <c r="L28" s="112" t="n">
        <f aca="false">J28*K28</f>
        <v>-0</v>
      </c>
      <c r="M28" s="112" t="n">
        <f aca="false">SUM(J$6:J28)</f>
        <v>-424641</v>
      </c>
      <c r="N28" s="112" t="n">
        <f aca="false">SUM(J$6:J28)</f>
        <v>-424641</v>
      </c>
      <c r="P28" s="112" t="n">
        <f aca="false">D28/P$3</f>
        <v>-0.364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-134.808</v>
      </c>
      <c r="T28" s="114" t="n">
        <f aca="false">L28/$R$3</f>
        <v>-0</v>
      </c>
      <c r="U28" s="114" t="n">
        <f aca="false">I28/$R$3</f>
        <v>-424.641</v>
      </c>
      <c r="V28" s="114" t="n">
        <f aca="false">M28/$R$3</f>
        <v>-424.641</v>
      </c>
      <c r="W28" s="114" t="n">
        <f aca="false">N28/$R$3</f>
        <v>-424.641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INDEX('[4]Master Data'!$A$2:$B$8,MATCH(WEEKDAY('TBS CRD MTM'!A29,3),'[4]Master Data'!$A$2:$A$8,0),2)</f>
        <v>W</v>
      </c>
      <c r="D29" s="112" t="n">
        <v>-372</v>
      </c>
      <c r="E29" s="112" t="n">
        <v>0</v>
      </c>
      <c r="F29" s="112" t="n">
        <v>0</v>
      </c>
      <c r="G29" s="112" t="n">
        <v>-341315</v>
      </c>
      <c r="I29" s="112" t="n">
        <f aca="false">IF(MONTH($A29)=MONTH($A28),IF(G29=0,I28,G29),0)</f>
        <v>-341315</v>
      </c>
      <c r="J29" s="112" t="n">
        <f aca="false">IF(MONTH($A29)=MONTH($A28),SUM(I29-I28),I29)</f>
        <v>83326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-341315</v>
      </c>
      <c r="N29" s="112" t="n">
        <f aca="false">SUM(J$6:J29)</f>
        <v>-341315</v>
      </c>
      <c r="P29" s="112" t="n">
        <f aca="false">D29/P$3</f>
        <v>-0.372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83.326</v>
      </c>
      <c r="T29" s="114" t="n">
        <f aca="false">L29/$R$3</f>
        <v>0</v>
      </c>
      <c r="U29" s="114" t="n">
        <f aca="false">I29/$R$3</f>
        <v>-341.315</v>
      </c>
      <c r="V29" s="114" t="n">
        <f aca="false">M29/$R$3</f>
        <v>-341.315</v>
      </c>
      <c r="W29" s="114" t="n">
        <f aca="false">N29/$R$3</f>
        <v>-341.315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INDEX('[4]Master Data'!$A$2:$B$8,MATCH(WEEKDAY('TBS CRD MTM'!A30,3),'[4]Master Data'!$A$2:$A$8,0),2)</f>
        <v>Th</v>
      </c>
      <c r="D30" s="112" t="n">
        <v>-368</v>
      </c>
      <c r="E30" s="112" t="n">
        <v>0</v>
      </c>
      <c r="F30" s="112" t="n">
        <v>0</v>
      </c>
      <c r="G30" s="112" t="n">
        <v>-429128</v>
      </c>
      <c r="I30" s="112" t="n">
        <f aca="false">IF(MONTH($A30)=MONTH($A29),IF(G30=0,I29,G30),0)</f>
        <v>-429128</v>
      </c>
      <c r="J30" s="112" t="n">
        <f aca="false">IF(MONTH($A30)=MONTH($A29),SUM(I30-I29),I30)</f>
        <v>-87813</v>
      </c>
      <c r="K30" s="112" t="n">
        <f aca="false">IF(WEEKDAY(A30,3)&gt;4,0,(IF(A30&lt;K$2,0,IF(A30&lt;=K$3,1,0))))</f>
        <v>0</v>
      </c>
      <c r="L30" s="112" t="n">
        <f aca="false">J30*K30</f>
        <v>-0</v>
      </c>
      <c r="M30" s="112" t="n">
        <f aca="false">SUM(J$6:J30)</f>
        <v>-429128</v>
      </c>
      <c r="N30" s="112" t="n">
        <f aca="false">SUM(J$6:J30)</f>
        <v>-429128</v>
      </c>
      <c r="P30" s="112" t="n">
        <f aca="false">D30/P$3</f>
        <v>-0.368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-87.813</v>
      </c>
      <c r="T30" s="114" t="n">
        <f aca="false">L30/$R$3</f>
        <v>-0</v>
      </c>
      <c r="U30" s="114" t="n">
        <f aca="false">I30/$R$3</f>
        <v>-429.128</v>
      </c>
      <c r="V30" s="114" t="n">
        <f aca="false">M30/$R$3</f>
        <v>-429.128</v>
      </c>
      <c r="W30" s="114" t="n">
        <f aca="false">N30/$R$3</f>
        <v>-429.128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INDEX('[4]Master Data'!$A$2:$B$8,MATCH(WEEKDAY('TBS CRD MTM'!A31,3),'[4]Master Data'!$A$2:$A$8,0),2)</f>
        <v>F</v>
      </c>
      <c r="D31" s="112" t="n">
        <v>-362</v>
      </c>
      <c r="E31" s="112" t="n">
        <v>0</v>
      </c>
      <c r="F31" s="112" t="n">
        <v>0</v>
      </c>
      <c r="G31" s="112" t="n">
        <v>-487401</v>
      </c>
      <c r="I31" s="112" t="n">
        <f aca="false">IF(MONTH($A31)=MONTH($A30),IF(G31=0,I30,G31),0)</f>
        <v>-487401</v>
      </c>
      <c r="J31" s="112" t="n">
        <f aca="false">IF(MONTH($A31)=MONTH($A30),SUM(I31-I30),I31)</f>
        <v>-58273</v>
      </c>
      <c r="K31" s="112" t="n">
        <f aca="false">IF(WEEKDAY(A31,3)&gt;4,0,(IF(A31&lt;K$2,0,IF(A31&lt;=K$3,1,0))))</f>
        <v>0</v>
      </c>
      <c r="L31" s="112" t="n">
        <f aca="false">J31*K31</f>
        <v>-0</v>
      </c>
      <c r="M31" s="112" t="n">
        <f aca="false">SUM(J$6:J31)</f>
        <v>-487401</v>
      </c>
      <c r="N31" s="112" t="n">
        <f aca="false">SUM(J$6:J31)</f>
        <v>-487401</v>
      </c>
      <c r="P31" s="112" t="n">
        <f aca="false">D31/P$3</f>
        <v>-0.362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-58.273</v>
      </c>
      <c r="T31" s="114" t="n">
        <f aca="false">L31/$R$3</f>
        <v>-0</v>
      </c>
      <c r="U31" s="114" t="n">
        <f aca="false">I31/$R$3</f>
        <v>-487.401</v>
      </c>
      <c r="V31" s="114" t="n">
        <f aca="false">M31/$R$3</f>
        <v>-487.401</v>
      </c>
      <c r="W31" s="114" t="n">
        <f aca="false">N31/$R$3</f>
        <v>-487.401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INDEX('[4]Master Data'!$A$2:$B$8,MATCH(WEEKDAY('TBS CRD MTM'!A32,3),'[4]Master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-487401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-487401</v>
      </c>
      <c r="N32" s="112" t="n">
        <f aca="false">SUM(J$6:J32)</f>
        <v>-487401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-487.401</v>
      </c>
      <c r="V32" s="114" t="n">
        <f aca="false">M32/$R$3</f>
        <v>-487.401</v>
      </c>
      <c r="W32" s="114" t="n">
        <f aca="false">N32/$R$3</f>
        <v>-487.401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INDEX('[4]Master Data'!$A$2:$B$8,MATCH(WEEKDAY('TBS CRD MTM'!A33,3),'[4]Master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-487401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-487401</v>
      </c>
      <c r="N33" s="112" t="n">
        <f aca="false">SUM(J$6:J33)</f>
        <v>-487401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-487.401</v>
      </c>
      <c r="V33" s="114" t="n">
        <f aca="false">M33/$R$3</f>
        <v>-487.401</v>
      </c>
      <c r="W33" s="114" t="n">
        <f aca="false">N33/$R$3</f>
        <v>-487.401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INDEX('[4]Master Data'!$A$2:$B$8,MATCH(WEEKDAY('TBS CRD MTM'!A34,3),'[4]Master Data'!$A$2:$A$8,0),2)</f>
        <v>M</v>
      </c>
      <c r="D34" s="112" t="n">
        <v>-380</v>
      </c>
      <c r="E34" s="112" t="n">
        <v>0</v>
      </c>
      <c r="F34" s="112" t="n">
        <v>0</v>
      </c>
      <c r="G34" s="112" t="n">
        <v>-394429</v>
      </c>
      <c r="I34" s="112" t="n">
        <f aca="false">IF(MONTH($A34)=MONTH($A33),IF(G34=0,I33,G34),0)</f>
        <v>-394429</v>
      </c>
      <c r="J34" s="112" t="n">
        <f aca="false">IF(MONTH($A34)=MONTH($A33),SUM(I34-I33),I34)</f>
        <v>92972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-394429</v>
      </c>
      <c r="N34" s="112" t="n">
        <f aca="false">SUM(J$6:J34)</f>
        <v>-394429</v>
      </c>
      <c r="P34" s="112" t="n">
        <f aca="false">D34/P$3</f>
        <v>-0.38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92.972</v>
      </c>
      <c r="T34" s="114" t="n">
        <f aca="false">L34/$R$3</f>
        <v>0</v>
      </c>
      <c r="U34" s="114" t="n">
        <f aca="false">I34/$R$3</f>
        <v>-394.429</v>
      </c>
      <c r="V34" s="114" t="n">
        <f aca="false">M34/$R$3</f>
        <v>-394.429</v>
      </c>
      <c r="W34" s="114" t="n">
        <f aca="false">N34/$R$3</f>
        <v>-394.429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INDEX('[4]Master Data'!$A$2:$B$8,MATCH(WEEKDAY('TBS CRD MTM'!A35,3),'[4]Master Data'!$A$2:$A$8,0),2)</f>
        <v>T</v>
      </c>
      <c r="D35" s="112" t="n">
        <v>-383</v>
      </c>
      <c r="E35" s="112" t="n">
        <v>0</v>
      </c>
      <c r="F35" s="112" t="n">
        <v>0</v>
      </c>
      <c r="G35" s="112" t="n">
        <v>-464010</v>
      </c>
      <c r="I35" s="112" t="n">
        <f aca="false">IF(MONTH($A35)=MONTH($A34),IF(G35=0,I34,G35),0)</f>
        <v>-464010</v>
      </c>
      <c r="J35" s="112" t="n">
        <f aca="false">IF(MONTH($A35)=MONTH($A34),SUM(I35-I34),I35)</f>
        <v>-69581</v>
      </c>
      <c r="K35" s="112" t="n">
        <f aca="false">IF(WEEKDAY(A35,3)&gt;4,0,(IF(A35&lt;K$2,0,IF(A35&lt;=K$3,1,0))))</f>
        <v>0</v>
      </c>
      <c r="L35" s="112" t="n">
        <f aca="false">J35*K35</f>
        <v>-0</v>
      </c>
      <c r="M35" s="112" t="n">
        <f aca="false">SUM(J$6:J35)</f>
        <v>-464010</v>
      </c>
      <c r="N35" s="112" t="n">
        <f aca="false">SUM(J$6:J35)</f>
        <v>-464010</v>
      </c>
      <c r="P35" s="112" t="n">
        <f aca="false">D35/P$3</f>
        <v>-0.383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-69.581</v>
      </c>
      <c r="T35" s="114" t="n">
        <f aca="false">L35/$R$3</f>
        <v>-0</v>
      </c>
      <c r="U35" s="114" t="n">
        <f aca="false">I35/$R$3</f>
        <v>-464.01</v>
      </c>
      <c r="V35" s="114" t="n">
        <f aca="false">M35/$R$3</f>
        <v>-464.01</v>
      </c>
      <c r="W35" s="114" t="n">
        <f aca="false">N35/$R$3</f>
        <v>-464.01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INDEX('[4]Master Data'!$A$2:$B$8,MATCH(WEEKDAY('TBS CRD MTM'!A36,3),'[4]Master Data'!$A$2:$A$8,0),2)</f>
        <v>W</v>
      </c>
      <c r="D36" s="112" t="n">
        <v>-390</v>
      </c>
      <c r="E36" s="112" t="n">
        <v>0</v>
      </c>
      <c r="F36" s="112" t="n">
        <v>0</v>
      </c>
      <c r="G36" s="112" t="n">
        <v>-483627</v>
      </c>
      <c r="I36" s="112" t="n">
        <f aca="false">IF(MONTH($A36)=MONTH($A35),IF(G36=0,I35,G36),0)</f>
        <v>-483627</v>
      </c>
      <c r="J36" s="112" t="n">
        <f aca="false">IF(MONTH($A36)=MONTH($A35),SUM(I36-I35),I36)</f>
        <v>-19617</v>
      </c>
      <c r="K36" s="112" t="n">
        <f aca="false">IF(WEEKDAY(A36,3)&gt;4,0,(IF(A36&lt;K$2,0,IF(A36&lt;=K$3,1,0))))</f>
        <v>0</v>
      </c>
      <c r="L36" s="112" t="n">
        <f aca="false">J36*K36</f>
        <v>-0</v>
      </c>
      <c r="M36" s="112" t="n">
        <f aca="false">SUM(J$6:J36)</f>
        <v>-483627</v>
      </c>
      <c r="N36" s="112" t="n">
        <f aca="false">SUM(J$6:J36)</f>
        <v>-483627</v>
      </c>
      <c r="P36" s="136" t="n">
        <f aca="false">D36/P$3</f>
        <v>-0.39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-19.617</v>
      </c>
      <c r="T36" s="114" t="n">
        <f aca="false">L36/$R$3</f>
        <v>-0</v>
      </c>
      <c r="U36" s="114" t="n">
        <f aca="false">I36/$R$3</f>
        <v>-483.627</v>
      </c>
      <c r="V36" s="114" t="n">
        <f aca="false">M36/$R$3</f>
        <v>-483.627</v>
      </c>
      <c r="W36" s="114" t="n">
        <f aca="false">N36/$R$3</f>
        <v>-483.627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INDEX('[4]Master Data'!$A$2:$B$8,MATCH(WEEKDAY('TBS CRD MTM'!A37,3),'[4]Master Data'!$A$2:$A$8,0),2)</f>
        <v>Th</v>
      </c>
      <c r="D37" s="112" t="n">
        <v>-374</v>
      </c>
      <c r="E37" s="112" t="n">
        <v>0</v>
      </c>
      <c r="F37" s="112" t="n">
        <v>0</v>
      </c>
      <c r="G37" s="112" t="n">
        <v>-222176</v>
      </c>
      <c r="I37" s="112" t="n">
        <f aca="false">IF(MONTH($A37)=MONTH($A36),IF(G37=0,I36,G37),G37)</f>
        <v>-222176</v>
      </c>
      <c r="J37" s="112" t="n">
        <f aca="false">IF(MONTH($A37)=MONTH($A36),SUM(I37-I36),I37)</f>
        <v>-222176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-705803</v>
      </c>
      <c r="N37" s="112" t="n">
        <f aca="false">SUM(J$6:J37)</f>
        <v>-705803</v>
      </c>
      <c r="P37" s="136" t="n">
        <f aca="false">D37/P$3</f>
        <v>-0.374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-222.176</v>
      </c>
      <c r="T37" s="114" t="n">
        <f aca="false">L37/$R$3</f>
        <v>-0</v>
      </c>
      <c r="U37" s="114" t="n">
        <f aca="false">I37/$R$3</f>
        <v>-222.176</v>
      </c>
      <c r="V37" s="114" t="n">
        <f aca="false">M37/$R$3</f>
        <v>-705.803</v>
      </c>
      <c r="W37" s="114" t="n">
        <f aca="false">N37/$R$3</f>
        <v>-705.803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INDEX('[4]Master Data'!$A$2:$B$8,MATCH(WEEKDAY('TBS CRD MTM'!A38,3),'[4]Master Data'!$A$2:$A$8,0),2)</f>
        <v>F</v>
      </c>
      <c r="D38" s="112" t="n">
        <v>-345</v>
      </c>
      <c r="E38" s="112" t="n">
        <v>0</v>
      </c>
      <c r="F38" s="112" t="n">
        <v>0</v>
      </c>
      <c r="G38" s="112" t="n">
        <v>-368655</v>
      </c>
      <c r="I38" s="112" t="n">
        <f aca="false">IF(MONTH($A38)=MONTH($A37),IF(G38=0,I37,G38),G38)</f>
        <v>-368655</v>
      </c>
      <c r="J38" s="112" t="n">
        <f aca="false">IF(MONTH($A38)=MONTH($A37),SUM(I38-I37),I38)</f>
        <v>-146479</v>
      </c>
      <c r="K38" s="112" t="n">
        <f aca="false">IF(WEEKDAY(A38,3)&gt;4,0,(IF(A38&lt;K$2,0,IF(A38&lt;=K$3,1,0))))</f>
        <v>0</v>
      </c>
      <c r="L38" s="112" t="n">
        <f aca="false">J38*K38</f>
        <v>-0</v>
      </c>
      <c r="M38" s="112" t="n">
        <f aca="false">SUM(J$6:J38)</f>
        <v>-852282</v>
      </c>
      <c r="N38" s="112" t="n">
        <f aca="false">SUM(J$6:J38)</f>
        <v>-852282</v>
      </c>
      <c r="P38" s="136" t="n">
        <f aca="false">D38/P$3</f>
        <v>-0.345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-146.479</v>
      </c>
      <c r="T38" s="114" t="n">
        <f aca="false">L38/$R$3</f>
        <v>-0</v>
      </c>
      <c r="U38" s="114" t="n">
        <f aca="false">I38/$R$3</f>
        <v>-368.655</v>
      </c>
      <c r="V38" s="114" t="n">
        <f aca="false">M38/$R$3</f>
        <v>-852.282</v>
      </c>
      <c r="W38" s="114" t="n">
        <f aca="false">N38/$R$3</f>
        <v>-852.282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INDEX('[4]Master Data'!$A$2:$B$8,MATCH(WEEKDAY('TBS CRD MTM'!A39,3),'[4]Master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-368655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-852282</v>
      </c>
      <c r="N39" s="112" t="n">
        <f aca="false">SUM(J$6:J39)</f>
        <v>-852282</v>
      </c>
      <c r="P39" s="136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-368.655</v>
      </c>
      <c r="V39" s="114" t="n">
        <f aca="false">M39/$R$3</f>
        <v>-852.282</v>
      </c>
      <c r="W39" s="114" t="n">
        <f aca="false">N39/$R$3</f>
        <v>-852.282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INDEX('[4]Master Data'!$A$2:$B$8,MATCH(WEEKDAY('TBS CRD MTM'!A40,3),'[4]Master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-368655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-852282</v>
      </c>
      <c r="N40" s="112" t="n">
        <f aca="false">SUM(J$6:J40)</f>
        <v>-852282</v>
      </c>
      <c r="P40" s="136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-368.655</v>
      </c>
      <c r="V40" s="114" t="n">
        <f aca="false">M40/$R$3</f>
        <v>-852.282</v>
      </c>
      <c r="W40" s="114" t="n">
        <f aca="false">N40/$R$3</f>
        <v>-852.282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INDEX('[4]Master Data'!$A$2:$B$8,MATCH(WEEKDAY('TBS CRD MTM'!A41,3),'[4]Master Data'!$A$2:$A$8,0),2)</f>
        <v>M</v>
      </c>
      <c r="D41" s="112" t="n">
        <v>-360</v>
      </c>
      <c r="E41" s="112" t="n">
        <v>0</v>
      </c>
      <c r="F41" s="112" t="n">
        <v>0</v>
      </c>
      <c r="G41" s="112" t="n">
        <v>-216078</v>
      </c>
      <c r="I41" s="112" t="n">
        <f aca="false">IF(MONTH($A41)=MONTH($A40),IF(G41=0,I40,G41),G41)</f>
        <v>-216078</v>
      </c>
      <c r="J41" s="112" t="n">
        <f aca="false">IF(MONTH($A41)=MONTH($A40),SUM(I41-I40),I41)</f>
        <v>152577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-699705</v>
      </c>
      <c r="N41" s="112" t="n">
        <f aca="false">SUM(J$6:J41)</f>
        <v>-699705</v>
      </c>
      <c r="P41" s="136" t="n">
        <f aca="false">D41/P$3</f>
        <v>-0.36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152.577</v>
      </c>
      <c r="T41" s="114" t="n">
        <f aca="false">L41/$R$3</f>
        <v>0</v>
      </c>
      <c r="U41" s="114" t="n">
        <f aca="false">I41/$R$3</f>
        <v>-216.078</v>
      </c>
      <c r="V41" s="114" t="n">
        <f aca="false">M41/$R$3</f>
        <v>-699.705</v>
      </c>
      <c r="W41" s="114" t="n">
        <f aca="false">N41/$R$3</f>
        <v>-699.705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INDEX('[4]Master Data'!$A$2:$B$8,MATCH(WEEKDAY('TBS CRD MTM'!A42,3),'[4]Master Data'!$A$2:$A$8,0),2)</f>
        <v>T</v>
      </c>
      <c r="D42" s="112" t="n">
        <v>-365</v>
      </c>
      <c r="E42" s="112" t="n">
        <v>0</v>
      </c>
      <c r="F42" s="112" t="n">
        <v>0</v>
      </c>
      <c r="G42" s="112" t="n">
        <v>-185029</v>
      </c>
      <c r="I42" s="112" t="n">
        <f aca="false">IF(MONTH($A42)=MONTH($A41),IF(G42=0,I41,G42),G42)</f>
        <v>-185029</v>
      </c>
      <c r="J42" s="112" t="n">
        <f aca="false">IF(MONTH($A42)=MONTH($A41),SUM(I42-I41),I42)</f>
        <v>31049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-668656</v>
      </c>
      <c r="N42" s="112" t="n">
        <f aca="false">SUM(J$6:J42)</f>
        <v>-668656</v>
      </c>
      <c r="P42" s="136" t="n">
        <f aca="false">D42/P$3</f>
        <v>-0.365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31.049</v>
      </c>
      <c r="T42" s="114" t="n">
        <f aca="false">L42/$R$3</f>
        <v>0</v>
      </c>
      <c r="U42" s="114" t="n">
        <f aca="false">I42/$R$3</f>
        <v>-185.029</v>
      </c>
      <c r="V42" s="114" t="n">
        <f aca="false">M42/$R$3</f>
        <v>-668.656</v>
      </c>
      <c r="W42" s="114" t="n">
        <f aca="false">N42/$R$3</f>
        <v>-668.656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INDEX('[4]Master Data'!$A$2:$B$8,MATCH(WEEKDAY('TBS CRD MTM'!A43,3),'[4]Master Data'!$A$2:$A$8,0),2)</f>
        <v>W</v>
      </c>
      <c r="D43" s="112" t="n">
        <v>-338</v>
      </c>
      <c r="E43" s="112" t="n">
        <v>0</v>
      </c>
      <c r="F43" s="112" t="n">
        <v>0</v>
      </c>
      <c r="G43" s="112" t="n">
        <v>-443026</v>
      </c>
      <c r="I43" s="112" t="n">
        <f aca="false">IF(MONTH($A43)=MONTH($A42),IF(G43=0,I42,G43),G43)</f>
        <v>-443026</v>
      </c>
      <c r="J43" s="112" t="n">
        <f aca="false">IF(MONTH($A43)=MONTH($A42),SUM(I43-I42),I43)</f>
        <v>-257997</v>
      </c>
      <c r="K43" s="112" t="n">
        <f aca="false">IF(WEEKDAY(A43,3)&gt;4,0,(IF(A43&lt;K$2,0,IF(A43&lt;=K$3,1,0))))</f>
        <v>0</v>
      </c>
      <c r="L43" s="112" t="n">
        <f aca="false">J43*K43</f>
        <v>-0</v>
      </c>
      <c r="M43" s="112" t="n">
        <f aca="false">SUM(J$6:J43)</f>
        <v>-926653</v>
      </c>
      <c r="N43" s="112" t="n">
        <f aca="false">SUM(J$6:J43)</f>
        <v>-926653</v>
      </c>
      <c r="P43" s="136" t="n">
        <f aca="false">D43/P$3</f>
        <v>-0.338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-257.997</v>
      </c>
      <c r="T43" s="114" t="n">
        <f aca="false">L43/$R$3</f>
        <v>-0</v>
      </c>
      <c r="U43" s="114" t="n">
        <f aca="false">I43/$R$3</f>
        <v>-443.026</v>
      </c>
      <c r="V43" s="114" t="n">
        <f aca="false">M43/$R$3</f>
        <v>-926.653</v>
      </c>
      <c r="W43" s="114" t="n">
        <f aca="false">N43/$R$3</f>
        <v>-926.653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INDEX('[4]Master Data'!$A$2:$B$8,MATCH(WEEKDAY('TBS CRD MTM'!A44,3),'[4]Master Data'!$A$2:$A$8,0),2)</f>
        <v>Th</v>
      </c>
      <c r="D44" s="112" t="n">
        <v>-339</v>
      </c>
      <c r="E44" s="112" t="n">
        <v>0</v>
      </c>
      <c r="F44" s="112" t="n">
        <v>0</v>
      </c>
      <c r="G44" s="112" t="n">
        <v>-412009</v>
      </c>
      <c r="I44" s="112" t="n">
        <f aca="false">IF(MONTH($A44)=MONTH($A43),IF(G44=0,I43,G44),G44)</f>
        <v>-412009</v>
      </c>
      <c r="J44" s="112" t="n">
        <f aca="false">IF(MONTH($A44)=MONTH($A43),SUM(I44-I43),I44)</f>
        <v>31017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-895636</v>
      </c>
      <c r="N44" s="112" t="n">
        <f aca="false">SUM(J$6:J44)</f>
        <v>-895636</v>
      </c>
      <c r="P44" s="136" t="n">
        <f aca="false">D44/P$3</f>
        <v>-0.339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31.017</v>
      </c>
      <c r="T44" s="114" t="n">
        <f aca="false">L44/$R$3</f>
        <v>0</v>
      </c>
      <c r="U44" s="114" t="n">
        <f aca="false">I44/$R$3</f>
        <v>-412.009</v>
      </c>
      <c r="V44" s="114" t="n">
        <f aca="false">M44/$R$3</f>
        <v>-895.636</v>
      </c>
      <c r="W44" s="114" t="n">
        <f aca="false">N44/$R$3</f>
        <v>-895.636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INDEX('[4]Master Data'!$A$2:$B$8,MATCH(WEEKDAY('TBS CRD MTM'!A45,3),'[4]Master Data'!$A$2:$A$8,0),2)</f>
        <v>F</v>
      </c>
      <c r="D45" s="112" t="n">
        <v>-351</v>
      </c>
      <c r="E45" s="112" t="n">
        <v>0</v>
      </c>
      <c r="F45" s="112" t="n">
        <v>0</v>
      </c>
      <c r="G45" s="112" t="n">
        <v>-326742</v>
      </c>
      <c r="I45" s="112" t="n">
        <f aca="false">IF(MONTH($A45)=MONTH($A44),IF(G45=0,I44,G45),G45)</f>
        <v>-326742</v>
      </c>
      <c r="J45" s="112" t="n">
        <f aca="false">IF(MONTH($A45)=MONTH($A44),SUM(I45-I44),I45)</f>
        <v>85267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-810369</v>
      </c>
      <c r="N45" s="112" t="n">
        <f aca="false">SUM(J$6:J45)</f>
        <v>-810369</v>
      </c>
      <c r="P45" s="136" t="n">
        <f aca="false">D45/P$3</f>
        <v>-0.351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85.267</v>
      </c>
      <c r="T45" s="114" t="n">
        <f aca="false">L45/$R$3</f>
        <v>0</v>
      </c>
      <c r="U45" s="114" t="n">
        <f aca="false">I45/$R$3</f>
        <v>-326.742</v>
      </c>
      <c r="V45" s="114" t="n">
        <f aca="false">M45/$R$3</f>
        <v>-810.369</v>
      </c>
      <c r="W45" s="114" t="n">
        <f aca="false">N45/$R$3</f>
        <v>-810.369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INDEX('[4]Master Data'!$A$2:$B$8,MATCH(WEEKDAY('TBS CRD MTM'!A46,3),'[4]Master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-326742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-810369</v>
      </c>
      <c r="N46" s="112" t="n">
        <f aca="false">SUM(J$6:J46)</f>
        <v>-810369</v>
      </c>
      <c r="P46" s="136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-326.742</v>
      </c>
      <c r="V46" s="114" t="n">
        <f aca="false">M46/$R$3</f>
        <v>-810.369</v>
      </c>
      <c r="W46" s="114" t="n">
        <f aca="false">N46/$R$3</f>
        <v>-810.369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INDEX('[4]Master Data'!$A$2:$B$8,MATCH(WEEKDAY('TBS CRD MTM'!A47,3),'[4]Master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-326742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-810369</v>
      </c>
      <c r="N47" s="112" t="n">
        <f aca="false">SUM(J$6:J47)</f>
        <v>-810369</v>
      </c>
      <c r="P47" s="136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-326.742</v>
      </c>
      <c r="V47" s="114" t="n">
        <f aca="false">M47/$R$3</f>
        <v>-810.369</v>
      </c>
      <c r="W47" s="114" t="n">
        <f aca="false">N47/$R$3</f>
        <v>-810.369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INDEX('[4]Master Data'!$A$2:$B$8,MATCH(WEEKDAY('TBS CRD MTM'!A48,3),'[4]Master Data'!$A$2:$A$8,0),2)</f>
        <v>M</v>
      </c>
      <c r="D48" s="112" t="n">
        <v>-357</v>
      </c>
      <c r="E48" s="112" t="n">
        <v>0</v>
      </c>
      <c r="F48" s="112" t="n">
        <v>0</v>
      </c>
      <c r="G48" s="112" t="n">
        <v>-262337</v>
      </c>
      <c r="I48" s="112" t="n">
        <f aca="false">IF(MONTH($A48)=MONTH($A47),IF(G48=0,I47,G48),G48)</f>
        <v>-262337</v>
      </c>
      <c r="J48" s="112" t="n">
        <f aca="false">IF(MONTH($A48)=MONTH($A47),SUM(I48-I47),I48)</f>
        <v>64405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-745964</v>
      </c>
      <c r="N48" s="112" t="n">
        <f aca="false">SUM(J$6:J48)</f>
        <v>-745964</v>
      </c>
      <c r="P48" s="136" t="n">
        <f aca="false">D48/P$3</f>
        <v>-0.357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64.405</v>
      </c>
      <c r="T48" s="114" t="n">
        <f aca="false">L48/$R$3</f>
        <v>0</v>
      </c>
      <c r="U48" s="114" t="n">
        <f aca="false">I48/$R$3</f>
        <v>-262.337</v>
      </c>
      <c r="V48" s="114" t="n">
        <f aca="false">M48/$R$3</f>
        <v>-745.964</v>
      </c>
      <c r="W48" s="114" t="n">
        <f aca="false">N48/$R$3</f>
        <v>-745.964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INDEX('[4]Master Data'!$A$2:$B$8,MATCH(WEEKDAY('TBS CRD MTM'!A49,3),'[4]Master Data'!$A$2:$A$8,0),2)</f>
        <v>T</v>
      </c>
      <c r="D49" s="112" t="n">
        <v>-351</v>
      </c>
      <c r="E49" s="112" t="n">
        <v>0</v>
      </c>
      <c r="F49" s="112" t="n">
        <v>0</v>
      </c>
      <c r="G49" s="112" t="n">
        <v>-377004</v>
      </c>
      <c r="I49" s="112" t="n">
        <f aca="false">IF(MONTH($A49)=MONTH($A48),IF(G49=0,I48,G49),G49)</f>
        <v>-377004</v>
      </c>
      <c r="J49" s="112" t="n">
        <f aca="false">IF(MONTH($A49)=MONTH($A48),SUM(I49-I48),I49)</f>
        <v>-114667</v>
      </c>
      <c r="K49" s="112" t="n">
        <f aca="false">IF(WEEKDAY(A49,3)&gt;4,0,(IF(A49&lt;K$2,0,IF(A49&lt;=K$3,1,0))))</f>
        <v>0</v>
      </c>
      <c r="L49" s="112" t="n">
        <f aca="false">J49*K49</f>
        <v>-0</v>
      </c>
      <c r="M49" s="112" t="n">
        <f aca="false">SUM(J$6:J49)</f>
        <v>-860631</v>
      </c>
      <c r="N49" s="112" t="n">
        <f aca="false">SUM(J$6:J49)</f>
        <v>-860631</v>
      </c>
      <c r="P49" s="136" t="n">
        <f aca="false">D49/P$3</f>
        <v>-0.351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-114.667</v>
      </c>
      <c r="T49" s="114" t="n">
        <f aca="false">L49/$R$3</f>
        <v>-0</v>
      </c>
      <c r="U49" s="114" t="n">
        <f aca="false">I49/$R$3</f>
        <v>-377.004</v>
      </c>
      <c r="V49" s="114" t="n">
        <f aca="false">M49/$R$3</f>
        <v>-860.631</v>
      </c>
      <c r="W49" s="114" t="n">
        <f aca="false">N49/$R$3</f>
        <v>-860.631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INDEX('[4]Master Data'!$A$2:$B$8,MATCH(WEEKDAY('TBS CRD MTM'!A50,3),'[4]Master Data'!$A$2:$A$8,0),2)</f>
        <v>W</v>
      </c>
      <c r="D50" s="112" t="n">
        <v>-361</v>
      </c>
      <c r="E50" s="112" t="n">
        <v>0</v>
      </c>
      <c r="F50" s="112" t="n">
        <v>0</v>
      </c>
      <c r="G50" s="112" t="n">
        <v>-193048</v>
      </c>
      <c r="I50" s="112" t="n">
        <f aca="false">IF(MONTH($A50)=MONTH($A49),IF(G50=0,I49,G50),G50)</f>
        <v>-193048</v>
      </c>
      <c r="J50" s="112" t="n">
        <f aca="false">IF(MONTH($A50)=MONTH($A49),SUM(I50-I49),I50)</f>
        <v>183956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-676675</v>
      </c>
      <c r="N50" s="112" t="n">
        <f aca="false">SUM(J$6:J50)</f>
        <v>-676675</v>
      </c>
      <c r="P50" s="136" t="n">
        <f aca="false">D50/P$3</f>
        <v>-0.361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183.956</v>
      </c>
      <c r="T50" s="114" t="n">
        <f aca="false">L50/$R$3</f>
        <v>0</v>
      </c>
      <c r="U50" s="114" t="n">
        <f aca="false">I50/$R$3</f>
        <v>-193.048</v>
      </c>
      <c r="V50" s="114" t="n">
        <f aca="false">M50/$R$3</f>
        <v>-676.675</v>
      </c>
      <c r="W50" s="114" t="n">
        <f aca="false">N50/$R$3</f>
        <v>-676.675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INDEX('[4]Master Data'!$A$2:$B$8,MATCH(WEEKDAY('TBS CRD MTM'!A51,3),'[4]Master Data'!$A$2:$A$8,0),2)</f>
        <v>Th</v>
      </c>
      <c r="D51" s="112" t="n">
        <v>-365</v>
      </c>
      <c r="E51" s="112" t="n">
        <v>0</v>
      </c>
      <c r="F51" s="112" t="n">
        <v>0</v>
      </c>
      <c r="G51" s="112" t="n">
        <v>-108000</v>
      </c>
      <c r="I51" s="112" t="n">
        <f aca="false">IF(MONTH($A51)=MONTH($A50),IF(G51=0,I50,G51),G51)</f>
        <v>-108000</v>
      </c>
      <c r="J51" s="112" t="n">
        <f aca="false">IF(MONTH($A51)=MONTH($A50),SUM(I51-I50),I51)</f>
        <v>85048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-591627</v>
      </c>
      <c r="N51" s="112" t="n">
        <f aca="false">SUM(J$6:J51)</f>
        <v>-591627</v>
      </c>
      <c r="P51" s="136" t="n">
        <f aca="false">D51/P$3</f>
        <v>-0.365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85.048</v>
      </c>
      <c r="T51" s="114" t="n">
        <f aca="false">L51/$R$3</f>
        <v>0</v>
      </c>
      <c r="U51" s="114" t="n">
        <f aca="false">I51/$R$3</f>
        <v>-108</v>
      </c>
      <c r="V51" s="114" t="n">
        <f aca="false">M51/$R$3</f>
        <v>-591.627</v>
      </c>
      <c r="W51" s="114" t="n">
        <f aca="false">N51/$R$3</f>
        <v>-591.627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INDEX('[4]Master Data'!$A$2:$B$8,MATCH(WEEKDAY('TBS CRD MTM'!A52,3),'[4]Master Data'!$A$2:$A$8,0),2)</f>
        <v>F</v>
      </c>
      <c r="D52" s="112" t="n">
        <v>-370</v>
      </c>
      <c r="E52" s="112" t="n">
        <v>0</v>
      </c>
      <c r="F52" s="112" t="n">
        <v>0</v>
      </c>
      <c r="G52" s="112" t="n">
        <v>-122329</v>
      </c>
      <c r="I52" s="112" t="n">
        <f aca="false">IF(MONTH($A52)=MONTH($A51),IF(G52=0,I51,G52),G52)</f>
        <v>-122329</v>
      </c>
      <c r="J52" s="112" t="n">
        <f aca="false">IF(MONTH($A52)=MONTH($A51),SUM(I52-I51),I52)</f>
        <v>-14329</v>
      </c>
      <c r="K52" s="112" t="n">
        <f aca="false">IF(WEEKDAY(A52,3)&gt;4,0,(IF(A52&lt;K$2,0,IF(A52&lt;=K$3,1,0))))</f>
        <v>0</v>
      </c>
      <c r="L52" s="112" t="n">
        <f aca="false">J52*K52</f>
        <v>-0</v>
      </c>
      <c r="M52" s="112" t="n">
        <f aca="false">SUM(J$6:J52)</f>
        <v>-605956</v>
      </c>
      <c r="N52" s="112" t="n">
        <f aca="false">SUM(J$6:J52)</f>
        <v>-605956</v>
      </c>
      <c r="P52" s="136" t="n">
        <f aca="false">D52/P$3</f>
        <v>-0.37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-14.329</v>
      </c>
      <c r="T52" s="114" t="n">
        <f aca="false">L52/$R$3</f>
        <v>-0</v>
      </c>
      <c r="U52" s="114" t="n">
        <f aca="false">I52/$R$3</f>
        <v>-122.329</v>
      </c>
      <c r="V52" s="114" t="n">
        <f aca="false">M52/$R$3</f>
        <v>-605.956</v>
      </c>
      <c r="W52" s="114" t="n">
        <f aca="false">N52/$R$3</f>
        <v>-605.956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INDEX('[4]Master Data'!$A$2:$B$8,MATCH(WEEKDAY('TBS CRD MTM'!A53,3),'[4]Master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-122329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-605956</v>
      </c>
      <c r="N53" s="112" t="n">
        <f aca="false">SUM(J$6:J53)</f>
        <v>-605956</v>
      </c>
      <c r="P53" s="136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-122.329</v>
      </c>
      <c r="V53" s="114" t="n">
        <f aca="false">M53/$R$3</f>
        <v>-605.956</v>
      </c>
      <c r="W53" s="114" t="n">
        <f aca="false">N53/$R$3</f>
        <v>-605.956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INDEX('[4]Master Data'!$A$2:$B$8,MATCH(WEEKDAY('TBS CRD MTM'!A54,3),'[4]Master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-122329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-605956</v>
      </c>
      <c r="N54" s="112" t="n">
        <f aca="false">SUM(J$6:J54)</f>
        <v>-605956</v>
      </c>
      <c r="P54" s="136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-122.329</v>
      </c>
      <c r="V54" s="114" t="n">
        <f aca="false">M54/$R$3</f>
        <v>-605.956</v>
      </c>
      <c r="W54" s="114" t="n">
        <f aca="false">N54/$R$3</f>
        <v>-605.956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INDEX('[4]Master Data'!$A$2:$B$8,MATCH(WEEKDAY('TBS CRD MTM'!A55,3),'[4]Master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-122329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-605956</v>
      </c>
      <c r="N55" s="112" t="n">
        <f aca="false">SUM(J$6:J55)</f>
        <v>-605956</v>
      </c>
      <c r="P55" s="136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-122.329</v>
      </c>
      <c r="V55" s="114" t="n">
        <f aca="false">M55/$R$3</f>
        <v>-605.956</v>
      </c>
      <c r="W55" s="114" t="n">
        <f aca="false">N55/$R$3</f>
        <v>-605.956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INDEX('[4]Master Data'!$A$2:$B$8,MATCH(WEEKDAY('TBS CRD MTM'!A56,3),'[4]Master Data'!$A$2:$A$8,0),2)</f>
        <v>T</v>
      </c>
      <c r="D56" s="112" t="n">
        <v>-373</v>
      </c>
      <c r="E56" s="112" t="n">
        <v>0</v>
      </c>
      <c r="F56" s="112" t="n">
        <v>0</v>
      </c>
      <c r="G56" s="112" t="n">
        <v>-98559</v>
      </c>
      <c r="I56" s="112" t="n">
        <f aca="false">IF(MONTH($A56)=MONTH($A55),IF(G56=0,I55,G56),G56)</f>
        <v>-98559</v>
      </c>
      <c r="J56" s="112" t="n">
        <f aca="false">IF(MONTH($A56)=MONTH($A55),SUM(I56-I55),I56)</f>
        <v>23770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-582186</v>
      </c>
      <c r="N56" s="112" t="n">
        <f aca="false">SUM(J$6:J56)</f>
        <v>-582186</v>
      </c>
      <c r="P56" s="136" t="n">
        <f aca="false">D56/P$3</f>
        <v>-0.373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23.77</v>
      </c>
      <c r="T56" s="114" t="n">
        <f aca="false">L56/$R$3</f>
        <v>0</v>
      </c>
      <c r="U56" s="114" t="n">
        <f aca="false">I56/$R$3</f>
        <v>-98.559</v>
      </c>
      <c r="V56" s="114" t="n">
        <f aca="false">M56/$R$3</f>
        <v>-582.186</v>
      </c>
      <c r="W56" s="114" t="n">
        <f aca="false">N56/$R$3</f>
        <v>-582.186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INDEX('[4]Master Data'!$A$2:$B$8,MATCH(WEEKDAY('TBS CRD MTM'!A57,3),'[4]Master Data'!$A$2:$A$8,0),2)</f>
        <v>W</v>
      </c>
      <c r="D57" s="112" t="n">
        <v>-382</v>
      </c>
      <c r="E57" s="112" t="n">
        <v>0</v>
      </c>
      <c r="F57" s="112" t="n">
        <v>0</v>
      </c>
      <c r="G57" s="112" t="n">
        <v>29103</v>
      </c>
      <c r="I57" s="112" t="n">
        <f aca="false">IF(MONTH($A57)=MONTH($A56),IF(G57=0,I56,G57),G57)</f>
        <v>29103</v>
      </c>
      <c r="J57" s="112" t="n">
        <f aca="false">IF(MONTH($A57)=MONTH($A56),SUM(I57-I56),I57)</f>
        <v>127662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-454524</v>
      </c>
      <c r="N57" s="112" t="n">
        <f aca="false">SUM(J$6:J57)</f>
        <v>-454524</v>
      </c>
      <c r="P57" s="136" t="n">
        <f aca="false">D57/P$3</f>
        <v>-0.382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127.662</v>
      </c>
      <c r="T57" s="114" t="n">
        <f aca="false">L57/$R$3</f>
        <v>0</v>
      </c>
      <c r="U57" s="114" t="n">
        <f aca="false">I57/$R$3</f>
        <v>29.103</v>
      </c>
      <c r="V57" s="114" t="n">
        <f aca="false">M57/$R$3</f>
        <v>-454.524</v>
      </c>
      <c r="W57" s="114" t="n">
        <f aca="false">N57/$R$3</f>
        <v>-454.524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INDEX('[4]Master Data'!$A$2:$B$8,MATCH(WEEKDAY('TBS CRD MTM'!A58,3),'[4]Master Data'!$A$2:$A$8,0),2)</f>
        <v>Th</v>
      </c>
      <c r="D58" s="112" t="n">
        <v>-372</v>
      </c>
      <c r="E58" s="112" t="n">
        <v>0</v>
      </c>
      <c r="F58" s="112" t="n">
        <v>0</v>
      </c>
      <c r="G58" s="112" t="n">
        <v>-70041</v>
      </c>
      <c r="I58" s="112" t="n">
        <f aca="false">IF(MONTH($A58)=MONTH($A57),IF(G58=0,I57,G58),G58)</f>
        <v>-70041</v>
      </c>
      <c r="J58" s="112" t="n">
        <f aca="false">IF(MONTH($A58)=MONTH($A57),SUM(I58-I57),I58)</f>
        <v>-99144</v>
      </c>
      <c r="K58" s="112" t="n">
        <f aca="false">IF(WEEKDAY(A58,3)&gt;4,0,(IF(A58&lt;K$2,0,IF(A58&lt;=K$3,1,0))))</f>
        <v>0</v>
      </c>
      <c r="L58" s="112" t="n">
        <f aca="false">J58*K58</f>
        <v>-0</v>
      </c>
      <c r="M58" s="112" t="n">
        <f aca="false">SUM(J$6:J58)</f>
        <v>-553668</v>
      </c>
      <c r="N58" s="112" t="n">
        <f aca="false">SUM(J$6:J58)</f>
        <v>-553668</v>
      </c>
      <c r="P58" s="136" t="n">
        <f aca="false">D58/P$3</f>
        <v>-0.372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-99.144</v>
      </c>
      <c r="T58" s="114" t="n">
        <f aca="false">L58/$R$3</f>
        <v>-0</v>
      </c>
      <c r="U58" s="114" t="n">
        <f aca="false">I58/$R$3</f>
        <v>-70.041</v>
      </c>
      <c r="V58" s="114" t="n">
        <f aca="false">M58/$R$3</f>
        <v>-553.668</v>
      </c>
      <c r="W58" s="114" t="n">
        <f aca="false">N58/$R$3</f>
        <v>-553.668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INDEX('[4]Master Data'!$A$2:$B$8,MATCH(WEEKDAY('TBS CRD MTM'!A59,3),'[4]Master Data'!$A$2:$A$8,0),2)</f>
        <v>F</v>
      </c>
      <c r="D59" s="112" t="n">
        <v>-370</v>
      </c>
      <c r="E59" s="112" t="n">
        <v>0</v>
      </c>
      <c r="F59" s="112" t="n">
        <v>0</v>
      </c>
      <c r="G59" s="112" t="n">
        <v>-125728</v>
      </c>
      <c r="I59" s="112" t="n">
        <f aca="false">IF(MONTH($A59)=MONTH($A58),IF(G59=0,I58,G59),G59)</f>
        <v>-125728</v>
      </c>
      <c r="J59" s="112" t="n">
        <f aca="false">IF(MONTH($A59)=MONTH($A58),SUM(I59-I58),I59)</f>
        <v>-55687</v>
      </c>
      <c r="K59" s="112" t="n">
        <f aca="false">IF(WEEKDAY(A59,3)&gt;4,0,(IF(A59&lt;K$2,0,IF(A59&lt;=K$3,1,0))))</f>
        <v>0</v>
      </c>
      <c r="L59" s="112" t="n">
        <f aca="false">J59*K59</f>
        <v>-0</v>
      </c>
      <c r="M59" s="112" t="n">
        <f aca="false">SUM(J$6:J59)</f>
        <v>-609355</v>
      </c>
      <c r="N59" s="112" t="n">
        <f aca="false">SUM(J$6:J59)</f>
        <v>-609355</v>
      </c>
      <c r="P59" s="136" t="n">
        <f aca="false">D59/P$3</f>
        <v>-0.37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-55.687</v>
      </c>
      <c r="T59" s="114" t="n">
        <f aca="false">L59/$R$3</f>
        <v>-0</v>
      </c>
      <c r="U59" s="114" t="n">
        <f aca="false">I59/$R$3</f>
        <v>-125.728</v>
      </c>
      <c r="V59" s="114" t="n">
        <f aca="false">M59/$R$3</f>
        <v>-609.355</v>
      </c>
      <c r="W59" s="114" t="n">
        <f aca="false">N59/$R$3</f>
        <v>-609.355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INDEX('[4]Master Data'!$A$2:$B$8,MATCH(WEEKDAY('TBS CRD MTM'!A60,3),'[4]Master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-125728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-609355</v>
      </c>
      <c r="N60" s="112" t="n">
        <f aca="false">SUM(J$6:J60)</f>
        <v>-609355</v>
      </c>
      <c r="P60" s="136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-125.728</v>
      </c>
      <c r="V60" s="114" t="n">
        <f aca="false">M60/$R$3</f>
        <v>-609.355</v>
      </c>
      <c r="W60" s="114" t="n">
        <f aca="false">N60/$R$3</f>
        <v>-609.355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INDEX('[4]Master Data'!$A$2:$B$8,MATCH(WEEKDAY('TBS CRD MTM'!A61,3),'[4]Master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-125728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-609355</v>
      </c>
      <c r="N61" s="112" t="n">
        <f aca="false">SUM(J$6:J61)</f>
        <v>-609355</v>
      </c>
      <c r="P61" s="136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-125.728</v>
      </c>
      <c r="V61" s="114" t="n">
        <f aca="false">M61/$R$3</f>
        <v>-609.355</v>
      </c>
      <c r="W61" s="114" t="n">
        <f aca="false">N61/$R$3</f>
        <v>-609.355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INDEX('[4]Master Data'!$A$2:$B$8,MATCH(WEEKDAY('TBS CRD MTM'!A62,3),'[4]Master Data'!$A$2:$A$8,0),2)</f>
        <v>M</v>
      </c>
      <c r="D62" s="112" t="n">
        <v>-378</v>
      </c>
      <c r="E62" s="112" t="n">
        <v>0</v>
      </c>
      <c r="F62" s="112" t="n">
        <v>0</v>
      </c>
      <c r="G62" s="112" t="n">
        <v>-73506</v>
      </c>
      <c r="I62" s="112" t="n">
        <f aca="false">IF(MONTH($A62)=MONTH($A61),IF(G62=0,I61,G62),G62)</f>
        <v>-73506</v>
      </c>
      <c r="J62" s="112" t="n">
        <f aca="false">IF(MONTH($A62)=MONTH($A61),SUM(I62-I61),I62)</f>
        <v>52222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-557133</v>
      </c>
      <c r="N62" s="112" t="n">
        <f aca="false">SUM(J$6:J62)</f>
        <v>-557133</v>
      </c>
      <c r="P62" s="136" t="n">
        <f aca="false">D62/P$3</f>
        <v>-0.378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52.222</v>
      </c>
      <c r="T62" s="114" t="n">
        <f aca="false">L62/$R$3</f>
        <v>0</v>
      </c>
      <c r="U62" s="114" t="n">
        <f aca="false">I62/$R$3</f>
        <v>-73.506</v>
      </c>
      <c r="V62" s="114" t="n">
        <f aca="false">M62/$R$3</f>
        <v>-557.133</v>
      </c>
      <c r="W62" s="114" t="n">
        <f aca="false">N62/$R$3</f>
        <v>-557.133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INDEX('[4]Master Data'!$A$2:$B$8,MATCH(WEEKDAY('TBS CRD MTM'!A63,3),'[4]Master Data'!$A$2:$A$8,0),2)</f>
        <v>T</v>
      </c>
      <c r="D63" s="112" t="n">
        <v>-378</v>
      </c>
      <c r="E63" s="112" t="n">
        <v>0</v>
      </c>
      <c r="F63" s="112" t="n">
        <v>0</v>
      </c>
      <c r="G63" s="112" t="n">
        <v>-153932</v>
      </c>
      <c r="I63" s="112" t="n">
        <f aca="false">IF(MONTH($A63)=MONTH($A62),IF(G63=0,I62,G63),G63)</f>
        <v>-153932</v>
      </c>
      <c r="J63" s="112" t="n">
        <f aca="false">IF(MONTH($A63)=MONTH($A62),SUM(I63-I62),I63)</f>
        <v>-80426</v>
      </c>
      <c r="K63" s="112" t="n">
        <f aca="false">IF(WEEKDAY(A63,3)&gt;4,0,(IF(A63&lt;K$2,0,IF(A63&lt;=K$3,1,0))))</f>
        <v>0</v>
      </c>
      <c r="L63" s="112" t="n">
        <f aca="false">J63*K63</f>
        <v>-0</v>
      </c>
      <c r="M63" s="112" t="n">
        <f aca="false">SUM(J$6:J63)</f>
        <v>-637559</v>
      </c>
      <c r="N63" s="112" t="n">
        <f aca="false">SUM(J$6:J63)</f>
        <v>-637559</v>
      </c>
      <c r="P63" s="136" t="n">
        <f aca="false">D63/P$3</f>
        <v>-0.378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-80.426</v>
      </c>
      <c r="T63" s="114" t="n">
        <f aca="false">L63/$R$3</f>
        <v>-0</v>
      </c>
      <c r="U63" s="114" t="n">
        <f aca="false">I63/$R$3</f>
        <v>-153.932</v>
      </c>
      <c r="V63" s="114" t="n">
        <f aca="false">M63/$R$3</f>
        <v>-637.559</v>
      </c>
      <c r="W63" s="114" t="n">
        <f aca="false">N63/$R$3</f>
        <v>-637.559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INDEX('[4]Master Data'!$A$2:$B$8,MATCH(WEEKDAY('TBS CRD MTM'!A64,3),'[4]Master Data'!$A$2:$A$8,0),2)</f>
        <v>W</v>
      </c>
      <c r="D64" s="112" t="n">
        <v>-396</v>
      </c>
      <c r="E64" s="112" t="n">
        <v>0</v>
      </c>
      <c r="F64" s="112" t="n">
        <v>0</v>
      </c>
      <c r="G64" s="112" t="n">
        <v>47706</v>
      </c>
      <c r="I64" s="112" t="n">
        <f aca="false">IF(MONTH($A64)=MONTH($A63),IF(G64=0,I63,G64),G64)</f>
        <v>47706</v>
      </c>
      <c r="J64" s="112" t="n">
        <f aca="false">IF(MONTH($A64)=MONTH($A63),SUM(I64-I63),I64)</f>
        <v>201638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-435921</v>
      </c>
      <c r="N64" s="112" t="n">
        <f aca="false">SUM(J$6:J64)</f>
        <v>-435921</v>
      </c>
      <c r="P64" s="136" t="n">
        <f aca="false">D64/P$3</f>
        <v>-0.396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201.638</v>
      </c>
      <c r="T64" s="114" t="n">
        <f aca="false">L64/$R$3</f>
        <v>0</v>
      </c>
      <c r="U64" s="114" t="n">
        <f aca="false">I64/$R$3</f>
        <v>47.706</v>
      </c>
      <c r="V64" s="114" t="n">
        <f aca="false">M64/$R$3</f>
        <v>-435.921</v>
      </c>
      <c r="W64" s="114" t="n">
        <f aca="false">N64/$R$3</f>
        <v>-435.921</v>
      </c>
    </row>
    <row r="65" customFormat="false" ht="12.75" hidden="false" customHeight="false" outlineLevel="0" collapsed="false">
      <c r="A65" s="108" t="n">
        <f aca="false">A64+1</f>
        <v>36951</v>
      </c>
      <c r="B65" s="119" t="str">
        <f aca="false">INDEX('[4]Master Data'!$A$2:$B$8,MATCH(WEEKDAY('TBS CRD MTM'!A65,3),'[4]Master Data'!$A$2:$A$8,0),2)</f>
        <v>Th</v>
      </c>
      <c r="D65" s="112" t="n">
        <v>-389</v>
      </c>
      <c r="E65" s="112" t="n">
        <v>0</v>
      </c>
      <c r="F65" s="112" t="n">
        <v>0</v>
      </c>
      <c r="G65" s="112" t="n">
        <v>-108113</v>
      </c>
      <c r="I65" s="112" t="n">
        <f aca="false">IF(MONTH($A65)=MONTH($A64),IF(G65=0,I64,G65),G65)</f>
        <v>-108113</v>
      </c>
      <c r="J65" s="112" t="n">
        <f aca="false">IF(MONTH($A65)=MONTH($A64),SUM(I65-I64),I65)</f>
        <v>-108113</v>
      </c>
      <c r="K65" s="112" t="n">
        <f aca="false">IF(WEEKDAY(A65,3)&gt;4,0,(IF(A65&lt;K$2,0,IF(A65&lt;=K$3,1,0))))</f>
        <v>0</v>
      </c>
      <c r="L65" s="112" t="n">
        <f aca="false">J65*K65</f>
        <v>-0</v>
      </c>
      <c r="M65" s="112" t="n">
        <f aca="false">SUM(J$6:J65)</f>
        <v>-544034</v>
      </c>
      <c r="N65" s="112" t="n">
        <f aca="false">SUM(J$6:J65)</f>
        <v>-544034</v>
      </c>
      <c r="P65" s="136" t="n">
        <f aca="false">D65/P$3</f>
        <v>-0.389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-108.113</v>
      </c>
      <c r="T65" s="114" t="n">
        <f aca="false">L65/$R$3</f>
        <v>-0</v>
      </c>
      <c r="U65" s="114" t="n">
        <f aca="false">I65/$R$3</f>
        <v>-108.113</v>
      </c>
      <c r="V65" s="114" t="n">
        <f aca="false">M65/$R$3</f>
        <v>-544.034</v>
      </c>
      <c r="W65" s="114" t="n">
        <f aca="false">N65/$R$3</f>
        <v>-544.034</v>
      </c>
    </row>
    <row r="66" customFormat="false" ht="12.75" hidden="false" customHeight="false" outlineLevel="0" collapsed="false">
      <c r="A66" s="108" t="n">
        <f aca="false">A65+1</f>
        <v>36952</v>
      </c>
      <c r="B66" s="119" t="str">
        <f aca="false">INDEX('[4]Master Data'!$A$2:$B$8,MATCH(WEEKDAY('TBS CRD MTM'!A66,3),'[4]Master Data'!$A$2:$A$8,0),2)</f>
        <v>F</v>
      </c>
      <c r="D66" s="112" t="n">
        <v>-383</v>
      </c>
      <c r="E66" s="112" t="n">
        <v>0</v>
      </c>
      <c r="F66" s="112" t="n">
        <v>0</v>
      </c>
      <c r="G66" s="112" t="n">
        <v>-97022</v>
      </c>
      <c r="I66" s="112" t="n">
        <f aca="false">IF(MONTH($A66)=MONTH($A65),IF(G66=0,I65,G66),G66)</f>
        <v>-97022</v>
      </c>
      <c r="J66" s="112" t="n">
        <f aca="false">IF(MONTH($A66)=MONTH($A65),SUM(I66-I65),I66)</f>
        <v>11091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-532943</v>
      </c>
      <c r="N66" s="112" t="n">
        <f aca="false">SUM(J$6:J66)</f>
        <v>-532943</v>
      </c>
      <c r="P66" s="136" t="n">
        <f aca="false">D66/P$3</f>
        <v>-0.383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11.091</v>
      </c>
      <c r="T66" s="114" t="n">
        <f aca="false">L66/$R$3</f>
        <v>0</v>
      </c>
      <c r="U66" s="114" t="n">
        <f aca="false">I66/$R$3</f>
        <v>-97.022</v>
      </c>
      <c r="V66" s="114" t="n">
        <f aca="false">M66/$R$3</f>
        <v>-532.943</v>
      </c>
      <c r="W66" s="114" t="n">
        <f aca="false">N66/$R$3</f>
        <v>-532.943</v>
      </c>
    </row>
    <row r="67" customFormat="false" ht="12.75" hidden="false" customHeight="false" outlineLevel="0" collapsed="false">
      <c r="A67" s="108" t="n">
        <f aca="false">A66+1</f>
        <v>36953</v>
      </c>
      <c r="B67" s="119" t="str">
        <f aca="false">INDEX('[4]Master Data'!$A$2:$B$8,MATCH(WEEKDAY('TBS CRD MTM'!A67,3),'[4]Master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-97022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-532943</v>
      </c>
      <c r="N67" s="112" t="n">
        <f aca="false">SUM(J$6:J67)</f>
        <v>-532943</v>
      </c>
      <c r="P67" s="136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-97.022</v>
      </c>
      <c r="V67" s="114" t="n">
        <f aca="false">M67/$R$3</f>
        <v>-532.943</v>
      </c>
      <c r="W67" s="114" t="n">
        <f aca="false">N67/$R$3</f>
        <v>-532.943</v>
      </c>
    </row>
    <row r="68" customFormat="false" ht="12.75" hidden="false" customHeight="false" outlineLevel="0" collapsed="false">
      <c r="A68" s="108" t="n">
        <f aca="false">A67+1</f>
        <v>36954</v>
      </c>
      <c r="B68" s="119" t="str">
        <f aca="false">INDEX('[4]Master Data'!$A$2:$B$8,MATCH(WEEKDAY('TBS CRD MTM'!A68,3),'[4]Master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-97022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-532943</v>
      </c>
      <c r="N68" s="112" t="n">
        <f aca="false">SUM(J$6:J68)</f>
        <v>-532943</v>
      </c>
      <c r="P68" s="136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-97.022</v>
      </c>
      <c r="V68" s="114" t="n">
        <f aca="false">M68/$R$3</f>
        <v>-532.943</v>
      </c>
      <c r="W68" s="114" t="n">
        <f aca="false">N68/$R$3</f>
        <v>-532.943</v>
      </c>
    </row>
    <row r="69" customFormat="false" ht="12.75" hidden="false" customHeight="false" outlineLevel="0" collapsed="false">
      <c r="A69" s="108" t="n">
        <f aca="false">A68+1</f>
        <v>36955</v>
      </c>
      <c r="B69" s="119" t="str">
        <f aca="false">INDEX('[4]Master Data'!$A$2:$B$8,MATCH(WEEKDAY('TBS CRD MTM'!A69,3),'[4]Master Data'!$A$2:$A$8,0),2)</f>
        <v>M</v>
      </c>
      <c r="D69" s="112" t="n">
        <v>-375</v>
      </c>
      <c r="E69" s="112" t="n">
        <v>0</v>
      </c>
      <c r="F69" s="112" t="n">
        <v>0</v>
      </c>
      <c r="G69" s="112" t="n">
        <v>-189014</v>
      </c>
      <c r="I69" s="112" t="n">
        <f aca="false">IF(MONTH($A69)=MONTH($A68),IF(G69=0,I68,G69),G69)</f>
        <v>-189014</v>
      </c>
      <c r="J69" s="112" t="n">
        <f aca="false">IF(MONTH($A69)=MONTH($A68),SUM(I69-I68),I69)</f>
        <v>-91992</v>
      </c>
      <c r="K69" s="112" t="n">
        <f aca="false">IF(WEEKDAY(A69,3)&gt;4,0,(IF(A69&lt;K$2,0,IF(A69&lt;=K$3,1,0))))</f>
        <v>0</v>
      </c>
      <c r="L69" s="112" t="n">
        <f aca="false">J69*K69</f>
        <v>-0</v>
      </c>
      <c r="M69" s="112" t="n">
        <f aca="false">SUM(J$6:J69)</f>
        <v>-624935</v>
      </c>
      <c r="N69" s="112" t="n">
        <f aca="false">SUM(J$6:J69)</f>
        <v>-624935</v>
      </c>
      <c r="P69" s="136" t="n">
        <f aca="false">D69/P$3</f>
        <v>-0.375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-91.992</v>
      </c>
      <c r="T69" s="114" t="n">
        <f aca="false">L69/$R$3</f>
        <v>-0</v>
      </c>
      <c r="U69" s="114" t="n">
        <f aca="false">I69/$R$3</f>
        <v>-189.014</v>
      </c>
      <c r="V69" s="114" t="n">
        <f aca="false">M69/$R$3</f>
        <v>-624.935</v>
      </c>
      <c r="W69" s="114" t="n">
        <f aca="false">N69/$R$3</f>
        <v>-624.935</v>
      </c>
    </row>
    <row r="70" customFormat="false" ht="12.75" hidden="false" customHeight="false" outlineLevel="0" collapsed="false">
      <c r="A70" s="108" t="n">
        <f aca="false">A69+1</f>
        <v>36956</v>
      </c>
      <c r="B70" s="119" t="str">
        <f aca="false">INDEX('[4]Master Data'!$A$2:$B$8,MATCH(WEEKDAY('TBS CRD MTM'!A70,3),'[4]Master Data'!$A$2:$A$8,0),2)</f>
        <v>T</v>
      </c>
      <c r="D70" s="112" t="n">
        <v>-365</v>
      </c>
      <c r="E70" s="112" t="n">
        <v>0</v>
      </c>
      <c r="F70" s="112" t="n">
        <v>0</v>
      </c>
      <c r="G70" s="112" t="n">
        <v>-181195</v>
      </c>
      <c r="I70" s="112" t="n">
        <f aca="false">IF(MONTH($A70)=MONTH($A69),IF(G70=0,I69,G70),G70)</f>
        <v>-181195</v>
      </c>
      <c r="J70" s="112" t="n">
        <f aca="false">IF(MONTH($A70)=MONTH($A69),SUM(I70-I69),I70)</f>
        <v>7819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-617116</v>
      </c>
      <c r="N70" s="112" t="n">
        <f aca="false">SUM(J$6:J70)</f>
        <v>-617116</v>
      </c>
      <c r="P70" s="136" t="n">
        <f aca="false">D70/P$3</f>
        <v>-0.365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7.819</v>
      </c>
      <c r="T70" s="114" t="n">
        <f aca="false">L70/$R$3</f>
        <v>0</v>
      </c>
      <c r="U70" s="114" t="n">
        <f aca="false">I70/$R$3</f>
        <v>-181.195</v>
      </c>
      <c r="V70" s="114" t="n">
        <f aca="false">M70/$R$3</f>
        <v>-617.116</v>
      </c>
      <c r="W70" s="114" t="n">
        <f aca="false">N70/$R$3</f>
        <v>-617.116</v>
      </c>
    </row>
    <row r="71" customFormat="false" ht="12.75" hidden="false" customHeight="false" outlineLevel="0" collapsed="false">
      <c r="A71" s="108" t="n">
        <f aca="false">A70+1</f>
        <v>36957</v>
      </c>
      <c r="B71" s="119" t="str">
        <f aca="false">INDEX('[4]Master Data'!$A$2:$B$8,MATCH(WEEKDAY('TBS CRD MTM'!A71,3),'[4]Master Data'!$A$2:$A$8,0),2)</f>
        <v>W</v>
      </c>
      <c r="D71" s="112" t="n">
        <v>-346</v>
      </c>
      <c r="E71" s="112" t="n">
        <v>0</v>
      </c>
      <c r="F71" s="112" t="n">
        <v>0</v>
      </c>
      <c r="G71" s="112" t="n">
        <v>-418252</v>
      </c>
      <c r="I71" s="112" t="n">
        <f aca="false">IF(MONTH($A71)=MONTH($A70),IF(G71=0,I70,G71),G71)</f>
        <v>-418252</v>
      </c>
      <c r="J71" s="112" t="n">
        <f aca="false">IF(MONTH($A71)=MONTH($A70),SUM(I71-I70),I71)</f>
        <v>-237057</v>
      </c>
      <c r="K71" s="112" t="n">
        <f aca="false">IF(WEEKDAY(A71,3)&gt;4,0,(IF(A71&lt;K$2,0,IF(A71&lt;=K$3,1,0))))</f>
        <v>0</v>
      </c>
      <c r="L71" s="112" t="n">
        <f aca="false">J71*K71</f>
        <v>-0</v>
      </c>
      <c r="M71" s="112" t="n">
        <f aca="false">SUM(J$6:J71)</f>
        <v>-854173</v>
      </c>
      <c r="N71" s="112" t="n">
        <f aca="false">SUM(J$6:J71)</f>
        <v>-854173</v>
      </c>
      <c r="P71" s="136" t="n">
        <f aca="false">D71/P$3</f>
        <v>-0.346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-237.057</v>
      </c>
      <c r="T71" s="114" t="n">
        <f aca="false">L71/$R$3</f>
        <v>-0</v>
      </c>
      <c r="U71" s="114" t="n">
        <f aca="false">I71/$R$3</f>
        <v>-418.252</v>
      </c>
      <c r="V71" s="114" t="n">
        <f aca="false">M71/$R$3</f>
        <v>-854.173</v>
      </c>
      <c r="W71" s="114" t="n">
        <f aca="false">N71/$R$3</f>
        <v>-854.173</v>
      </c>
    </row>
    <row r="72" customFormat="false" ht="12.75" hidden="false" customHeight="false" outlineLevel="0" collapsed="false">
      <c r="A72" s="108" t="n">
        <f aca="false">A71+1</f>
        <v>36958</v>
      </c>
      <c r="B72" s="119" t="str">
        <f aca="false">INDEX('[4]Master Data'!$A$2:$B$8,MATCH(WEEKDAY('TBS CRD MTM'!A72,3),'[4]Master Data'!$A$2:$A$8,0),2)</f>
        <v>Th</v>
      </c>
      <c r="D72" s="112" t="n">
        <v>-357</v>
      </c>
      <c r="E72" s="112" t="n">
        <v>0</v>
      </c>
      <c r="F72" s="112" t="n">
        <v>0</v>
      </c>
      <c r="G72" s="112" t="n">
        <v>-272530</v>
      </c>
      <c r="I72" s="112" t="n">
        <f aca="false">IF(MONTH($A72)=MONTH($A71),IF(G72=0,I71,G72),G72)</f>
        <v>-272530</v>
      </c>
      <c r="J72" s="112" t="n">
        <f aca="false">IF(MONTH($A72)=MONTH($A71),SUM(I72-I71),I72)</f>
        <v>145722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-708451</v>
      </c>
      <c r="N72" s="112" t="n">
        <f aca="false">SUM(J$6:J72)</f>
        <v>-708451</v>
      </c>
      <c r="P72" s="136" t="n">
        <f aca="false">D72/P$3</f>
        <v>-0.357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145.722</v>
      </c>
      <c r="T72" s="114" t="n">
        <f aca="false">L72/$R$3</f>
        <v>0</v>
      </c>
      <c r="U72" s="114" t="n">
        <f aca="false">I72/$R$3</f>
        <v>-272.53</v>
      </c>
      <c r="V72" s="114" t="n">
        <f aca="false">M72/$R$3</f>
        <v>-708.451</v>
      </c>
      <c r="W72" s="114" t="n">
        <f aca="false">N72/$R$3</f>
        <v>-708.451</v>
      </c>
    </row>
    <row r="73" customFormat="false" ht="12.75" hidden="false" customHeight="false" outlineLevel="0" collapsed="false">
      <c r="A73" s="108" t="n">
        <f aca="false">A72+1</f>
        <v>36959</v>
      </c>
      <c r="B73" s="119" t="str">
        <f aca="false">INDEX('[4]Master Data'!$A$2:$B$8,MATCH(WEEKDAY('TBS CRD MTM'!A73,3),'[4]Master Data'!$A$2:$A$8,0),2)</f>
        <v>F</v>
      </c>
      <c r="D73" s="112" t="n">
        <v>-355</v>
      </c>
      <c r="E73" s="112" t="n">
        <v>0</v>
      </c>
      <c r="F73" s="112" t="n">
        <v>0</v>
      </c>
      <c r="G73" s="112" t="n">
        <v>-288502</v>
      </c>
      <c r="I73" s="112" t="n">
        <f aca="false">IF(MONTH($A73)=MONTH($A72),IF(G73=0,I72,G73),G73)</f>
        <v>-288502</v>
      </c>
      <c r="J73" s="112" t="n">
        <f aca="false">IF(MONTH($A73)=MONTH($A72),SUM(I73-I72),I73)</f>
        <v>-15972</v>
      </c>
      <c r="K73" s="112" t="n">
        <f aca="false">IF(WEEKDAY(A73,3)&gt;4,0,(IF(A73&lt;K$2,0,IF(A73&lt;=K$3,1,0))))</f>
        <v>0</v>
      </c>
      <c r="L73" s="112" t="n">
        <f aca="false">J73*K73</f>
        <v>-0</v>
      </c>
      <c r="M73" s="112" t="n">
        <f aca="false">SUM(J$6:J73)</f>
        <v>-724423</v>
      </c>
      <c r="N73" s="112" t="n">
        <f aca="false">SUM(J$6:J73)</f>
        <v>-724423</v>
      </c>
      <c r="P73" s="136" t="n">
        <f aca="false">D73/P$3</f>
        <v>-0.355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-15.972</v>
      </c>
      <c r="T73" s="114" t="n">
        <f aca="false">L73/$R$3</f>
        <v>-0</v>
      </c>
      <c r="U73" s="114" t="n">
        <f aca="false">I73/$R$3</f>
        <v>-288.502</v>
      </c>
      <c r="V73" s="114" t="n">
        <f aca="false">M73/$R$3</f>
        <v>-724.423</v>
      </c>
      <c r="W73" s="114" t="n">
        <f aca="false">N73/$R$3</f>
        <v>-724.423</v>
      </c>
    </row>
    <row r="74" customFormat="false" ht="12.75" hidden="false" customHeight="false" outlineLevel="0" collapsed="false">
      <c r="A74" s="108" t="n">
        <f aca="false">A73+1</f>
        <v>36960</v>
      </c>
      <c r="B74" s="119" t="str">
        <f aca="false">INDEX('[4]Master Data'!$A$2:$B$8,MATCH(WEEKDAY('TBS CRD MTM'!A74,3),'[4]Master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-288502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-724423</v>
      </c>
      <c r="N74" s="112" t="n">
        <f aca="false">SUM(J$6:J74)</f>
        <v>-724423</v>
      </c>
      <c r="P74" s="136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-288.502</v>
      </c>
      <c r="V74" s="114" t="n">
        <f aca="false">M74/$R$3</f>
        <v>-724.423</v>
      </c>
      <c r="W74" s="114" t="n">
        <f aca="false">N74/$R$3</f>
        <v>-724.423</v>
      </c>
    </row>
    <row r="75" customFormat="false" ht="12.75" hidden="false" customHeight="false" outlineLevel="0" collapsed="false">
      <c r="A75" s="108" t="n">
        <f aca="false">A74+1</f>
        <v>36961</v>
      </c>
      <c r="B75" s="119" t="str">
        <f aca="false">INDEX('[4]Master Data'!$A$2:$B$8,MATCH(WEEKDAY('TBS CRD MTM'!A75,3),'[4]Master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-288502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-724423</v>
      </c>
      <c r="N75" s="112" t="n">
        <f aca="false">SUM(J$6:J75)</f>
        <v>-724423</v>
      </c>
      <c r="P75" s="136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-288.502</v>
      </c>
      <c r="V75" s="114" t="n">
        <f aca="false">M75/$R$3</f>
        <v>-724.423</v>
      </c>
      <c r="W75" s="114" t="n">
        <f aca="false">N75/$R$3</f>
        <v>-724.423</v>
      </c>
    </row>
    <row r="76" customFormat="false" ht="12.75" hidden="false" customHeight="false" outlineLevel="0" collapsed="false">
      <c r="A76" s="108" t="n">
        <f aca="false">A75+1</f>
        <v>36962</v>
      </c>
      <c r="B76" s="119" t="str">
        <f aca="false">INDEX('[4]Master Data'!$A$2:$B$8,MATCH(WEEKDAY('TBS CRD MTM'!A76,3),'[4]Master Data'!$A$2:$A$8,0),2)</f>
        <v>M</v>
      </c>
      <c r="D76" s="112" t="n">
        <v>-347</v>
      </c>
      <c r="E76" s="112" t="n">
        <v>0</v>
      </c>
      <c r="F76" s="112" t="n">
        <v>0</v>
      </c>
      <c r="G76" s="112" t="n">
        <v>-334978</v>
      </c>
      <c r="I76" s="112" t="n">
        <f aca="false">IF(MONTH($A76)=MONTH($A75),IF(G76=0,I75,G76),G76)</f>
        <v>-334978</v>
      </c>
      <c r="J76" s="112" t="n">
        <f aca="false">IF(MONTH($A76)=MONTH($A75),SUM(I76-I75),I76)</f>
        <v>-46476</v>
      </c>
      <c r="K76" s="112" t="n">
        <f aca="false">IF(WEEKDAY(A76,3)&gt;4,0,(IF(A76&lt;K$2,0,IF(A76&lt;=K$3,1,0))))</f>
        <v>0</v>
      </c>
      <c r="L76" s="112" t="n">
        <f aca="false">J76*K76</f>
        <v>-0</v>
      </c>
      <c r="M76" s="112" t="n">
        <f aca="false">SUM(J$6:J76)</f>
        <v>-770899</v>
      </c>
      <c r="N76" s="112" t="n">
        <f aca="false">SUM(J$6:J76)</f>
        <v>-770899</v>
      </c>
      <c r="P76" s="136" t="n">
        <f aca="false">D76/P$3</f>
        <v>-0.347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-46.476</v>
      </c>
      <c r="T76" s="114" t="n">
        <f aca="false">L76/$R$3</f>
        <v>-0</v>
      </c>
      <c r="U76" s="114" t="n">
        <f aca="false">I76/$R$3</f>
        <v>-334.978</v>
      </c>
      <c r="V76" s="114" t="n">
        <f aca="false">M76/$R$3</f>
        <v>-770.899</v>
      </c>
      <c r="W76" s="114" t="n">
        <f aca="false">N76/$R$3</f>
        <v>-770.899</v>
      </c>
    </row>
    <row r="77" customFormat="false" ht="12.75" hidden="false" customHeight="false" outlineLevel="0" collapsed="false">
      <c r="A77" s="108" t="n">
        <f aca="false">A76+1</f>
        <v>36963</v>
      </c>
      <c r="B77" s="119" t="str">
        <f aca="false">INDEX('[4]Master Data'!$A$2:$B$8,MATCH(WEEKDAY('TBS CRD MTM'!A77,3),'[4]Master Data'!$A$2:$A$8,0),2)</f>
        <v>T</v>
      </c>
      <c r="D77" s="112" t="n">
        <v>-355</v>
      </c>
      <c r="E77" s="112" t="n">
        <v>0</v>
      </c>
      <c r="F77" s="112" t="n">
        <v>0</v>
      </c>
      <c r="G77" s="112" t="n">
        <v>-128751</v>
      </c>
      <c r="I77" s="112" t="n">
        <f aca="false">IF(MONTH($A77)=MONTH($A76),IF(G77=0,I76,G77),G77)</f>
        <v>-128751</v>
      </c>
      <c r="J77" s="112" t="n">
        <f aca="false">IF(MONTH($A77)=MONTH($A76),SUM(I77-I76),I77)</f>
        <v>206227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-564672</v>
      </c>
      <c r="N77" s="112" t="n">
        <f aca="false">SUM(J$6:J77)</f>
        <v>-564672</v>
      </c>
      <c r="P77" s="136" t="n">
        <f aca="false">D77/P$3</f>
        <v>-0.355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206.227</v>
      </c>
      <c r="T77" s="114" t="n">
        <f aca="false">L77/$R$3</f>
        <v>0</v>
      </c>
      <c r="U77" s="114" t="n">
        <f aca="false">I77/$R$3</f>
        <v>-128.751</v>
      </c>
      <c r="V77" s="114" t="n">
        <f aca="false">M77/$R$3</f>
        <v>-564.672</v>
      </c>
      <c r="W77" s="114" t="n">
        <f aca="false">N77/$R$3</f>
        <v>-564.672</v>
      </c>
    </row>
    <row r="78" customFormat="false" ht="12.75" hidden="false" customHeight="false" outlineLevel="0" collapsed="false">
      <c r="A78" s="108" t="n">
        <f aca="false">A77+1</f>
        <v>36964</v>
      </c>
      <c r="B78" s="119" t="str">
        <f aca="false">INDEX('[4]Master Data'!$A$2:$B$8,MATCH(WEEKDAY('TBS CRD MTM'!A78,3),'[4]Master Data'!$A$2:$A$8,0),2)</f>
        <v>W</v>
      </c>
      <c r="D78" s="112" t="n">
        <v>-610</v>
      </c>
      <c r="E78" s="112" t="n">
        <v>0</v>
      </c>
      <c r="F78" s="112" t="n">
        <v>0</v>
      </c>
      <c r="G78" s="112" t="n">
        <v>-44735</v>
      </c>
      <c r="I78" s="112" t="n">
        <f aca="false">IF(MONTH($A78)=MONTH($A77),IF(G78=0,I77,G78),G78)</f>
        <v>-44735</v>
      </c>
      <c r="J78" s="112" t="n">
        <f aca="false">IF(MONTH($A78)=MONTH($A77),SUM(I78-I77),I78)</f>
        <v>84016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-480656</v>
      </c>
      <c r="N78" s="112" t="n">
        <f aca="false">SUM(J$6:J78)</f>
        <v>-480656</v>
      </c>
      <c r="P78" s="136" t="n">
        <f aca="false">D78/P$3</f>
        <v>-0.61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84.016</v>
      </c>
      <c r="T78" s="114" t="n">
        <f aca="false">L78/$R$3</f>
        <v>0</v>
      </c>
      <c r="U78" s="114" t="n">
        <f aca="false">I78/$R$3</f>
        <v>-44.735</v>
      </c>
      <c r="V78" s="114" t="n">
        <f aca="false">M78/$R$3</f>
        <v>-480.656</v>
      </c>
      <c r="W78" s="114" t="n">
        <f aca="false">N78/$R$3</f>
        <v>-480.656</v>
      </c>
    </row>
    <row r="79" customFormat="false" ht="12.75" hidden="false" customHeight="false" outlineLevel="0" collapsed="false">
      <c r="A79" s="108" t="n">
        <f aca="false">A78+1</f>
        <v>36965</v>
      </c>
      <c r="B79" s="119" t="str">
        <f aca="false">INDEX('[4]Master Data'!$A$2:$B$8,MATCH(WEEKDAY('TBS CRD MTM'!A79,3),'[4]Master Data'!$A$2:$A$8,0),2)</f>
        <v>Th</v>
      </c>
      <c r="D79" s="112" t="n">
        <v>-599</v>
      </c>
      <c r="E79" s="112" t="n">
        <v>0</v>
      </c>
      <c r="F79" s="112" t="n">
        <v>0</v>
      </c>
      <c r="G79" s="112" t="n">
        <v>-435564</v>
      </c>
      <c r="I79" s="112" t="n">
        <f aca="false">IF(MONTH($A79)=MONTH($A78),IF(G79=0,I78,G79),G79)</f>
        <v>-435564</v>
      </c>
      <c r="J79" s="112" t="n">
        <f aca="false">IF(MONTH($A79)=MONTH($A78),SUM(I79-I78),I79)</f>
        <v>-390829</v>
      </c>
      <c r="K79" s="112" t="n">
        <f aca="false">IF(WEEKDAY(A79,3)&gt;4,0,(IF(A79&lt;K$2,0,IF(A79&lt;=K$3,1,0))))</f>
        <v>0</v>
      </c>
      <c r="L79" s="112" t="n">
        <f aca="false">J79*K79</f>
        <v>-0</v>
      </c>
      <c r="M79" s="112" t="n">
        <f aca="false">SUM(J$6:J79)</f>
        <v>-871485</v>
      </c>
      <c r="N79" s="112" t="n">
        <f aca="false">SUM(J$6:J79)</f>
        <v>-871485</v>
      </c>
      <c r="P79" s="136" t="n">
        <f aca="false">D79/P$3</f>
        <v>-0.599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-390.829</v>
      </c>
      <c r="T79" s="114" t="n">
        <f aca="false">L79/$R$3</f>
        <v>-0</v>
      </c>
      <c r="U79" s="114" t="n">
        <f aca="false">I79/$R$3</f>
        <v>-435.564</v>
      </c>
      <c r="V79" s="114" t="n">
        <f aca="false">M79/$R$3</f>
        <v>-871.485</v>
      </c>
      <c r="W79" s="114" t="n">
        <f aca="false">N79/$R$3</f>
        <v>-871.485</v>
      </c>
    </row>
    <row r="80" customFormat="false" ht="12.75" hidden="false" customHeight="false" outlineLevel="0" collapsed="false">
      <c r="A80" s="108" t="n">
        <f aca="false">A79+1</f>
        <v>36966</v>
      </c>
      <c r="B80" s="119" t="str">
        <f aca="false">INDEX('[4]Master Data'!$A$2:$B$8,MATCH(WEEKDAY('TBS CRD MTM'!A80,3),'[4]Master Data'!$A$2:$A$8,0),2)</f>
        <v>F</v>
      </c>
      <c r="D80" s="112" t="n">
        <v>-609</v>
      </c>
      <c r="E80" s="112" t="n">
        <v>0</v>
      </c>
      <c r="F80" s="112" t="n">
        <v>0</v>
      </c>
      <c r="G80" s="112" t="n">
        <v>-230300</v>
      </c>
      <c r="I80" s="112" t="n">
        <f aca="false">IF(MONTH($A80)=MONTH($A79),IF(G80=0,I79,G80),G80)</f>
        <v>-230300</v>
      </c>
      <c r="J80" s="112" t="n">
        <f aca="false">IF(MONTH($A80)=MONTH($A79),SUM(I80-I79),I80)</f>
        <v>205264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-666221</v>
      </c>
      <c r="N80" s="112" t="n">
        <f aca="false">SUM(J$6:J80)</f>
        <v>-666221</v>
      </c>
      <c r="P80" s="136" t="n">
        <f aca="false">D80/P$3</f>
        <v>-0.609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205.264</v>
      </c>
      <c r="T80" s="114" t="n">
        <f aca="false">L80/$R$3</f>
        <v>0</v>
      </c>
      <c r="U80" s="114" t="n">
        <f aca="false">I80/$R$3</f>
        <v>-230.3</v>
      </c>
      <c r="V80" s="114" t="n">
        <f aca="false">M80/$R$3</f>
        <v>-666.221</v>
      </c>
      <c r="W80" s="114" t="n">
        <f aca="false">N80/$R$3</f>
        <v>-666.221</v>
      </c>
    </row>
    <row r="81" customFormat="false" ht="12.75" hidden="false" customHeight="false" outlineLevel="0" collapsed="false">
      <c r="A81" s="108" t="n">
        <f aca="false">A80+1</f>
        <v>36967</v>
      </c>
      <c r="B81" s="119" t="str">
        <f aca="false">INDEX('[4]Master Data'!$A$2:$B$8,MATCH(WEEKDAY('TBS CRD MTM'!A81,3),'[4]Master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-230300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-666221</v>
      </c>
      <c r="N81" s="112" t="n">
        <f aca="false">SUM(J$6:J81)</f>
        <v>-666221</v>
      </c>
      <c r="P81" s="136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-230.3</v>
      </c>
      <c r="V81" s="114" t="n">
        <f aca="false">M81/$R$3</f>
        <v>-666.221</v>
      </c>
      <c r="W81" s="114" t="n">
        <f aca="false">N81/$R$3</f>
        <v>-666.221</v>
      </c>
    </row>
    <row r="82" customFormat="false" ht="12.75" hidden="false" customHeight="false" outlineLevel="0" collapsed="false">
      <c r="A82" s="108" t="n">
        <f aca="false">A81+1</f>
        <v>36968</v>
      </c>
      <c r="B82" s="119" t="str">
        <f aca="false">INDEX('[4]Master Data'!$A$2:$B$8,MATCH(WEEKDAY('TBS CRD MTM'!A82,3),'[4]Master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-230300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-666221</v>
      </c>
      <c r="N82" s="112" t="n">
        <f aca="false">SUM(J$6:J82)</f>
        <v>-666221</v>
      </c>
      <c r="P82" s="136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-230.3</v>
      </c>
      <c r="V82" s="114" t="n">
        <f aca="false">M82/$R$3</f>
        <v>-666.221</v>
      </c>
      <c r="W82" s="114" t="n">
        <f aca="false">N82/$R$3</f>
        <v>-666.221</v>
      </c>
    </row>
    <row r="83" customFormat="false" ht="12.75" hidden="false" customHeight="false" outlineLevel="0" collapsed="false">
      <c r="A83" s="108" t="n">
        <f aca="false">A82+1</f>
        <v>36969</v>
      </c>
      <c r="B83" s="119" t="str">
        <f aca="false">INDEX('[4]Master Data'!$A$2:$B$8,MATCH(WEEKDAY('TBS CRD MTM'!A83,3),'[4]Master Data'!$A$2:$A$8,0),2)</f>
        <v>M</v>
      </c>
      <c r="D83" s="112" t="n">
        <v>-605</v>
      </c>
      <c r="E83" s="112" t="n">
        <v>0</v>
      </c>
      <c r="F83" s="112" t="n">
        <v>0</v>
      </c>
      <c r="G83" s="112" t="n">
        <v>-392165</v>
      </c>
      <c r="I83" s="112" t="n">
        <f aca="false">IF(MONTH($A83)=MONTH($A82),IF(G83=0,I82,G83),G83)</f>
        <v>-392165</v>
      </c>
      <c r="J83" s="112" t="n">
        <f aca="false">IF(MONTH($A83)=MONTH($A82),SUM(I83-I82),I83)</f>
        <v>-161865</v>
      </c>
      <c r="K83" s="112" t="n">
        <f aca="false">IF(WEEKDAY(A83,3)&gt;4,0,(IF(A83&lt;K$2,0,IF(A83&lt;=K$3,1,0))))</f>
        <v>0</v>
      </c>
      <c r="L83" s="112" t="n">
        <f aca="false">J83*K83</f>
        <v>-0</v>
      </c>
      <c r="M83" s="112" t="n">
        <f aca="false">SUM(J$6:J83)</f>
        <v>-828086</v>
      </c>
      <c r="N83" s="112" t="n">
        <f aca="false">SUM(J$6:J83)</f>
        <v>-828086</v>
      </c>
      <c r="P83" s="136" t="n">
        <f aca="false">D83/P$3</f>
        <v>-0.605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-161.865</v>
      </c>
      <c r="T83" s="114" t="n">
        <f aca="false">L83/$R$3</f>
        <v>-0</v>
      </c>
      <c r="U83" s="114" t="n">
        <f aca="false">I83/$R$3</f>
        <v>-392.165</v>
      </c>
      <c r="V83" s="114" t="n">
        <f aca="false">M83/$R$3</f>
        <v>-828.086</v>
      </c>
      <c r="W83" s="114" t="n">
        <f aca="false">N83/$R$3</f>
        <v>-828.086</v>
      </c>
    </row>
    <row r="84" customFormat="false" ht="12.75" hidden="false" customHeight="false" outlineLevel="0" collapsed="false">
      <c r="A84" s="108" t="n">
        <f aca="false">A83+1</f>
        <v>36970</v>
      </c>
      <c r="B84" s="119" t="str">
        <f aca="false">INDEX('[4]Master Data'!$A$2:$B$8,MATCH(WEEKDAY('TBS CRD MTM'!A84,3),'[4]Master Data'!$A$2:$A$8,0),2)</f>
        <v>T</v>
      </c>
      <c r="D84" s="112" t="n">
        <v>-622</v>
      </c>
      <c r="E84" s="112" t="n">
        <v>0</v>
      </c>
      <c r="F84" s="112" t="n">
        <v>0</v>
      </c>
      <c r="G84" s="112" t="n">
        <v>-150858</v>
      </c>
      <c r="I84" s="112" t="n">
        <f aca="false">IF(MONTH($A84)=MONTH($A83),IF(G84=0,I83,G84),G84)</f>
        <v>-150858</v>
      </c>
      <c r="J84" s="112" t="n">
        <f aca="false">IF(MONTH($A84)=MONTH($A83),SUM(I84-I83),I84)</f>
        <v>241307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-586779</v>
      </c>
      <c r="N84" s="112" t="n">
        <f aca="false">SUM(J$6:J84)</f>
        <v>-586779</v>
      </c>
      <c r="P84" s="136" t="n">
        <f aca="false">D84/P$3</f>
        <v>-0.622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241.307</v>
      </c>
      <c r="T84" s="114" t="n">
        <f aca="false">L84/$R$3</f>
        <v>0</v>
      </c>
      <c r="U84" s="114" t="n">
        <f aca="false">I84/$R$3</f>
        <v>-150.858</v>
      </c>
      <c r="V84" s="114" t="n">
        <f aca="false">M84/$R$3</f>
        <v>-586.779</v>
      </c>
      <c r="W84" s="114" t="n">
        <f aca="false">N84/$R$3</f>
        <v>-586.779</v>
      </c>
    </row>
    <row r="85" customFormat="false" ht="12.75" hidden="false" customHeight="false" outlineLevel="0" collapsed="false">
      <c r="A85" s="108" t="n">
        <f aca="false">A84+1</f>
        <v>36971</v>
      </c>
      <c r="B85" s="119" t="str">
        <f aca="false">INDEX('[4]Master Data'!$A$2:$B$8,MATCH(WEEKDAY('TBS CRD MTM'!A85,3),'[4]Master Data'!$A$2:$A$8,0),2)</f>
        <v>W</v>
      </c>
      <c r="D85" s="112" t="n">
        <v>-591</v>
      </c>
      <c r="E85" s="112" t="n">
        <v>0</v>
      </c>
      <c r="F85" s="112" t="n">
        <v>0</v>
      </c>
      <c r="G85" s="112" t="n">
        <v>-80936</v>
      </c>
      <c r="I85" s="112" t="n">
        <f aca="false">IF(MONTH($A85)=MONTH($A84),IF(G85=0,I84,G85),G85)</f>
        <v>-80936</v>
      </c>
      <c r="J85" s="112" t="n">
        <f aca="false">IF(MONTH($A85)=MONTH($A84),SUM(I85-I84),I85)</f>
        <v>69922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-516857</v>
      </c>
      <c r="N85" s="112" t="n">
        <f aca="false">SUM(J$6:J85)</f>
        <v>-516857</v>
      </c>
      <c r="P85" s="136" t="n">
        <f aca="false">D85/P$3</f>
        <v>-0.591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69.922</v>
      </c>
      <c r="T85" s="114" t="n">
        <f aca="false">L85/$R$3</f>
        <v>0</v>
      </c>
      <c r="U85" s="114" t="n">
        <f aca="false">I85/$R$3</f>
        <v>-80.936</v>
      </c>
      <c r="V85" s="114" t="n">
        <f aca="false">M85/$R$3</f>
        <v>-516.857</v>
      </c>
      <c r="W85" s="114" t="n">
        <f aca="false">N85/$R$3</f>
        <v>-516.857</v>
      </c>
    </row>
    <row r="86" customFormat="false" ht="12.75" hidden="false" customHeight="false" outlineLevel="0" collapsed="false">
      <c r="A86" s="108" t="n">
        <f aca="false">A85+1</f>
        <v>36972</v>
      </c>
      <c r="B86" s="119" t="str">
        <f aca="false">INDEX('[4]Master Data'!$A$2:$B$8,MATCH(WEEKDAY('TBS CRD MTM'!A86,3),'[4]Master Data'!$A$2:$A$8,0),2)</f>
        <v>Th</v>
      </c>
      <c r="D86" s="133" t="n">
        <v>0</v>
      </c>
      <c r="E86" s="112" t="n">
        <v>0</v>
      </c>
      <c r="F86" s="112" t="n">
        <v>0</v>
      </c>
      <c r="G86" s="112" t="n">
        <v>-940936</v>
      </c>
      <c r="I86" s="112" t="n">
        <f aca="false">IF(MONTH($A86)=MONTH($A85),IF(G86=0,I85,G86),G86)</f>
        <v>-940936</v>
      </c>
      <c r="J86" s="112" t="n">
        <f aca="false">IF(MONTH($A86)=MONTH($A85),SUM(I86-I85),I86)</f>
        <v>-860000</v>
      </c>
      <c r="K86" s="112" t="n">
        <f aca="false">IF(WEEKDAY(A86,3)&gt;4,0,(IF(A86&lt;K$2,0,IF(A86&lt;=K$3,1,0))))</f>
        <v>0</v>
      </c>
      <c r="L86" s="112" t="n">
        <f aca="false">J86*K86</f>
        <v>-0</v>
      </c>
      <c r="M86" s="112" t="n">
        <f aca="false">SUM(J$6:J86)</f>
        <v>-1376857</v>
      </c>
      <c r="N86" s="112" t="n">
        <f aca="false">SUM(J$6:J86)</f>
        <v>-1376857</v>
      </c>
      <c r="P86" s="136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-860</v>
      </c>
      <c r="T86" s="114" t="n">
        <f aca="false">L86/$R$3</f>
        <v>-0</v>
      </c>
      <c r="U86" s="114" t="n">
        <f aca="false">I86/$R$3</f>
        <v>-940.936</v>
      </c>
      <c r="V86" s="114" t="n">
        <f aca="false">M86/$R$3</f>
        <v>-1376.857</v>
      </c>
      <c r="W86" s="114" t="n">
        <f aca="false">N86/$R$3</f>
        <v>-1376.857</v>
      </c>
    </row>
    <row r="87" customFormat="false" ht="12.75" hidden="false" customHeight="false" outlineLevel="0" collapsed="false">
      <c r="A87" s="108" t="n">
        <f aca="false">A86+1</f>
        <v>36973</v>
      </c>
      <c r="B87" s="119" t="str">
        <f aca="false">INDEX('[4]Master Data'!$A$2:$B$8,MATCH(WEEKDAY('TBS CRD MTM'!A87,3),'[4]Master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-940936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-1376857</v>
      </c>
      <c r="N87" s="112" t="n">
        <f aca="false">SUM(J$6:J87)</f>
        <v>-1376857</v>
      </c>
      <c r="P87" s="136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-940.936</v>
      </c>
      <c r="V87" s="114" t="n">
        <f aca="false">M87/$R$3</f>
        <v>-1376.857</v>
      </c>
      <c r="W87" s="114" t="n">
        <f aca="false">N87/$R$3</f>
        <v>-1376.857</v>
      </c>
    </row>
    <row r="88" customFormat="false" ht="12.75" hidden="false" customHeight="false" outlineLevel="0" collapsed="false">
      <c r="A88" s="108" t="n">
        <f aca="false">A87+1</f>
        <v>36974</v>
      </c>
      <c r="B88" s="119" t="str">
        <f aca="false">INDEX('[4]Master Data'!$A$2:$B$8,MATCH(WEEKDAY('TBS CRD MTM'!A88,3),'[4]Master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-940936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-1376857</v>
      </c>
      <c r="N88" s="112" t="n">
        <f aca="false">SUM(J$6:J88)</f>
        <v>-1376857</v>
      </c>
      <c r="P88" s="136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-940.936</v>
      </c>
      <c r="V88" s="114" t="n">
        <f aca="false">M88/$R$3</f>
        <v>-1376.857</v>
      </c>
      <c r="W88" s="114" t="n">
        <f aca="false">N88/$R$3</f>
        <v>-1376.857</v>
      </c>
    </row>
    <row r="89" customFormat="false" ht="12.75" hidden="false" customHeight="false" outlineLevel="0" collapsed="false">
      <c r="A89" s="108" t="n">
        <f aca="false">A88+1</f>
        <v>36975</v>
      </c>
      <c r="B89" s="119" t="str">
        <f aca="false">INDEX('[4]Master Data'!$A$2:$B$8,MATCH(WEEKDAY('TBS CRD MTM'!A89,3),'[4]Master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-940936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-1376857</v>
      </c>
      <c r="N89" s="112" t="n">
        <f aca="false">SUM(J$6:J89)</f>
        <v>-1376857</v>
      </c>
      <c r="P89" s="136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-940.936</v>
      </c>
      <c r="V89" s="114" t="n">
        <f aca="false">M89/$R$3</f>
        <v>-1376.857</v>
      </c>
      <c r="W89" s="114" t="n">
        <f aca="false">N89/$R$3</f>
        <v>-1376.857</v>
      </c>
    </row>
    <row r="90" customFormat="false" ht="12.75" hidden="false" customHeight="false" outlineLevel="0" collapsed="false">
      <c r="A90" s="108" t="n">
        <f aca="false">A89+1</f>
        <v>36976</v>
      </c>
      <c r="B90" s="119" t="str">
        <f aca="false">INDEX('[4]Master Data'!$A$2:$B$8,MATCH(WEEKDAY('TBS CRD MTM'!A90,3),'[4]Master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-940936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-1376857</v>
      </c>
      <c r="N90" s="112" t="n">
        <f aca="false">SUM(J$6:J90)</f>
        <v>-1376857</v>
      </c>
      <c r="P90" s="136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-940.936</v>
      </c>
      <c r="V90" s="114" t="n">
        <f aca="false">M90/$R$3</f>
        <v>-1376.857</v>
      </c>
      <c r="W90" s="114" t="n">
        <f aca="false">N90/$R$3</f>
        <v>-1376.857</v>
      </c>
    </row>
    <row r="91" customFormat="false" ht="12.75" hidden="false" customHeight="false" outlineLevel="0" collapsed="false">
      <c r="A91" s="108" t="n">
        <f aca="false">A90+1</f>
        <v>36977</v>
      </c>
      <c r="B91" s="119" t="str">
        <f aca="false">INDEX('[4]Master Data'!$A$2:$B$8,MATCH(WEEKDAY('TBS CRD MTM'!A91,3),'[4]Master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-940936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-1376857</v>
      </c>
      <c r="N91" s="112" t="n">
        <f aca="false">SUM(J$6:J91)</f>
        <v>-1376857</v>
      </c>
      <c r="P91" s="136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-940.936</v>
      </c>
      <c r="V91" s="114" t="n">
        <f aca="false">M91/$R$3</f>
        <v>-1376.857</v>
      </c>
      <c r="W91" s="114" t="n">
        <f aca="false">N91/$R$3</f>
        <v>-1376.857</v>
      </c>
    </row>
    <row r="92" customFormat="false" ht="12.75" hidden="false" customHeight="false" outlineLevel="0" collapsed="false">
      <c r="A92" s="108" t="n">
        <f aca="false">A91+1</f>
        <v>36978</v>
      </c>
      <c r="B92" s="119" t="str">
        <f aca="false">INDEX('[4]Master Data'!$A$2:$B$8,MATCH(WEEKDAY('TBS CRD MTM'!A92,3),'[4]Master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-940936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-1376857</v>
      </c>
      <c r="N92" s="112" t="n">
        <f aca="false">SUM(J$6:J92)</f>
        <v>-1376857</v>
      </c>
      <c r="P92" s="136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-940.936</v>
      </c>
      <c r="V92" s="114" t="n">
        <f aca="false">M92/$R$3</f>
        <v>-1376.857</v>
      </c>
      <c r="W92" s="114" t="n">
        <f aca="false">N92/$R$3</f>
        <v>-1376.857</v>
      </c>
    </row>
    <row r="93" customFormat="false" ht="12.75" hidden="false" customHeight="false" outlineLevel="0" collapsed="false">
      <c r="A93" s="108" t="n">
        <f aca="false">A92+1</f>
        <v>36979</v>
      </c>
      <c r="B93" s="119" t="str">
        <f aca="false">INDEX('[4]Master Data'!$A$2:$B$8,MATCH(WEEKDAY('TBS CRD MTM'!A93,3),'[4]Master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-940936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-1376857</v>
      </c>
      <c r="N93" s="112" t="n">
        <f aca="false">SUM(J$6:J93)</f>
        <v>-1376857</v>
      </c>
      <c r="P93" s="136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-940.936</v>
      </c>
      <c r="V93" s="114" t="n">
        <f aca="false">M93/$R$3</f>
        <v>-1376.857</v>
      </c>
      <c r="W93" s="114" t="n">
        <f aca="false">N93/$R$3</f>
        <v>-1376.857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INDEX('[4]Master Data'!$A$2:$B$8,MATCH(WEEKDAY('TBS CRD MTM'!A94,3),'[4]Master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0</v>
      </c>
      <c r="I94" s="112" t="n">
        <f aca="false">IF(MONTH($A94)=MONTH($A93),IF(G94=0,I93,G94),G94)</f>
        <v>-940936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-1376857</v>
      </c>
      <c r="N94" s="112" t="n">
        <f aca="false">SUM(J$6:J94)</f>
        <v>-1376857</v>
      </c>
      <c r="P94" s="136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-940.936</v>
      </c>
      <c r="V94" s="114" t="n">
        <f aca="false">M94/$R$3</f>
        <v>-1376.857</v>
      </c>
      <c r="W94" s="114" t="n">
        <f aca="false">N94/$R$3</f>
        <v>-1376.857</v>
      </c>
    </row>
    <row r="95" customFormat="false" ht="12.75" hidden="false" customHeight="false" outlineLevel="0" collapsed="false">
      <c r="A95" s="108" t="n">
        <f aca="false">A94+1</f>
        <v>36981</v>
      </c>
      <c r="B95" s="119" t="str">
        <f aca="false">INDEX('[4]Master Data'!$A$2:$B$8,MATCH(WEEKDAY('TBS CRD MTM'!A95,3),'[4]Master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-940936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-1376857</v>
      </c>
      <c r="N95" s="112" t="n">
        <f aca="false">SUM(J$6:J95)</f>
        <v>-1376857</v>
      </c>
      <c r="P95" s="136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-940.936</v>
      </c>
      <c r="V95" s="114" t="n">
        <f aca="false">M95/$R$3</f>
        <v>-1376.857</v>
      </c>
      <c r="W95" s="114" t="n">
        <f aca="false">N95/$R$3</f>
        <v>-1376.857</v>
      </c>
    </row>
    <row r="96" customFormat="false" ht="12.75" hidden="false" customHeight="false" outlineLevel="0" collapsed="false">
      <c r="A96" s="108" t="n">
        <f aca="false">A95+1</f>
        <v>36982</v>
      </c>
      <c r="B96" s="119" t="str">
        <f aca="false">INDEX('[4]Master Data'!$A$2:$B$8,MATCH(WEEKDAY('TBS CRD MTM'!A96,3),'[4]Master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-1376857</v>
      </c>
      <c r="N96" s="112" t="n">
        <f aca="false">SUM(J$6:J96)</f>
        <v>-1376857</v>
      </c>
      <c r="P96" s="136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-1376.857</v>
      </c>
      <c r="W96" s="114" t="n">
        <f aca="false">N96/$R$3</f>
        <v>-1376.857</v>
      </c>
    </row>
    <row r="97" customFormat="false" ht="12.75" hidden="false" customHeight="false" outlineLevel="0" collapsed="false">
      <c r="A97" s="108" t="n">
        <f aca="false">A96+1</f>
        <v>36983</v>
      </c>
      <c r="B97" s="119" t="str">
        <f aca="false">INDEX('[4]Master Data'!$A$2:$B$8,MATCH(WEEKDAY('TBS CRD MTM'!A97,3),'[4]Master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-1376857</v>
      </c>
      <c r="P97" s="136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-1376.857</v>
      </c>
    </row>
    <row r="98" customFormat="false" ht="12.75" hidden="false" customHeight="false" outlineLevel="0" collapsed="false">
      <c r="A98" s="108" t="n">
        <f aca="false">A97+1</f>
        <v>36984</v>
      </c>
      <c r="B98" s="119" t="str">
        <f aca="false">INDEX('[4]Master Data'!$A$2:$B$8,MATCH(WEEKDAY('TBS CRD MTM'!A98,3),'[4]Master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-1376857</v>
      </c>
      <c r="P98" s="136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-1376.857</v>
      </c>
    </row>
    <row r="99" customFormat="false" ht="12.75" hidden="false" customHeight="false" outlineLevel="0" collapsed="false">
      <c r="A99" s="108" t="n">
        <f aca="false">A98+1</f>
        <v>36985</v>
      </c>
      <c r="B99" s="119" t="str">
        <f aca="false">INDEX('[4]Master Data'!$A$2:$B$8,MATCH(WEEKDAY('TBS CRD MTM'!A99,3),'[4]Master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-1376857</v>
      </c>
      <c r="P99" s="136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-1376.857</v>
      </c>
    </row>
    <row r="100" customFormat="false" ht="12.75" hidden="false" customHeight="false" outlineLevel="0" collapsed="false">
      <c r="A100" s="108" t="n">
        <f aca="false">A99+1</f>
        <v>36986</v>
      </c>
      <c r="B100" s="119" t="str">
        <f aca="false">INDEX('[4]Master Data'!$A$2:$B$8,MATCH(WEEKDAY('TBS CRD MTM'!A100,3),'[4]Master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-1376857</v>
      </c>
      <c r="P100" s="136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-1376.857</v>
      </c>
    </row>
    <row r="101" customFormat="false" ht="12.75" hidden="false" customHeight="false" outlineLevel="0" collapsed="false">
      <c r="A101" s="108" t="n">
        <f aca="false">A100+1</f>
        <v>36987</v>
      </c>
      <c r="B101" s="119" t="str">
        <f aca="false">INDEX('[4]Master Data'!$A$2:$B$8,MATCH(WEEKDAY('TBS CRD MTM'!A101,3),'[4]Master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-1376857</v>
      </c>
      <c r="P101" s="136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-1376.857</v>
      </c>
    </row>
    <row r="102" customFormat="false" ht="12.75" hidden="false" customHeight="false" outlineLevel="0" collapsed="false">
      <c r="A102" s="108" t="n">
        <f aca="false">A101+1</f>
        <v>36988</v>
      </c>
      <c r="B102" s="119" t="str">
        <f aca="false">INDEX('[4]Master Data'!$A$2:$B$8,MATCH(WEEKDAY('TBS CRD MTM'!A102,3),'[4]Master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-1376857</v>
      </c>
      <c r="P102" s="136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-1376.857</v>
      </c>
    </row>
    <row r="103" customFormat="false" ht="12.75" hidden="false" customHeight="false" outlineLevel="0" collapsed="false">
      <c r="A103" s="108" t="n">
        <f aca="false">A102+1</f>
        <v>36989</v>
      </c>
      <c r="B103" s="119" t="str">
        <f aca="false">INDEX('[4]Master Data'!$A$2:$B$8,MATCH(WEEKDAY('TBS CRD MTM'!A103,3),'[4]Master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-1376857</v>
      </c>
      <c r="P103" s="136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-1376.857</v>
      </c>
    </row>
    <row r="104" customFormat="false" ht="12.75" hidden="false" customHeight="false" outlineLevel="0" collapsed="false">
      <c r="A104" s="108" t="n">
        <f aca="false">A103+1</f>
        <v>36990</v>
      </c>
      <c r="B104" s="119" t="str">
        <f aca="false">INDEX('[4]Master Data'!$A$2:$B$8,MATCH(WEEKDAY('TBS CRD MTM'!A104,3),'[4]Master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-1376857</v>
      </c>
      <c r="P104" s="136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-1376.857</v>
      </c>
    </row>
    <row r="105" customFormat="false" ht="12.75" hidden="false" customHeight="false" outlineLevel="0" collapsed="false">
      <c r="A105" s="108" t="n">
        <f aca="false">A104+1</f>
        <v>36991</v>
      </c>
      <c r="B105" s="119" t="str">
        <f aca="false">INDEX('[4]Master Data'!$A$2:$B$8,MATCH(WEEKDAY('TBS CRD MTM'!A105,3),'[4]Master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-1376857</v>
      </c>
      <c r="P105" s="136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-1376.857</v>
      </c>
    </row>
    <row r="106" customFormat="false" ht="12.75" hidden="false" customHeight="false" outlineLevel="0" collapsed="false">
      <c r="A106" s="108" t="n">
        <f aca="false">A105+1</f>
        <v>36992</v>
      </c>
      <c r="B106" s="119" t="str">
        <f aca="false">INDEX('[4]Master Data'!$A$2:$B$8,MATCH(WEEKDAY('TBS CRD MTM'!A106,3),'[4]Master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-1376857</v>
      </c>
      <c r="P106" s="136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-1376.857</v>
      </c>
    </row>
    <row r="107" customFormat="false" ht="12.75" hidden="false" customHeight="false" outlineLevel="0" collapsed="false">
      <c r="A107" s="108" t="n">
        <f aca="false">A106+1</f>
        <v>36993</v>
      </c>
      <c r="B107" s="119" t="str">
        <f aca="false">INDEX('[4]Master Data'!$A$2:$B$8,MATCH(WEEKDAY('TBS CRD MTM'!A107,3),'[4]Master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-1376857</v>
      </c>
      <c r="P107" s="136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-1376.857</v>
      </c>
    </row>
    <row r="108" customFormat="false" ht="12.75" hidden="false" customHeight="false" outlineLevel="0" collapsed="false">
      <c r="A108" s="108" t="n">
        <f aca="false">A107+1</f>
        <v>36994</v>
      </c>
      <c r="B108" s="119" t="str">
        <f aca="false">INDEX('[4]Master Data'!$A$2:$B$8,MATCH(WEEKDAY('TBS CRD MTM'!A108,3),'[4]Master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-1376857</v>
      </c>
      <c r="P108" s="136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-1376.857</v>
      </c>
    </row>
    <row r="109" customFormat="false" ht="12.75" hidden="false" customHeight="false" outlineLevel="0" collapsed="false">
      <c r="A109" s="108" t="n">
        <f aca="false">A108+1</f>
        <v>36995</v>
      </c>
      <c r="B109" s="119" t="str">
        <f aca="false">INDEX('[4]Master Data'!$A$2:$B$8,MATCH(WEEKDAY('TBS CRD MTM'!A109,3),'[4]Master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-1376857</v>
      </c>
      <c r="P109" s="136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-1376.857</v>
      </c>
    </row>
    <row r="110" customFormat="false" ht="12.75" hidden="false" customHeight="false" outlineLevel="0" collapsed="false">
      <c r="A110" s="108" t="n">
        <f aca="false">A109+1</f>
        <v>36996</v>
      </c>
      <c r="B110" s="119" t="str">
        <f aca="false">INDEX('[4]Master Data'!$A$2:$B$8,MATCH(WEEKDAY('TBS CRD MTM'!A110,3),'[4]Master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-1376857</v>
      </c>
      <c r="P110" s="136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-1376.857</v>
      </c>
    </row>
    <row r="111" customFormat="false" ht="12.75" hidden="false" customHeight="false" outlineLevel="0" collapsed="false">
      <c r="A111" s="108" t="n">
        <f aca="false">A110+1</f>
        <v>36997</v>
      </c>
      <c r="B111" s="119" t="str">
        <f aca="false">INDEX('[4]Master Data'!$A$2:$B$8,MATCH(WEEKDAY('TBS CRD MTM'!A111,3),'[4]Master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-1376857</v>
      </c>
      <c r="P111" s="136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-1376.857</v>
      </c>
    </row>
    <row r="112" customFormat="false" ht="12.75" hidden="false" customHeight="false" outlineLevel="0" collapsed="false">
      <c r="A112" s="108" t="n">
        <f aca="false">A111+1</f>
        <v>36998</v>
      </c>
      <c r="B112" s="119" t="str">
        <f aca="false">INDEX('[4]Master Data'!$A$2:$B$8,MATCH(WEEKDAY('TBS CRD MTM'!A112,3),'[4]Master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-1376857</v>
      </c>
      <c r="P112" s="136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-1376.857</v>
      </c>
    </row>
    <row r="113" customFormat="false" ht="12.75" hidden="false" customHeight="false" outlineLevel="0" collapsed="false">
      <c r="A113" s="108" t="n">
        <f aca="false">A112+1</f>
        <v>36999</v>
      </c>
      <c r="B113" s="119" t="str">
        <f aca="false">INDEX('[4]Master Data'!$A$2:$B$8,MATCH(WEEKDAY('TBS CRD MTM'!A113,3),'[4]Master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-1376857</v>
      </c>
      <c r="P113" s="136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-1376.857</v>
      </c>
    </row>
    <row r="114" customFormat="false" ht="12.75" hidden="false" customHeight="false" outlineLevel="0" collapsed="false">
      <c r="A114" s="108" t="n">
        <f aca="false">A113+1</f>
        <v>37000</v>
      </c>
      <c r="B114" s="119" t="str">
        <f aca="false">INDEX('[4]Master Data'!$A$2:$B$8,MATCH(WEEKDAY('TBS CRD MTM'!A114,3),'[4]Master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-1376857</v>
      </c>
      <c r="P114" s="136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-1376.857</v>
      </c>
    </row>
    <row r="115" customFormat="false" ht="12.75" hidden="false" customHeight="false" outlineLevel="0" collapsed="false">
      <c r="A115" s="108" t="n">
        <f aca="false">A114+1</f>
        <v>37001</v>
      </c>
      <c r="B115" s="119" t="str">
        <f aca="false">INDEX('[4]Master Data'!$A$2:$B$8,MATCH(WEEKDAY('TBS CRD MTM'!A115,3),'[4]Master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-1376857</v>
      </c>
      <c r="P115" s="136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-1376.857</v>
      </c>
    </row>
    <row r="116" customFormat="false" ht="12.75" hidden="false" customHeight="false" outlineLevel="0" collapsed="false">
      <c r="A116" s="108" t="n">
        <f aca="false">A115+1</f>
        <v>37002</v>
      </c>
      <c r="B116" s="119" t="str">
        <f aca="false">INDEX('[4]Master Data'!$A$2:$B$8,MATCH(WEEKDAY('TBS CRD MTM'!A116,3),'[4]Master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-1376857</v>
      </c>
      <c r="P116" s="136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-1376.857</v>
      </c>
    </row>
    <row r="117" customFormat="false" ht="12.75" hidden="false" customHeight="false" outlineLevel="0" collapsed="false">
      <c r="A117" s="108" t="n">
        <f aca="false">A116+1</f>
        <v>37003</v>
      </c>
      <c r="B117" s="119" t="str">
        <f aca="false">INDEX('[4]Master Data'!$A$2:$B$8,MATCH(WEEKDAY('TBS CRD MTM'!A117,3),'[4]Master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-1376857</v>
      </c>
      <c r="P117" s="136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-1376.857</v>
      </c>
    </row>
    <row r="118" customFormat="false" ht="12.75" hidden="false" customHeight="false" outlineLevel="0" collapsed="false">
      <c r="A118" s="108" t="n">
        <f aca="false">A117+1</f>
        <v>37004</v>
      </c>
      <c r="B118" s="119" t="str">
        <f aca="false">INDEX('[4]Master Data'!$A$2:$B$8,MATCH(WEEKDAY('TBS CRD MTM'!A118,3),'[4]Master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-1376857</v>
      </c>
      <c r="P118" s="136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-1376.857</v>
      </c>
    </row>
    <row r="119" customFormat="false" ht="12.75" hidden="false" customHeight="false" outlineLevel="0" collapsed="false">
      <c r="A119" s="108" t="n">
        <f aca="false">A118+1</f>
        <v>37005</v>
      </c>
      <c r="B119" s="119" t="str">
        <f aca="false">INDEX('[4]Master Data'!$A$2:$B$8,MATCH(WEEKDAY('TBS CRD MTM'!A119,3),'[4]Master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-1376857</v>
      </c>
      <c r="P119" s="136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-1376.857</v>
      </c>
    </row>
    <row r="120" customFormat="false" ht="12.75" hidden="false" customHeight="false" outlineLevel="0" collapsed="false">
      <c r="A120" s="108" t="n">
        <f aca="false">A119+1</f>
        <v>37006</v>
      </c>
      <c r="B120" s="119" t="str">
        <f aca="false">INDEX('[4]Master Data'!$A$2:$B$8,MATCH(WEEKDAY('TBS CRD MTM'!A120,3),'[4]Master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-1376857</v>
      </c>
      <c r="P120" s="136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-1376.857</v>
      </c>
    </row>
    <row r="121" customFormat="false" ht="12.75" hidden="false" customHeight="false" outlineLevel="0" collapsed="false">
      <c r="A121" s="108" t="n">
        <f aca="false">A120+1</f>
        <v>37007</v>
      </c>
      <c r="B121" s="119" t="str">
        <f aca="false">INDEX('[4]Master Data'!$A$2:$B$8,MATCH(WEEKDAY('TBS CRD MTM'!A121,3),'[4]Master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-1376857</v>
      </c>
      <c r="P121" s="136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-1376.857</v>
      </c>
    </row>
    <row r="122" customFormat="false" ht="12.75" hidden="false" customHeight="false" outlineLevel="0" collapsed="false">
      <c r="A122" s="108" t="n">
        <f aca="false">A121+1</f>
        <v>37008</v>
      </c>
      <c r="B122" s="119" t="str">
        <f aca="false">INDEX('[4]Master Data'!$A$2:$B$8,MATCH(WEEKDAY('TBS CRD MTM'!A122,3),'[4]Master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-1376857</v>
      </c>
      <c r="P122" s="136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-1376.857</v>
      </c>
    </row>
    <row r="123" customFormat="false" ht="12.75" hidden="false" customHeight="false" outlineLevel="0" collapsed="false">
      <c r="A123" s="108" t="n">
        <f aca="false">A122+1</f>
        <v>37009</v>
      </c>
      <c r="B123" s="119" t="str">
        <f aca="false">INDEX('[4]Master Data'!$A$2:$B$8,MATCH(WEEKDAY('TBS CRD MTM'!A123,3),'[4]Master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-1376857</v>
      </c>
      <c r="P123" s="136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-1376.857</v>
      </c>
    </row>
    <row r="124" customFormat="false" ht="12.75" hidden="false" customHeight="false" outlineLevel="0" collapsed="false">
      <c r="A124" s="108" t="n">
        <f aca="false">A123+1</f>
        <v>37010</v>
      </c>
      <c r="B124" s="119" t="str">
        <f aca="false">INDEX('[4]Master Data'!$A$2:$B$8,MATCH(WEEKDAY('TBS CRD MTM'!A124,3),'[4]Master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-1376857</v>
      </c>
      <c r="P124" s="136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-1376.857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INDEX('[4]Master Data'!$A$2:$B$8,MATCH(WEEKDAY('TBS CRD MTM'!A125,3),'[4]Master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-1376857</v>
      </c>
      <c r="P125" s="136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-1376.857</v>
      </c>
    </row>
    <row r="126" customFormat="false" ht="12.75" hidden="false" customHeight="false" outlineLevel="0" collapsed="false">
      <c r="A126" s="108" t="n">
        <f aca="false">A125+1</f>
        <v>37012</v>
      </c>
      <c r="B126" s="119" t="str">
        <f aca="false">INDEX('[4]Master Data'!$A$2:$B$8,MATCH(WEEKDAY('TBS CRD MTM'!A126,3),'[4]Master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-1376857</v>
      </c>
      <c r="P126" s="136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-1376.857</v>
      </c>
    </row>
    <row r="127" customFormat="false" ht="12.75" hidden="false" customHeight="false" outlineLevel="0" collapsed="false">
      <c r="A127" s="108" t="n">
        <f aca="false">A126+1</f>
        <v>37013</v>
      </c>
      <c r="B127" s="119" t="str">
        <f aca="false">INDEX('[4]Master Data'!$A$2:$B$8,MATCH(WEEKDAY('TBS CRD MTM'!A127,3),'[4]Master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-1376857</v>
      </c>
      <c r="P127" s="136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-1376.857</v>
      </c>
    </row>
    <row r="128" customFormat="false" ht="12.75" hidden="false" customHeight="false" outlineLevel="0" collapsed="false">
      <c r="A128" s="108" t="n">
        <f aca="false">A127+1</f>
        <v>37014</v>
      </c>
      <c r="B128" s="119" t="str">
        <f aca="false">INDEX('[4]Master Data'!$A$2:$B$8,MATCH(WEEKDAY('TBS CRD MTM'!A128,3),'[4]Master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-1376857</v>
      </c>
      <c r="P128" s="136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-1376.857</v>
      </c>
    </row>
    <row r="129" customFormat="false" ht="12.75" hidden="false" customHeight="false" outlineLevel="0" collapsed="false">
      <c r="A129" s="108" t="n">
        <f aca="false">A128+1</f>
        <v>37015</v>
      </c>
      <c r="B129" s="119" t="str">
        <f aca="false">INDEX('[4]Master Data'!$A$2:$B$8,MATCH(WEEKDAY('TBS CRD MTM'!A129,3),'[4]Master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-1376857</v>
      </c>
      <c r="P129" s="136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-1376.857</v>
      </c>
    </row>
    <row r="130" customFormat="false" ht="12.75" hidden="false" customHeight="false" outlineLevel="0" collapsed="false">
      <c r="A130" s="108" t="n">
        <f aca="false">A129+1</f>
        <v>37016</v>
      </c>
      <c r="B130" s="119" t="str">
        <f aca="false">INDEX('[4]Master Data'!$A$2:$B$8,MATCH(WEEKDAY('TBS CRD MTM'!A130,3),'[4]Master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-1376857</v>
      </c>
      <c r="P130" s="136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-1376.857</v>
      </c>
    </row>
    <row r="131" customFormat="false" ht="12.75" hidden="false" customHeight="false" outlineLevel="0" collapsed="false">
      <c r="A131" s="108" t="n">
        <f aca="false">A130+1</f>
        <v>37017</v>
      </c>
      <c r="B131" s="119" t="str">
        <f aca="false">INDEX('[4]Master Data'!$A$2:$B$8,MATCH(WEEKDAY('TBS CRD MTM'!A131,3),'[4]Master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-1376857</v>
      </c>
      <c r="P131" s="136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-1376.857</v>
      </c>
    </row>
    <row r="132" customFormat="false" ht="12.75" hidden="false" customHeight="false" outlineLevel="0" collapsed="false">
      <c r="A132" s="108" t="n">
        <f aca="false">A131+1</f>
        <v>37018</v>
      </c>
      <c r="B132" s="119" t="str">
        <f aca="false">INDEX('[4]Master Data'!$A$2:$B$8,MATCH(WEEKDAY('TBS CRD MTM'!A132,3),'[4]Master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-1376857</v>
      </c>
      <c r="P132" s="136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-1376.857</v>
      </c>
    </row>
    <row r="133" customFormat="false" ht="12.75" hidden="false" customHeight="false" outlineLevel="0" collapsed="false">
      <c r="A133" s="108" t="n">
        <f aca="false">A132+1</f>
        <v>37019</v>
      </c>
      <c r="B133" s="119" t="str">
        <f aca="false">INDEX('[4]Master Data'!$A$2:$B$8,MATCH(WEEKDAY('TBS CRD MTM'!A133,3),'[4]Master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-1376857</v>
      </c>
      <c r="P133" s="136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-1376.857</v>
      </c>
    </row>
    <row r="134" customFormat="false" ht="12.75" hidden="false" customHeight="false" outlineLevel="0" collapsed="false">
      <c r="A134" s="108" t="n">
        <f aca="false">A133+1</f>
        <v>37020</v>
      </c>
      <c r="B134" s="119" t="str">
        <f aca="false">INDEX('[4]Master Data'!$A$2:$B$8,MATCH(WEEKDAY('TBS CRD MTM'!A134,3),'[4]Master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-1376857</v>
      </c>
      <c r="P134" s="136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-1376.857</v>
      </c>
    </row>
    <row r="135" customFormat="false" ht="12.75" hidden="false" customHeight="false" outlineLevel="0" collapsed="false">
      <c r="A135" s="108" t="n">
        <f aca="false">A134+1</f>
        <v>37021</v>
      </c>
      <c r="B135" s="119" t="str">
        <f aca="false">INDEX('[4]Master Data'!$A$2:$B$8,MATCH(WEEKDAY('TBS CRD MTM'!A135,3),'[4]Master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-1376857</v>
      </c>
      <c r="P135" s="136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-1376.857</v>
      </c>
    </row>
    <row r="136" customFormat="false" ht="12.75" hidden="false" customHeight="false" outlineLevel="0" collapsed="false">
      <c r="A136" s="108" t="n">
        <f aca="false">A135+1</f>
        <v>37022</v>
      </c>
      <c r="B136" s="119" t="str">
        <f aca="false">INDEX('[4]Master Data'!$A$2:$B$8,MATCH(WEEKDAY('TBS CRD MTM'!A136,3),'[4]Master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-1376857</v>
      </c>
      <c r="P136" s="136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-1376.857</v>
      </c>
    </row>
    <row r="137" customFormat="false" ht="12.75" hidden="false" customHeight="false" outlineLevel="0" collapsed="false">
      <c r="A137" s="108" t="n">
        <f aca="false">A136+1</f>
        <v>37023</v>
      </c>
      <c r="B137" s="119" t="str">
        <f aca="false">INDEX('[4]Master Data'!$A$2:$B$8,MATCH(WEEKDAY('TBS CRD MTM'!A137,3),'[4]Master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-1376857</v>
      </c>
      <c r="P137" s="136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-1376.857</v>
      </c>
    </row>
    <row r="138" customFormat="false" ht="12.75" hidden="false" customHeight="false" outlineLevel="0" collapsed="false">
      <c r="A138" s="108" t="n">
        <f aca="false">A137+1</f>
        <v>37024</v>
      </c>
      <c r="B138" s="119" t="str">
        <f aca="false">INDEX('[4]Master Data'!$A$2:$B$8,MATCH(WEEKDAY('TBS CRD MTM'!A138,3),'[4]Master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-1376857</v>
      </c>
      <c r="P138" s="136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-1376.857</v>
      </c>
    </row>
    <row r="139" customFormat="false" ht="12.75" hidden="false" customHeight="false" outlineLevel="0" collapsed="false">
      <c r="A139" s="108" t="n">
        <f aca="false">A138+1</f>
        <v>37025</v>
      </c>
      <c r="B139" s="119" t="str">
        <f aca="false">INDEX('[4]Master Data'!$A$2:$B$8,MATCH(WEEKDAY('TBS CRD MTM'!A139,3),'[4]Master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-1376857</v>
      </c>
      <c r="P139" s="136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-1376.857</v>
      </c>
    </row>
    <row r="140" customFormat="false" ht="12.75" hidden="false" customHeight="false" outlineLevel="0" collapsed="false">
      <c r="A140" s="108" t="n">
        <f aca="false">A139+1</f>
        <v>37026</v>
      </c>
      <c r="B140" s="119" t="str">
        <f aca="false">INDEX('[4]Master Data'!$A$2:$B$8,MATCH(WEEKDAY('TBS CRD MTM'!A140,3),'[4]Master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-1376857</v>
      </c>
      <c r="P140" s="136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-1376.857</v>
      </c>
    </row>
    <row r="141" customFormat="false" ht="12.75" hidden="false" customHeight="false" outlineLevel="0" collapsed="false">
      <c r="A141" s="108" t="n">
        <f aca="false">A140+1</f>
        <v>37027</v>
      </c>
      <c r="B141" s="119" t="str">
        <f aca="false">INDEX('[4]Master Data'!$A$2:$B$8,MATCH(WEEKDAY('TBS CRD MTM'!A141,3),'[4]Master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-1376857</v>
      </c>
      <c r="P141" s="136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-1376.857</v>
      </c>
    </row>
    <row r="142" customFormat="false" ht="12.75" hidden="false" customHeight="false" outlineLevel="0" collapsed="false">
      <c r="A142" s="108" t="n">
        <f aca="false">A141+1</f>
        <v>37028</v>
      </c>
      <c r="B142" s="119" t="str">
        <f aca="false">INDEX('[4]Master Data'!$A$2:$B$8,MATCH(WEEKDAY('TBS CRD MTM'!A142,3),'[4]Master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-1376857</v>
      </c>
      <c r="P142" s="136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-1376.857</v>
      </c>
    </row>
    <row r="143" customFormat="false" ht="12.75" hidden="false" customHeight="false" outlineLevel="0" collapsed="false">
      <c r="A143" s="108" t="n">
        <f aca="false">A142+1</f>
        <v>37029</v>
      </c>
      <c r="B143" s="119" t="str">
        <f aca="false">INDEX('[4]Master Data'!$A$2:$B$8,MATCH(WEEKDAY('TBS CRD MTM'!A143,3),'[4]Master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-1376857</v>
      </c>
      <c r="P143" s="136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-1376.857</v>
      </c>
    </row>
    <row r="144" customFormat="false" ht="12.75" hidden="false" customHeight="false" outlineLevel="0" collapsed="false">
      <c r="A144" s="108" t="n">
        <f aca="false">A143+1</f>
        <v>37030</v>
      </c>
      <c r="B144" s="119" t="str">
        <f aca="false">INDEX('[4]Master Data'!$A$2:$B$8,MATCH(WEEKDAY('TBS CRD MTM'!A144,3),'[4]Master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-1376857</v>
      </c>
      <c r="P144" s="136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-1376.857</v>
      </c>
    </row>
    <row r="145" customFormat="false" ht="12.75" hidden="false" customHeight="false" outlineLevel="0" collapsed="false">
      <c r="A145" s="108" t="n">
        <f aca="false">A144+1</f>
        <v>37031</v>
      </c>
      <c r="B145" s="119" t="str">
        <f aca="false">INDEX('[4]Master Data'!$A$2:$B$8,MATCH(WEEKDAY('TBS CRD MTM'!A145,3),'[4]Master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-1376857</v>
      </c>
      <c r="P145" s="136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-1376.857</v>
      </c>
    </row>
    <row r="146" customFormat="false" ht="12.75" hidden="false" customHeight="false" outlineLevel="0" collapsed="false">
      <c r="A146" s="108" t="n">
        <f aca="false">A145+1</f>
        <v>37032</v>
      </c>
      <c r="B146" s="119" t="str">
        <f aca="false">INDEX('[4]Master Data'!$A$2:$B$8,MATCH(WEEKDAY('TBS CRD MTM'!A146,3),'[4]Master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-1376857</v>
      </c>
      <c r="P146" s="136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-1376.857</v>
      </c>
    </row>
    <row r="147" customFormat="false" ht="12.75" hidden="false" customHeight="false" outlineLevel="0" collapsed="false">
      <c r="A147" s="108" t="n">
        <f aca="false">A146+1</f>
        <v>37033</v>
      </c>
      <c r="B147" s="119" t="str">
        <f aca="false">INDEX('[4]Master Data'!$A$2:$B$8,MATCH(WEEKDAY('TBS CRD MTM'!A147,3),'[4]Master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-1376857</v>
      </c>
      <c r="P147" s="136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-1376.857</v>
      </c>
    </row>
    <row r="148" customFormat="false" ht="12.75" hidden="false" customHeight="false" outlineLevel="0" collapsed="false">
      <c r="A148" s="108" t="n">
        <f aca="false">A147+1</f>
        <v>37034</v>
      </c>
      <c r="B148" s="119" t="str">
        <f aca="false">INDEX('[4]Master Data'!$A$2:$B$8,MATCH(WEEKDAY('TBS CRD MTM'!A148,3),'[4]Master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-1376857</v>
      </c>
      <c r="P148" s="136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-1376.857</v>
      </c>
    </row>
    <row r="149" customFormat="false" ht="12.75" hidden="false" customHeight="false" outlineLevel="0" collapsed="false">
      <c r="A149" s="108" t="n">
        <f aca="false">A148+1</f>
        <v>37035</v>
      </c>
      <c r="B149" s="119" t="str">
        <f aca="false">INDEX('[4]Master Data'!$A$2:$B$8,MATCH(WEEKDAY('TBS CRD MTM'!A149,3),'[4]Master Data'!$A$2:$A$8,0),2)</f>
        <v>Th</v>
      </c>
      <c r="D149" s="112" t="n">
        <v>0</v>
      </c>
      <c r="E149" s="112" t="n">
        <v>0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-1376857</v>
      </c>
      <c r="P149" s="136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-1376.857</v>
      </c>
    </row>
    <row r="150" customFormat="false" ht="12.75" hidden="false" customHeight="false" outlineLevel="0" collapsed="false">
      <c r="A150" s="108" t="n">
        <f aca="false">A149+1</f>
        <v>37036</v>
      </c>
      <c r="B150" s="119" t="str">
        <f aca="false">INDEX('[4]Master Data'!$A$2:$B$8,MATCH(WEEKDAY('TBS CRD MTM'!A150,3),'[4]Master Data'!$A$2:$A$8,0),2)</f>
        <v>F</v>
      </c>
      <c r="D150" s="112" t="n">
        <v>0</v>
      </c>
      <c r="E150" s="112" t="n">
        <v>0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-1376857</v>
      </c>
      <c r="P150" s="136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-1376.857</v>
      </c>
    </row>
    <row r="151" customFormat="false" ht="12.75" hidden="false" customHeight="false" outlineLevel="0" collapsed="false">
      <c r="A151" s="108" t="n">
        <f aca="false">A150+1</f>
        <v>37037</v>
      </c>
      <c r="B151" s="119" t="str">
        <f aca="false">INDEX('[4]Master Data'!$A$2:$B$8,MATCH(WEEKDAY('TBS CRD MTM'!A151,3),'[4]Master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-1376857</v>
      </c>
      <c r="P151" s="136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-1376.857</v>
      </c>
    </row>
    <row r="152" customFormat="false" ht="12.75" hidden="false" customHeight="false" outlineLevel="0" collapsed="false">
      <c r="A152" s="108" t="n">
        <f aca="false">A151+1</f>
        <v>37038</v>
      </c>
      <c r="B152" s="119" t="str">
        <f aca="false">INDEX('[4]Master Data'!$A$2:$B$8,MATCH(WEEKDAY('TBS CRD MTM'!A152,3),'[4]Master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-1376857</v>
      </c>
      <c r="P152" s="136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-1376.857</v>
      </c>
    </row>
    <row r="153" customFormat="false" ht="12.75" hidden="false" customHeight="false" outlineLevel="0" collapsed="false">
      <c r="A153" s="108" t="n">
        <f aca="false">A152+1</f>
        <v>37039</v>
      </c>
      <c r="B153" s="119" t="str">
        <f aca="false">INDEX('[4]Master Data'!$A$2:$B$8,MATCH(WEEKDAY('TBS CRD MTM'!A153,3),'[4]Master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-1376857</v>
      </c>
      <c r="P153" s="136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-1376.857</v>
      </c>
    </row>
    <row r="154" customFormat="false" ht="12.75" hidden="false" customHeight="false" outlineLevel="0" collapsed="false">
      <c r="A154" s="108" t="n">
        <f aca="false">A153+1</f>
        <v>37040</v>
      </c>
      <c r="B154" s="119" t="str">
        <f aca="false">INDEX('[4]Master Data'!$A$2:$B$8,MATCH(WEEKDAY('TBS CRD MTM'!A154,3),'[4]Master Data'!$A$2:$A$8,0),2)</f>
        <v>T</v>
      </c>
      <c r="D154" s="112" t="n">
        <v>0</v>
      </c>
      <c r="E154" s="112" t="n">
        <v>0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-1376857</v>
      </c>
      <c r="P154" s="136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-1376.857</v>
      </c>
    </row>
    <row r="155" customFormat="false" ht="12.75" hidden="false" customHeight="false" outlineLevel="0" collapsed="false">
      <c r="A155" s="108" t="n">
        <f aca="false">A154+1</f>
        <v>37041</v>
      </c>
      <c r="B155" s="119" t="str">
        <f aca="false">INDEX('[4]Master Data'!$A$2:$B$8,MATCH(WEEKDAY('TBS CRD MTM'!A155,3),'[4]Master Data'!$A$2:$A$8,0),2)</f>
        <v>W</v>
      </c>
      <c r="D155" s="112" t="n">
        <v>0</v>
      </c>
      <c r="E155" s="112" t="n">
        <v>0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-1376857</v>
      </c>
      <c r="P155" s="136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-1376.857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INDEX('[4]Master Data'!$A$2:$B$8,MATCH(WEEKDAY('TBS CRD MTM'!A156,3),'[4]Master Data'!$A$2:$A$8,0),2)</f>
        <v>Th</v>
      </c>
      <c r="D156" s="112" t="n">
        <v>0</v>
      </c>
      <c r="E156" s="112" t="n">
        <v>0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-1376857</v>
      </c>
      <c r="P156" s="136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-1376.857</v>
      </c>
    </row>
    <row r="157" customFormat="false" ht="12.75" hidden="false" customHeight="false" outlineLevel="0" collapsed="false">
      <c r="A157" s="108" t="n">
        <f aca="false">A156+1</f>
        <v>37043</v>
      </c>
      <c r="B157" s="119" t="str">
        <f aca="false">INDEX('[4]Master Data'!$A$2:$B$8,MATCH(WEEKDAY('TBS CRD MTM'!A157,3),'[4]Master Data'!$A$2:$A$8,0),2)</f>
        <v>F</v>
      </c>
      <c r="D157" s="112" t="n">
        <v>0</v>
      </c>
      <c r="E157" s="112" t="n">
        <v>0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-1376857</v>
      </c>
      <c r="P157" s="136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-1376.857</v>
      </c>
    </row>
    <row r="158" customFormat="false" ht="12.75" hidden="false" customHeight="false" outlineLevel="0" collapsed="false">
      <c r="A158" s="108" t="n">
        <f aca="false">A157+1</f>
        <v>37044</v>
      </c>
      <c r="B158" s="119" t="str">
        <f aca="false">INDEX('[4]Master Data'!$A$2:$B$8,MATCH(WEEKDAY('TBS CRD MTM'!A158,3),'[4]Master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-1376857</v>
      </c>
      <c r="P158" s="136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-1376.857</v>
      </c>
    </row>
    <row r="159" customFormat="false" ht="12.75" hidden="false" customHeight="false" outlineLevel="0" collapsed="false">
      <c r="A159" s="108" t="n">
        <f aca="false">A158+1</f>
        <v>37045</v>
      </c>
      <c r="B159" s="119" t="str">
        <f aca="false">INDEX('[4]Master Data'!$A$2:$B$8,MATCH(WEEKDAY('TBS CRD MTM'!A159,3),'[4]Master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-1376857</v>
      </c>
      <c r="P159" s="136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-1376.857</v>
      </c>
    </row>
    <row r="160" customFormat="false" ht="12.75" hidden="false" customHeight="false" outlineLevel="0" collapsed="false">
      <c r="A160" s="108" t="n">
        <f aca="false">A159+1</f>
        <v>37046</v>
      </c>
      <c r="B160" s="119" t="str">
        <f aca="false">INDEX('[4]Master Data'!$A$2:$B$8,MATCH(WEEKDAY('TBS CRD MTM'!A160,3),'[4]Master Data'!$A$2:$A$8,0),2)</f>
        <v>M</v>
      </c>
      <c r="D160" s="112" t="n">
        <v>0</v>
      </c>
      <c r="E160" s="112" t="n">
        <v>0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-1376857</v>
      </c>
      <c r="P160" s="136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-1376.857</v>
      </c>
    </row>
    <row r="161" customFormat="false" ht="12.75" hidden="false" customHeight="false" outlineLevel="0" collapsed="false">
      <c r="A161" s="108" t="n">
        <f aca="false">A160+1</f>
        <v>37047</v>
      </c>
      <c r="B161" s="119" t="str">
        <f aca="false">INDEX('[4]Master Data'!$A$2:$B$8,MATCH(WEEKDAY('TBS CRD MTM'!A161,3),'[4]Master Data'!$A$2:$A$8,0),2)</f>
        <v>T</v>
      </c>
      <c r="D161" s="112" t="n">
        <v>0</v>
      </c>
      <c r="E161" s="112" t="n">
        <v>0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-1376857</v>
      </c>
      <c r="P161" s="136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-1376.857</v>
      </c>
    </row>
    <row r="162" customFormat="false" ht="12.75" hidden="false" customHeight="false" outlineLevel="0" collapsed="false">
      <c r="A162" s="108" t="n">
        <f aca="false">A161+1</f>
        <v>37048</v>
      </c>
      <c r="B162" s="119" t="str">
        <f aca="false">INDEX('[4]Master Data'!$A$2:$B$8,MATCH(WEEKDAY('TBS CRD MTM'!A162,3),'[4]Master Data'!$A$2:$A$8,0),2)</f>
        <v>W</v>
      </c>
      <c r="D162" s="112" t="n">
        <v>0</v>
      </c>
      <c r="E162" s="112" t="n">
        <v>0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-1376857</v>
      </c>
      <c r="P162" s="136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-1376.857</v>
      </c>
    </row>
    <row r="163" customFormat="false" ht="12.75" hidden="false" customHeight="false" outlineLevel="0" collapsed="false">
      <c r="A163" s="108" t="n">
        <f aca="false">A162+1</f>
        <v>37049</v>
      </c>
      <c r="B163" s="119" t="str">
        <f aca="false">INDEX('[4]Master Data'!$A$2:$B$8,MATCH(WEEKDAY('TBS CRD MTM'!A163,3),'[4]Master Data'!$A$2:$A$8,0),2)</f>
        <v>Th</v>
      </c>
      <c r="D163" s="112" t="n">
        <v>0</v>
      </c>
      <c r="E163" s="112" t="n">
        <v>0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-1376857</v>
      </c>
      <c r="P163" s="136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-1376.857</v>
      </c>
    </row>
    <row r="164" customFormat="false" ht="12.75" hidden="false" customHeight="false" outlineLevel="0" collapsed="false">
      <c r="A164" s="108" t="n">
        <f aca="false">A163+1</f>
        <v>37050</v>
      </c>
      <c r="B164" s="119" t="str">
        <f aca="false">INDEX('[4]Master Data'!$A$2:$B$8,MATCH(WEEKDAY('TBS CRD MTM'!A164,3),'[4]Master Data'!$A$2:$A$8,0),2)</f>
        <v>F</v>
      </c>
      <c r="D164" s="112" t="n">
        <v>0</v>
      </c>
      <c r="E164" s="112" t="n">
        <v>0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-1376857</v>
      </c>
      <c r="P164" s="136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-1376.857</v>
      </c>
    </row>
    <row r="165" customFormat="false" ht="12.75" hidden="false" customHeight="false" outlineLevel="0" collapsed="false">
      <c r="A165" s="108" t="n">
        <f aca="false">A164+1</f>
        <v>37051</v>
      </c>
      <c r="B165" s="119" t="str">
        <f aca="false">INDEX('[4]Master Data'!$A$2:$B$8,MATCH(WEEKDAY('TBS CRD MTM'!A165,3),'[4]Master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-1376857</v>
      </c>
      <c r="P165" s="136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-1376.857</v>
      </c>
    </row>
    <row r="166" customFormat="false" ht="12.75" hidden="false" customHeight="false" outlineLevel="0" collapsed="false">
      <c r="A166" s="108" t="n">
        <f aca="false">A165+1</f>
        <v>37052</v>
      </c>
      <c r="B166" s="119" t="str">
        <f aca="false">INDEX('[4]Master Data'!$A$2:$B$8,MATCH(WEEKDAY('TBS CRD MTM'!A166,3),'[4]Master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-1376857</v>
      </c>
      <c r="P166" s="136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-1376.857</v>
      </c>
    </row>
    <row r="167" customFormat="false" ht="12.75" hidden="false" customHeight="false" outlineLevel="0" collapsed="false">
      <c r="A167" s="108" t="n">
        <f aca="false">A166+1</f>
        <v>37053</v>
      </c>
      <c r="B167" s="119" t="str">
        <f aca="false">INDEX('[4]Master Data'!$A$2:$B$8,MATCH(WEEKDAY('TBS CRD MTM'!A167,3),'[4]Master Data'!$A$2:$A$8,0),2)</f>
        <v>M</v>
      </c>
      <c r="D167" s="112" t="n">
        <v>0</v>
      </c>
      <c r="E167" s="112" t="n">
        <v>0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-1376857</v>
      </c>
      <c r="P167" s="136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-1376.857</v>
      </c>
    </row>
    <row r="168" customFormat="false" ht="12.75" hidden="false" customHeight="false" outlineLevel="0" collapsed="false">
      <c r="A168" s="108" t="n">
        <f aca="false">A167+1</f>
        <v>37054</v>
      </c>
      <c r="B168" s="119" t="str">
        <f aca="false">INDEX('[4]Master Data'!$A$2:$B$8,MATCH(WEEKDAY('TBS CRD MTM'!A168,3),'[4]Master Data'!$A$2:$A$8,0),2)</f>
        <v>T</v>
      </c>
      <c r="D168" s="112" t="n">
        <v>0</v>
      </c>
      <c r="E168" s="112" t="n">
        <v>0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-1376857</v>
      </c>
      <c r="P168" s="136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-1376.857</v>
      </c>
    </row>
    <row r="169" customFormat="false" ht="12.75" hidden="false" customHeight="false" outlineLevel="0" collapsed="false">
      <c r="A169" s="108" t="n">
        <f aca="false">A168+1</f>
        <v>37055</v>
      </c>
      <c r="B169" s="119" t="str">
        <f aca="false">INDEX('[4]Master Data'!$A$2:$B$8,MATCH(WEEKDAY('TBS CRD MTM'!A169,3),'[4]Master Data'!$A$2:$A$8,0),2)</f>
        <v>W</v>
      </c>
      <c r="D169" s="112" t="n">
        <v>0</v>
      </c>
      <c r="E169" s="112" t="n">
        <v>0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-1376857</v>
      </c>
      <c r="P169" s="136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-1376.857</v>
      </c>
    </row>
    <row r="170" customFormat="false" ht="12.75" hidden="false" customHeight="false" outlineLevel="0" collapsed="false">
      <c r="A170" s="108" t="n">
        <f aca="false">A169+1</f>
        <v>37056</v>
      </c>
      <c r="B170" s="119" t="str">
        <f aca="false">INDEX('[4]Master Data'!$A$2:$B$8,MATCH(WEEKDAY('TBS CRD MTM'!A170,3),'[4]Master Data'!$A$2:$A$8,0),2)</f>
        <v>Th</v>
      </c>
      <c r="D170" s="112" t="n">
        <v>0</v>
      </c>
      <c r="E170" s="112" t="n">
        <v>0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-1376857</v>
      </c>
      <c r="P170" s="136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-1376.857</v>
      </c>
    </row>
    <row r="171" customFormat="false" ht="12.75" hidden="false" customHeight="false" outlineLevel="0" collapsed="false">
      <c r="A171" s="108" t="n">
        <f aca="false">A170+1</f>
        <v>37057</v>
      </c>
      <c r="B171" s="119" t="str">
        <f aca="false">INDEX('[4]Master Data'!$A$2:$B$8,MATCH(WEEKDAY('TBS CRD MTM'!A171,3),'[4]Master Data'!$A$2:$A$8,0),2)</f>
        <v>F</v>
      </c>
      <c r="D171" s="112" t="n">
        <v>0</v>
      </c>
      <c r="E171" s="112" t="n">
        <v>0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-1376857</v>
      </c>
      <c r="P171" s="136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-1376.857</v>
      </c>
    </row>
    <row r="172" customFormat="false" ht="12.75" hidden="false" customHeight="false" outlineLevel="0" collapsed="false">
      <c r="A172" s="108" t="n">
        <f aca="false">A171+1</f>
        <v>37058</v>
      </c>
      <c r="B172" s="119" t="str">
        <f aca="false">INDEX('[4]Master Data'!$A$2:$B$8,MATCH(WEEKDAY('TBS CRD MTM'!A172,3),'[4]Master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-1376857</v>
      </c>
      <c r="P172" s="136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-1376.857</v>
      </c>
    </row>
    <row r="173" customFormat="false" ht="12.75" hidden="false" customHeight="false" outlineLevel="0" collapsed="false">
      <c r="A173" s="108" t="n">
        <f aca="false">A172+1</f>
        <v>37059</v>
      </c>
      <c r="B173" s="119" t="str">
        <f aca="false">INDEX('[4]Master Data'!$A$2:$B$8,MATCH(WEEKDAY('TBS CRD MTM'!A173,3),'[4]Master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-1376857</v>
      </c>
      <c r="P173" s="136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-1376.857</v>
      </c>
    </row>
    <row r="174" customFormat="false" ht="12.75" hidden="false" customHeight="false" outlineLevel="0" collapsed="false">
      <c r="A174" s="108" t="n">
        <f aca="false">A173+1</f>
        <v>37060</v>
      </c>
      <c r="B174" s="119" t="str">
        <f aca="false">INDEX('[4]Master Data'!$A$2:$B$8,MATCH(WEEKDAY('TBS CRD MTM'!A174,3),'[4]Master Data'!$A$2:$A$8,0),2)</f>
        <v>M</v>
      </c>
      <c r="D174" s="112" t="n">
        <v>0</v>
      </c>
      <c r="E174" s="112" t="n">
        <v>0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-1376857</v>
      </c>
      <c r="P174" s="136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-1376.857</v>
      </c>
    </row>
    <row r="175" customFormat="false" ht="12.75" hidden="false" customHeight="false" outlineLevel="0" collapsed="false">
      <c r="A175" s="108" t="n">
        <f aca="false">A174+1</f>
        <v>37061</v>
      </c>
      <c r="B175" s="119" t="str">
        <f aca="false">INDEX('[4]Master Data'!$A$2:$B$8,MATCH(WEEKDAY('TBS CRD MTM'!A175,3),'[4]Master Data'!$A$2:$A$8,0),2)</f>
        <v>T</v>
      </c>
      <c r="D175" s="112" t="n">
        <v>0</v>
      </c>
      <c r="E175" s="112" t="n">
        <v>0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-1376857</v>
      </c>
      <c r="P175" s="136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-1376.857</v>
      </c>
    </row>
    <row r="176" customFormat="false" ht="12.75" hidden="false" customHeight="false" outlineLevel="0" collapsed="false">
      <c r="A176" s="108" t="n">
        <f aca="false">A175+1</f>
        <v>37062</v>
      </c>
      <c r="B176" s="119" t="str">
        <f aca="false">INDEX('[4]Master Data'!$A$2:$B$8,MATCH(WEEKDAY('TBS CRD MTM'!A176,3),'[4]Master Data'!$A$2:$A$8,0),2)</f>
        <v>W</v>
      </c>
      <c r="D176" s="112" t="n">
        <v>0</v>
      </c>
      <c r="E176" s="112" t="n">
        <v>0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-1376857</v>
      </c>
      <c r="P176" s="136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-1376.857</v>
      </c>
    </row>
    <row r="177" customFormat="false" ht="12.75" hidden="false" customHeight="false" outlineLevel="0" collapsed="false">
      <c r="A177" s="108" t="n">
        <f aca="false">A176+1</f>
        <v>37063</v>
      </c>
      <c r="B177" s="119" t="str">
        <f aca="false">INDEX('[4]Master Data'!$A$2:$B$8,MATCH(WEEKDAY('TBS CRD MTM'!A177,3),'[4]Master Data'!$A$2:$A$8,0),2)</f>
        <v>Th</v>
      </c>
      <c r="D177" s="112" t="n">
        <v>0</v>
      </c>
      <c r="E177" s="112" t="n">
        <v>0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-1376857</v>
      </c>
      <c r="P177" s="136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-1376.857</v>
      </c>
    </row>
    <row r="178" customFormat="false" ht="12.75" hidden="false" customHeight="false" outlineLevel="0" collapsed="false">
      <c r="A178" s="108" t="n">
        <f aca="false">A177+1</f>
        <v>37064</v>
      </c>
      <c r="B178" s="119" t="str">
        <f aca="false">INDEX('[4]Master Data'!$A$2:$B$8,MATCH(WEEKDAY('TBS CRD MTM'!A178,3),'[4]Master Data'!$A$2:$A$8,0),2)</f>
        <v>F</v>
      </c>
      <c r="D178" s="112" t="n">
        <v>0</v>
      </c>
      <c r="E178" s="112" t="n">
        <v>0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-1376857</v>
      </c>
      <c r="P178" s="136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-1376.857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INDEX('[4]Master Data'!$A$2:$B$8,MATCH(WEEKDAY('TBS CRD MTM'!A179,3),'[4]Master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-1376857</v>
      </c>
      <c r="P179" s="136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-1376.857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INDEX('[4]Master Data'!$A$2:$B$8,MATCH(WEEKDAY('TBS CRD MTM'!A180,3),'[4]Master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-1376857</v>
      </c>
      <c r="P180" s="136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-1376.857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INDEX('[4]Master Data'!$A$2:$B$8,MATCH(WEEKDAY('TBS CRD MTM'!A181,3),'[4]Master Data'!$A$2:$A$8,0),2)</f>
        <v>M</v>
      </c>
      <c r="D181" s="112" t="n">
        <v>0</v>
      </c>
      <c r="E181" s="112" t="n">
        <v>0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-1376857</v>
      </c>
      <c r="P181" s="136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-1376.857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INDEX('[4]Master Data'!$A$2:$B$8,MATCH(WEEKDAY('TBS CRD MTM'!A182,3),'[4]Master Data'!$A$2:$A$8,0),2)</f>
        <v>T</v>
      </c>
      <c r="D182" s="112" t="n">
        <v>0</v>
      </c>
      <c r="E182" s="112" t="n">
        <v>0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-1376857</v>
      </c>
      <c r="P182" s="136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-1376.857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INDEX('[4]Master Data'!$A$2:$B$8,MATCH(WEEKDAY('TBS CRD MTM'!A183,3),'[4]Master Data'!$A$2:$A$8,0),2)</f>
        <v>W</v>
      </c>
      <c r="D183" s="112" t="n">
        <v>0</v>
      </c>
      <c r="E183" s="112" t="n">
        <v>0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-1376857</v>
      </c>
      <c r="P183" s="136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-1376.857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INDEX('[4]Master Data'!$A$2:$B$8,MATCH(WEEKDAY('TBS CRD MTM'!A184,3),'[4]Master Data'!$A$2:$A$8,0),2)</f>
        <v>Th</v>
      </c>
      <c r="D184" s="112" t="n">
        <v>0</v>
      </c>
      <c r="E184" s="112" t="n">
        <v>0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-1376857</v>
      </c>
      <c r="P184" s="136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-1376.857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INDEX('[4]Master Data'!$A$2:$B$8,MATCH(WEEKDAY('TBS CRD MTM'!A185,3),'[4]Master Data'!$A$2:$A$8,0),2)</f>
        <v>F</v>
      </c>
      <c r="D185" s="112" t="n">
        <v>0</v>
      </c>
      <c r="E185" s="112" t="n">
        <v>0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-1376857</v>
      </c>
      <c r="P185" s="136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-1376.857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INDEX('[4]Master Data'!$A$2:$B$8,MATCH(WEEKDAY('TBS CRD MTM'!A186,3),'[4]Master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-1376857</v>
      </c>
      <c r="P186" s="136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-1376.857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INDEX('[4]Master Data'!$A$2:$B$8,MATCH(WEEKDAY('TBS CRD MTM'!A187,3),'[4]Master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-1376857</v>
      </c>
      <c r="P187" s="136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-1376.857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INDEX('[4]Master Data'!$A$2:$B$8,MATCH(WEEKDAY('TBS CRD MTM'!A188,3),'[4]Master Data'!$A$2:$A$8,0),2)</f>
        <v>M</v>
      </c>
      <c r="D188" s="112" t="n">
        <v>0</v>
      </c>
      <c r="E188" s="112" t="n">
        <v>0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0</v>
      </c>
      <c r="N188" s="112" t="n">
        <f aca="false">SUM(J$6:J188)</f>
        <v>-1376857</v>
      </c>
      <c r="P188" s="136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-1376.857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INDEX('[4]Master Data'!$A$2:$B$8,MATCH(WEEKDAY('TBS CRD MTM'!A189,3),'[4]Master Data'!$A$2:$A$8,0),2)</f>
        <v>T</v>
      </c>
      <c r="D189" s="112" t="n">
        <v>0</v>
      </c>
      <c r="E189" s="112" t="n">
        <v>0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0</v>
      </c>
      <c r="N189" s="112" t="n">
        <f aca="false">SUM(J$6:J189)</f>
        <v>-1376857</v>
      </c>
      <c r="P189" s="136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-1376.857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INDEX('[4]Master Data'!$A$2:$B$8,MATCH(WEEKDAY('TBS CRD MTM'!A190,3),'[4]Master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0</v>
      </c>
      <c r="N190" s="112" t="n">
        <f aca="false">SUM(J$6:J190)</f>
        <v>-1376857</v>
      </c>
      <c r="P190" s="136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-1376.857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INDEX('[4]Master Data'!$A$2:$B$8,MATCH(WEEKDAY('TBS CRD MTM'!A191,3),'[4]Master Data'!$A$2:$A$8,0),2)</f>
        <v>Th</v>
      </c>
      <c r="D191" s="112" t="n">
        <v>0</v>
      </c>
      <c r="E191" s="112" t="n">
        <v>0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0</v>
      </c>
      <c r="N191" s="112" t="n">
        <f aca="false">SUM(J$6:J191)</f>
        <v>-1376857</v>
      </c>
      <c r="P191" s="136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-1376.857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INDEX('[4]Master Data'!$A$2:$B$8,MATCH(WEEKDAY('TBS CRD MTM'!A192,3),'[4]Master Data'!$A$2:$A$8,0),2)</f>
        <v>F</v>
      </c>
      <c r="D192" s="112" t="n">
        <v>0</v>
      </c>
      <c r="E192" s="112" t="n">
        <v>0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SUM(J$188:J192)</f>
        <v>0</v>
      </c>
      <c r="N192" s="112" t="n">
        <f aca="false">SUM(J$6:J192)</f>
        <v>-1376857</v>
      </c>
      <c r="P192" s="136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-1376.857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INDEX('[4]Master Data'!$A$2:$B$8,MATCH(WEEKDAY('TBS CRD MTM'!A193,3),'[4]Master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0</v>
      </c>
      <c r="N193" s="112" t="n">
        <f aca="false">SUM(J$6:J193)</f>
        <v>-1376857</v>
      </c>
      <c r="P193" s="136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-1376.857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INDEX('[4]Master Data'!$A$2:$B$8,MATCH(WEEKDAY('TBS CRD MTM'!A194,3),'[4]Master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0</v>
      </c>
      <c r="N194" s="112" t="n">
        <f aca="false">SUM(J$6:J194)</f>
        <v>-1376857</v>
      </c>
      <c r="P194" s="136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-1376.857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INDEX('[4]Master Data'!$A$2:$B$8,MATCH(WEEKDAY('TBS CRD MTM'!A195,3),'[4]Master Data'!$A$2:$A$8,0),2)</f>
        <v>M</v>
      </c>
      <c r="D195" s="112" t="n">
        <v>0</v>
      </c>
      <c r="E195" s="112" t="n">
        <v>0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SUM(J$188:J195)</f>
        <v>0</v>
      </c>
      <c r="N195" s="112" t="n">
        <f aca="false">SUM(J$6:J195)</f>
        <v>-1376857</v>
      </c>
      <c r="P195" s="136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-1376.857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INDEX('[4]Master Data'!$A$2:$B$8,MATCH(WEEKDAY('TBS CRD MTM'!A196,3),'[4]Master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0</v>
      </c>
      <c r="N196" s="112" t="n">
        <f aca="false">SUM(J$6:J196)</f>
        <v>-1376857</v>
      </c>
      <c r="P196" s="136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-1376.857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INDEX('[4]Master Data'!$A$2:$B$8,MATCH(WEEKDAY('TBS CRD MTM'!A197,3),'[4]Master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0</v>
      </c>
      <c r="N197" s="112" t="n">
        <f aca="false">SUM(J$6:J197)</f>
        <v>-1376857</v>
      </c>
      <c r="P197" s="136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-1376.857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INDEX('[4]Master Data'!$A$2:$B$8,MATCH(WEEKDAY('TBS CRD MTM'!A198,3),'[4]Master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0</v>
      </c>
      <c r="N198" s="112" t="n">
        <f aca="false">SUM(J$6:J198)</f>
        <v>-1376857</v>
      </c>
      <c r="P198" s="136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-1376.857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INDEX('[4]Master Data'!$A$2:$B$8,MATCH(WEEKDAY('TBS CRD MTM'!A199,3),'[4]Master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0</v>
      </c>
      <c r="N199" s="112" t="n">
        <f aca="false">SUM(J$6:J199)</f>
        <v>-1376857</v>
      </c>
      <c r="P199" s="136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-1376.857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INDEX('[4]Master Data'!$A$2:$B$8,MATCH(WEEKDAY('TBS CRD MTM'!A200,3),'[4]Master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0</v>
      </c>
      <c r="N200" s="112" t="n">
        <f aca="false">SUM(J$6:J200)</f>
        <v>-1376857</v>
      </c>
      <c r="P200" s="136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-1376.857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INDEX('[4]Master Data'!$A$2:$B$8,MATCH(WEEKDAY('TBS CRD MTM'!A201,3),'[4]Master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0</v>
      </c>
      <c r="N201" s="112" t="n">
        <f aca="false">SUM(J$6:J201)</f>
        <v>-1376857</v>
      </c>
      <c r="P201" s="136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-1376.857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INDEX('[4]Master Data'!$A$2:$B$8,MATCH(WEEKDAY('TBS CRD MTM'!A202,3),'[4]Master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0</v>
      </c>
      <c r="N202" s="112" t="n">
        <f aca="false">SUM(J$6:J202)</f>
        <v>-1376857</v>
      </c>
      <c r="P202" s="136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-1376.857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INDEX('[4]Master Data'!$A$2:$B$8,MATCH(WEEKDAY('TBS CRD MTM'!A203,3),'[4]Master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0</v>
      </c>
      <c r="N203" s="112" t="n">
        <f aca="false">SUM(J$6:J203)</f>
        <v>-1376857</v>
      </c>
      <c r="P203" s="136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-1376.857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INDEX('[4]Master Data'!$A$2:$B$8,MATCH(WEEKDAY('TBS CRD MTM'!A204,3),'[4]Master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0</v>
      </c>
      <c r="N204" s="112" t="n">
        <f aca="false">SUM(J$6:J204)</f>
        <v>-1376857</v>
      </c>
      <c r="P204" s="136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-1376.857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INDEX('[4]Master Data'!$A$2:$B$8,MATCH(WEEKDAY('TBS CRD MTM'!A205,3),'[4]Master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0</v>
      </c>
      <c r="N205" s="112" t="n">
        <f aca="false">SUM(J$6:J205)</f>
        <v>-1376857</v>
      </c>
      <c r="P205" s="136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-1376.857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INDEX('[4]Master Data'!$A$2:$B$8,MATCH(WEEKDAY('TBS CRD MTM'!A206,3),'[4]Master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0</v>
      </c>
      <c r="N206" s="112" t="n">
        <f aca="false">SUM(J$6:J206)</f>
        <v>-1376857</v>
      </c>
      <c r="P206" s="136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-1376.857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INDEX('[4]Master Data'!$A$2:$B$8,MATCH(WEEKDAY('TBS CRD MTM'!A207,3),'[4]Master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0</v>
      </c>
      <c r="N207" s="112" t="n">
        <f aca="false">SUM(J$6:J207)</f>
        <v>-1376857</v>
      </c>
      <c r="P207" s="136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-1376.857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INDEX('[4]Master Data'!$A$2:$B$8,MATCH(WEEKDAY('TBS CRD MTM'!A208,3),'[4]Master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0</v>
      </c>
      <c r="N208" s="112" t="n">
        <f aca="false">SUM(J$6:J208)</f>
        <v>-1376857</v>
      </c>
      <c r="P208" s="136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-1376.857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INDEX('[4]Master Data'!$A$2:$B$8,MATCH(WEEKDAY('TBS CRD MTM'!A209,3),'[4]Master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0</v>
      </c>
      <c r="N209" s="112" t="n">
        <f aca="false">SUM(J$6:J209)</f>
        <v>-1376857</v>
      </c>
      <c r="P209" s="136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-1376.857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INDEX('[4]Master Data'!$A$2:$B$8,MATCH(WEEKDAY('TBS CRD MTM'!A210,3),'[4]Master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0</v>
      </c>
      <c r="N210" s="112" t="n">
        <f aca="false">SUM(J$6:J210)</f>
        <v>-1376857</v>
      </c>
      <c r="P210" s="136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-1376.857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INDEX('[4]Master Data'!$A$2:$B$8,MATCH(WEEKDAY('TBS CRD MTM'!A211,3),'[4]Master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0</v>
      </c>
      <c r="N211" s="112" t="n">
        <f aca="false">SUM(J$6:J211)</f>
        <v>-1376857</v>
      </c>
      <c r="P211" s="136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-1376.857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INDEX('[4]Master Data'!$A$2:$B$8,MATCH(WEEKDAY('TBS CRD MTM'!A212,3),'[4]Master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0</v>
      </c>
      <c r="N212" s="112" t="n">
        <f aca="false">SUM(J$6:J212)</f>
        <v>-1376857</v>
      </c>
      <c r="P212" s="136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-1376.857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INDEX('[4]Master Data'!$A$2:$B$8,MATCH(WEEKDAY('TBS CRD MTM'!A213,3),'[4]Master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0</v>
      </c>
      <c r="N213" s="112" t="n">
        <f aca="false">SUM(J$6:J213)</f>
        <v>-1376857</v>
      </c>
      <c r="P213" s="136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-1376.857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INDEX('[4]Master Data'!$A$2:$B$8,MATCH(WEEKDAY('TBS CRD MTM'!A214,3),'[4]Master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0</v>
      </c>
      <c r="N214" s="112" t="n">
        <f aca="false">SUM(J$6:J214)</f>
        <v>-1376857</v>
      </c>
      <c r="P214" s="136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-1376.857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INDEX('[4]Master Data'!$A$2:$B$8,MATCH(WEEKDAY('TBS CRD MTM'!A215,3),'[4]Master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0</v>
      </c>
      <c r="N215" s="112" t="n">
        <f aca="false">SUM(J$6:J215)</f>
        <v>-1376857</v>
      </c>
      <c r="P215" s="136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-1376.857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INDEX('[4]Master Data'!$A$2:$B$8,MATCH(WEEKDAY('TBS CRD MTM'!A216,3),'[4]Master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0</v>
      </c>
      <c r="N216" s="112" t="n">
        <f aca="false">SUM(J$6:J216)</f>
        <v>-1376857</v>
      </c>
      <c r="P216" s="136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-1376.857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INDEX('[4]Master Data'!$A$2:$B$8,MATCH(WEEKDAY('TBS CRD MTM'!A217,3),'[4]Master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0</v>
      </c>
      <c r="N217" s="112" t="n">
        <f aca="false">SUM(J$6:J217)</f>
        <v>-1376857</v>
      </c>
      <c r="P217" s="136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-1376.857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INDEX('[4]Master Data'!$A$2:$B$8,MATCH(WEEKDAY('TBS CRD MTM'!A218,3),'[4]Master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0</v>
      </c>
      <c r="N218" s="112" t="n">
        <f aca="false">SUM(J$6:J218)</f>
        <v>-1376857</v>
      </c>
      <c r="P218" s="136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-1376.857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INDEX('[4]Master Data'!$A$2:$B$8,MATCH(WEEKDAY('TBS CRD MTM'!A219,3),'[4]Master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0</v>
      </c>
      <c r="N219" s="112" t="n">
        <f aca="false">SUM(J$6:J219)</f>
        <v>-1376857</v>
      </c>
      <c r="P219" s="136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-1376.857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INDEX('[4]Master Data'!$A$2:$B$8,MATCH(WEEKDAY('TBS CRD MTM'!A220,3),'[4]Master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0</v>
      </c>
      <c r="N220" s="112" t="n">
        <f aca="false">SUM(J$6:J220)</f>
        <v>-1376857</v>
      </c>
      <c r="P220" s="136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-1376.857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INDEX('[4]Master Data'!$A$2:$B$8,MATCH(WEEKDAY('TBS CRD MTM'!A221,3),'[4]Master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0</v>
      </c>
      <c r="N221" s="112" t="n">
        <f aca="false">SUM(J$6:J221)</f>
        <v>-1376857</v>
      </c>
      <c r="P221" s="136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-1376.857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INDEX('[4]Master Data'!$A$2:$B$8,MATCH(WEEKDAY('TBS CRD MTM'!A222,3),'[4]Master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0</v>
      </c>
      <c r="N222" s="112" t="n">
        <f aca="false">SUM(J$6:J222)</f>
        <v>-1376857</v>
      </c>
      <c r="P222" s="136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-1376.857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INDEX('[4]Master Data'!$A$2:$B$8,MATCH(WEEKDAY('TBS CRD MTM'!A223,3),'[4]Master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0</v>
      </c>
      <c r="N223" s="112" t="n">
        <f aca="false">SUM(J$6:J223)</f>
        <v>-1376857</v>
      </c>
      <c r="P223" s="136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-1376.857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INDEX('[4]Master Data'!$A$2:$B$8,MATCH(WEEKDAY('TBS CRD MTM'!A224,3),'[4]Master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0</v>
      </c>
      <c r="N224" s="112" t="n">
        <f aca="false">SUM(J$6:J224)</f>
        <v>-1376857</v>
      </c>
      <c r="P224" s="136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-1376.857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INDEX('[4]Master Data'!$A$2:$B$8,MATCH(WEEKDAY('TBS CRD MTM'!A225,3),'[4]Master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0</v>
      </c>
      <c r="N225" s="112" t="n">
        <f aca="false">SUM(J$6:J225)</f>
        <v>-1376857</v>
      </c>
      <c r="P225" s="136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-1376.857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INDEX('[4]Master Data'!$A$2:$B$8,MATCH(WEEKDAY('TBS CRD MTM'!A226,3),'[4]Master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0</v>
      </c>
      <c r="N226" s="112" t="n">
        <f aca="false">SUM(J$6:J226)</f>
        <v>-1376857</v>
      </c>
      <c r="P226" s="136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-1376.857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INDEX('[4]Master Data'!$A$2:$B$8,MATCH(WEEKDAY('TBS CRD MTM'!A227,3),'[4]Master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0</v>
      </c>
      <c r="N227" s="112" t="n">
        <f aca="false">SUM(J$6:J227)</f>
        <v>-1376857</v>
      </c>
      <c r="P227" s="136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-1376.857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INDEX('[4]Master Data'!$A$2:$B$8,MATCH(WEEKDAY('TBS CRD MTM'!A228,3),'[4]Master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0</v>
      </c>
      <c r="N228" s="112" t="n">
        <f aca="false">SUM(J$6:J228)</f>
        <v>-1376857</v>
      </c>
      <c r="P228" s="136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-1376.857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INDEX('[4]Master Data'!$A$2:$B$8,MATCH(WEEKDAY('TBS CRD MTM'!A229,3),'[4]Master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0</v>
      </c>
      <c r="N229" s="112" t="n">
        <f aca="false">SUM(J$6:J229)</f>
        <v>-1376857</v>
      </c>
      <c r="P229" s="136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-1376.857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INDEX('[4]Master Data'!$A$2:$B$8,MATCH(WEEKDAY('TBS CRD MTM'!A230,3),'[4]Master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0</v>
      </c>
      <c r="N230" s="112" t="n">
        <f aca="false">SUM(J$6:J230)</f>
        <v>-1376857</v>
      </c>
      <c r="P230" s="136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-1376.857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INDEX('[4]Master Data'!$A$2:$B$8,MATCH(WEEKDAY('TBS CRD MTM'!A231,3),'[4]Master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0</v>
      </c>
      <c r="N231" s="112" t="n">
        <f aca="false">SUM(J$6:J231)</f>
        <v>-1376857</v>
      </c>
      <c r="P231" s="136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-1376.857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INDEX('[4]Master Data'!$A$2:$B$8,MATCH(WEEKDAY('TBS CRD MTM'!A232,3),'[4]Master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0</v>
      </c>
      <c r="N232" s="112" t="n">
        <f aca="false">SUM(J$6:J232)</f>
        <v>-1376857</v>
      </c>
      <c r="P232" s="136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-1376.857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INDEX('[4]Master Data'!$A$2:$B$8,MATCH(WEEKDAY('TBS CRD MTM'!A233,3),'[4]Master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0</v>
      </c>
      <c r="N233" s="112" t="n">
        <f aca="false">SUM(J$6:J233)</f>
        <v>-1376857</v>
      </c>
      <c r="P233" s="136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-1376.857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INDEX('[4]Master Data'!$A$2:$B$8,MATCH(WEEKDAY('TBS CRD MTM'!A234,3),'[4]Master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0</v>
      </c>
      <c r="N234" s="112" t="n">
        <f aca="false">SUM(J$6:J234)</f>
        <v>-1376857</v>
      </c>
      <c r="P234" s="136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-1376.857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INDEX('[4]Master Data'!$A$2:$B$8,MATCH(WEEKDAY('TBS CRD MTM'!A235,3),'[4]Master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0</v>
      </c>
      <c r="N235" s="112" t="n">
        <f aca="false">SUM(J$6:J235)</f>
        <v>-1376857</v>
      </c>
      <c r="P235" s="136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-1376.857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INDEX('[4]Master Data'!$A$2:$B$8,MATCH(WEEKDAY('TBS CRD MTM'!A236,3),'[4]Master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0</v>
      </c>
      <c r="N236" s="112" t="n">
        <f aca="false">SUM(J$6:J236)</f>
        <v>-1376857</v>
      </c>
      <c r="P236" s="136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-1376.857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INDEX('[4]Master Data'!$A$2:$B$8,MATCH(WEEKDAY('TBS CRD MTM'!A237,3),'[4]Master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0</v>
      </c>
      <c r="N237" s="112" t="n">
        <f aca="false">SUM(J$6:J237)</f>
        <v>-1376857</v>
      </c>
      <c r="P237" s="136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-1376.857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INDEX('[4]Master Data'!$A$2:$B$8,MATCH(WEEKDAY('TBS CRD MTM'!A238,3),'[4]Master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0</v>
      </c>
      <c r="N238" s="112" t="n">
        <f aca="false">SUM(J$6:J238)</f>
        <v>-1376857</v>
      </c>
      <c r="P238" s="136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-1376.857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INDEX('[4]Master Data'!$A$2:$B$8,MATCH(WEEKDAY('TBS CRD MTM'!A239,3),'[4]Master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0</v>
      </c>
      <c r="N239" s="112" t="n">
        <f aca="false">SUM(J$6:J239)</f>
        <v>-1376857</v>
      </c>
      <c r="P239" s="136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-1376.857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INDEX('[4]Master Data'!$A$2:$B$8,MATCH(WEEKDAY('TBS CRD MTM'!A240,3),'[4]Master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0</v>
      </c>
      <c r="N240" s="112" t="n">
        <f aca="false">SUM(J$6:J240)</f>
        <v>-1376857</v>
      </c>
      <c r="P240" s="136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-1376.857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INDEX('[4]Master Data'!$A$2:$B$8,MATCH(WEEKDAY('TBS CRD MTM'!A241,3),'[4]Master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0</v>
      </c>
      <c r="N241" s="112" t="n">
        <f aca="false">SUM(J$6:J241)</f>
        <v>-1376857</v>
      </c>
      <c r="P241" s="136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-1376.857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INDEX('[4]Master Data'!$A$2:$B$8,MATCH(WEEKDAY('TBS CRD MTM'!A242,3),'[4]Master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0</v>
      </c>
      <c r="N242" s="112" t="n">
        <f aca="false">SUM(J$6:J242)</f>
        <v>-1376857</v>
      </c>
      <c r="P242" s="136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-1376.857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INDEX('[4]Master Data'!$A$2:$B$8,MATCH(WEEKDAY('TBS CRD MTM'!A243,3),'[4]Master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0</v>
      </c>
      <c r="N243" s="112" t="n">
        <f aca="false">SUM(J$6:J243)</f>
        <v>-1376857</v>
      </c>
      <c r="P243" s="136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-1376.857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INDEX('[4]Master Data'!$A$2:$B$8,MATCH(WEEKDAY('TBS CRD MTM'!A244,3),'[4]Master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0</v>
      </c>
      <c r="N244" s="112" t="n">
        <f aca="false">SUM(J$6:J244)</f>
        <v>-1376857</v>
      </c>
      <c r="P244" s="136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-1376.857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INDEX('[4]Master Data'!$A$2:$B$8,MATCH(WEEKDAY('TBS CRD MTM'!A245,3),'[4]Master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0</v>
      </c>
      <c r="N245" s="112" t="n">
        <f aca="false">SUM(J$6:J245)</f>
        <v>-1376857</v>
      </c>
      <c r="P245" s="136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-1376.857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INDEX('[4]Master Data'!$A$2:$B$8,MATCH(WEEKDAY('TBS CRD MTM'!A246,3),'[4]Master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0</v>
      </c>
      <c r="N246" s="112" t="n">
        <f aca="false">SUM(J$6:J246)</f>
        <v>-1376857</v>
      </c>
      <c r="P246" s="136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-1376.857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INDEX('[4]Master Data'!$A$2:$B$8,MATCH(WEEKDAY('TBS CRD MTM'!A247,3),'[4]Master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0</v>
      </c>
      <c r="N247" s="112" t="n">
        <f aca="false">SUM(J$6:J247)</f>
        <v>-1376857</v>
      </c>
      <c r="P247" s="136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-1376.857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INDEX('[4]Master Data'!$A$2:$B$8,MATCH(WEEKDAY('TBS CRD MTM'!A248,3),'[4]Master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0</v>
      </c>
      <c r="N248" s="112" t="n">
        <f aca="false">SUM(J$6:J248)</f>
        <v>-1376857</v>
      </c>
      <c r="P248" s="136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-1376.857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INDEX('[4]Master Data'!$A$2:$B$8,MATCH(WEEKDAY('TBS CRD MTM'!A249,3),'[4]Master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0</v>
      </c>
      <c r="N249" s="112" t="n">
        <f aca="false">SUM(J$6:J249)</f>
        <v>-1376857</v>
      </c>
      <c r="P249" s="136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-1376.857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INDEX('[4]Master Data'!$A$2:$B$8,MATCH(WEEKDAY('TBS CRD MTM'!A250,3),'[4]Master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0</v>
      </c>
      <c r="N250" s="112" t="n">
        <f aca="false">SUM(J$6:J250)</f>
        <v>-1376857</v>
      </c>
      <c r="P250" s="136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-1376.857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INDEX('[4]Master Data'!$A$2:$B$8,MATCH(WEEKDAY('TBS CRD MTM'!A251,3),'[4]Master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0</v>
      </c>
      <c r="N251" s="112" t="n">
        <f aca="false">SUM(J$6:J251)</f>
        <v>-1376857</v>
      </c>
      <c r="P251" s="136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-1376.857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INDEX('[4]Master Data'!$A$2:$B$8,MATCH(WEEKDAY('TBS CRD MTM'!A252,3),'[4]Master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0</v>
      </c>
      <c r="N252" s="112" t="n">
        <f aca="false">SUM(J$6:J252)</f>
        <v>-1376857</v>
      </c>
      <c r="P252" s="136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-1376.857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INDEX('[4]Master Data'!$A$2:$B$8,MATCH(WEEKDAY('TBS CRD MTM'!A253,3),'[4]Master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0</v>
      </c>
      <c r="N253" s="112" t="n">
        <f aca="false">SUM(J$6:J253)</f>
        <v>-1376857</v>
      </c>
      <c r="P253" s="136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-1376.857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INDEX('[4]Master Data'!$A$2:$B$8,MATCH(WEEKDAY('TBS CRD MTM'!A254,3),'[4]Master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0</v>
      </c>
      <c r="N254" s="112" t="n">
        <f aca="false">SUM(J$6:J254)</f>
        <v>-1376857</v>
      </c>
      <c r="P254" s="136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-1376.857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INDEX('[4]Master Data'!$A$2:$B$8,MATCH(WEEKDAY('TBS CRD MTM'!A255,3),'[4]Master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0</v>
      </c>
      <c r="N255" s="112" t="n">
        <f aca="false">SUM(J$6:J255)</f>
        <v>-1376857</v>
      </c>
      <c r="P255" s="136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-1376.857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INDEX('[4]Master Data'!$A$2:$B$8,MATCH(WEEKDAY('TBS CRD MTM'!A256,3),'[4]Master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0</v>
      </c>
      <c r="N256" s="112" t="n">
        <f aca="false">SUM(J$6:J256)</f>
        <v>-1376857</v>
      </c>
      <c r="P256" s="136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-1376.857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INDEX('[4]Master Data'!$A$2:$B$8,MATCH(WEEKDAY('TBS CRD MTM'!A257,3),'[4]Master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0</v>
      </c>
      <c r="N257" s="112" t="n">
        <f aca="false">SUM(J$6:J257)</f>
        <v>-1376857</v>
      </c>
      <c r="P257" s="136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-1376.857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INDEX('[4]Master Data'!$A$2:$B$8,MATCH(WEEKDAY('TBS CRD MTM'!A258,3),'[4]Master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0</v>
      </c>
      <c r="N258" s="112" t="n">
        <f aca="false">SUM(J$6:J258)</f>
        <v>-1376857</v>
      </c>
      <c r="P258" s="136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-1376.857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INDEX('[4]Master Data'!$A$2:$B$8,MATCH(WEEKDAY('TBS CRD MTM'!A259,3),'[4]Master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0</v>
      </c>
      <c r="N259" s="112" t="n">
        <f aca="false">SUM(J$6:J259)</f>
        <v>-1376857</v>
      </c>
      <c r="P259" s="136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-1376.857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INDEX('[4]Master Data'!$A$2:$B$8,MATCH(WEEKDAY('TBS CRD MTM'!A260,3),'[4]Master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0</v>
      </c>
      <c r="N260" s="112" t="n">
        <f aca="false">SUM(J$6:J260)</f>
        <v>-1376857</v>
      </c>
      <c r="P260" s="136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-1376.857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INDEX('[4]Master Data'!$A$2:$B$8,MATCH(WEEKDAY('TBS CRD MTM'!A261,3),'[4]Master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0</v>
      </c>
      <c r="N261" s="112" t="n">
        <f aca="false">SUM(J$6:J261)</f>
        <v>-1376857</v>
      </c>
      <c r="P261" s="136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-1376.857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INDEX('[4]Master Data'!$A$2:$B$8,MATCH(WEEKDAY('TBS CRD MTM'!A262,3),'[4]Master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0</v>
      </c>
      <c r="N262" s="112" t="n">
        <f aca="false">SUM(J$6:J262)</f>
        <v>-1376857</v>
      </c>
      <c r="P262" s="136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-1376.857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INDEX('[4]Master Data'!$A$2:$B$8,MATCH(WEEKDAY('TBS CRD MTM'!A263,3),'[4]Master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0</v>
      </c>
      <c r="N263" s="112" t="n">
        <f aca="false">SUM(J$6:J263)</f>
        <v>-1376857</v>
      </c>
      <c r="P263" s="136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-1376.857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INDEX('[4]Master Data'!$A$2:$B$8,MATCH(WEEKDAY('TBS CRD MTM'!A264,3),'[4]Master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0</v>
      </c>
      <c r="N264" s="112" t="n">
        <f aca="false">SUM(J$6:J264)</f>
        <v>-1376857</v>
      </c>
      <c r="P264" s="136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-1376.857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INDEX('[4]Master Data'!$A$2:$B$8,MATCH(WEEKDAY('TBS CRD MTM'!A265,3),'[4]Master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0</v>
      </c>
      <c r="N265" s="112" t="n">
        <f aca="false">SUM(J$6:J265)</f>
        <v>-1376857</v>
      </c>
      <c r="P265" s="136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-1376.857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INDEX('[4]Master Data'!$A$2:$B$8,MATCH(WEEKDAY('TBS CRD MTM'!A266,3),'[4]Master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0</v>
      </c>
      <c r="N266" s="112" t="n">
        <f aca="false">SUM(J$6:J266)</f>
        <v>-1376857</v>
      </c>
      <c r="P266" s="136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-1376.857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INDEX('[4]Master Data'!$A$2:$B$8,MATCH(WEEKDAY('TBS CRD MTM'!A267,3),'[4]Master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0</v>
      </c>
      <c r="N267" s="112" t="n">
        <f aca="false">SUM(J$6:J267)</f>
        <v>-1376857</v>
      </c>
      <c r="P267" s="136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-1376.857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INDEX('[4]Master Data'!$A$2:$B$8,MATCH(WEEKDAY('TBS CRD MTM'!A268,3),'[4]Master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0</v>
      </c>
      <c r="N268" s="112" t="n">
        <f aca="false">SUM(J$6:J268)</f>
        <v>-1376857</v>
      </c>
      <c r="P268" s="136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-1376.857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INDEX('[4]Master Data'!$A$2:$B$8,MATCH(WEEKDAY('TBS CRD MTM'!A269,3),'[4]Master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0</v>
      </c>
      <c r="N269" s="112" t="n">
        <f aca="false">SUM(J$6:J269)</f>
        <v>-1376857</v>
      </c>
      <c r="P269" s="136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-1376.857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INDEX('[4]Master Data'!$A$2:$B$8,MATCH(WEEKDAY('TBS CRD MTM'!A270,3),'[4]Master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0</v>
      </c>
      <c r="N270" s="112" t="n">
        <f aca="false">SUM(J$6:J270)</f>
        <v>-1376857</v>
      </c>
      <c r="P270" s="136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-1376.857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INDEX('[4]Master Data'!$A$2:$B$8,MATCH(WEEKDAY('TBS CRD MTM'!A271,3),'[4]Master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0</v>
      </c>
      <c r="N271" s="112" t="n">
        <f aca="false">SUM(J$6:J271)</f>
        <v>-1376857</v>
      </c>
      <c r="P271" s="136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-1376.857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INDEX('[4]Master Data'!$A$2:$B$8,MATCH(WEEKDAY('TBS CRD MTM'!A272,3),'[4]Master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0</v>
      </c>
      <c r="N272" s="112" t="n">
        <f aca="false">SUM(J$6:J272)</f>
        <v>-1376857</v>
      </c>
      <c r="P272" s="136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-1376.857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INDEX('[4]Master Data'!$A$2:$B$8,MATCH(WEEKDAY('TBS CRD MTM'!A273,3),'[4]Master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0</v>
      </c>
      <c r="N273" s="112" t="n">
        <f aca="false">SUM(J$6:J273)</f>
        <v>-1376857</v>
      </c>
      <c r="P273" s="136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-1376.857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INDEX('[4]Master Data'!$A$2:$B$8,MATCH(WEEKDAY('TBS CRD MTM'!A274,3),'[4]Master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0</v>
      </c>
      <c r="N274" s="112" t="n">
        <f aca="false">SUM(J$6:J274)</f>
        <v>-1376857</v>
      </c>
      <c r="P274" s="136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-1376.857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INDEX('[4]Master Data'!$A$2:$B$8,MATCH(WEEKDAY('TBS CRD MTM'!A275,3),'[4]Master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0</v>
      </c>
      <c r="N275" s="112" t="n">
        <f aca="false">SUM(J$6:J275)</f>
        <v>-1376857</v>
      </c>
      <c r="P275" s="136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-1376.857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INDEX('[4]Master Data'!$A$2:$B$8,MATCH(WEEKDAY('TBS CRD MTM'!A276,3),'[4]Master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0</v>
      </c>
      <c r="N276" s="112" t="n">
        <f aca="false">SUM(J$6:J276)</f>
        <v>-1376857</v>
      </c>
      <c r="P276" s="136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-1376.857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INDEX('[4]Master Data'!$A$2:$B$8,MATCH(WEEKDAY('TBS CRD MTM'!A277,3),'[4]Master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0</v>
      </c>
      <c r="N277" s="112" t="n">
        <f aca="false">SUM(J$6:J277)</f>
        <v>-1376857</v>
      </c>
      <c r="P277" s="136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-1376.857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INDEX('[4]Master Data'!$A$2:$B$8,MATCH(WEEKDAY('TBS CRD MTM'!A278,3),'[4]Master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0</v>
      </c>
      <c r="N278" s="112" t="n">
        <f aca="false">SUM(J$6:J278)</f>
        <v>-1376857</v>
      </c>
      <c r="P278" s="136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-1376.857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INDEX('[4]Master Data'!$A$2:$B$8,MATCH(WEEKDAY('TBS CRD MTM'!A279,3),'[4]Master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-1376857</v>
      </c>
      <c r="P279" s="136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-1376.857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INDEX('[4]Master Data'!$A$2:$B$8,MATCH(WEEKDAY('TBS CRD MTM'!A280,3),'[4]Master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-1376857</v>
      </c>
      <c r="P280" s="136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-1376.857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INDEX('[4]Master Data'!$A$2:$B$8,MATCH(WEEKDAY('TBS CRD MTM'!A281,3),'[4]Master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-1376857</v>
      </c>
      <c r="P281" s="136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-1376.857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INDEX('[4]Master Data'!$A$2:$B$8,MATCH(WEEKDAY('TBS CRD MTM'!A282,3),'[4]Master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-1376857</v>
      </c>
      <c r="P282" s="136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-1376.857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INDEX('[4]Master Data'!$A$2:$B$8,MATCH(WEEKDAY('TBS CRD MTM'!A283,3),'[4]Master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-1376857</v>
      </c>
      <c r="P283" s="136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-1376.857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INDEX('[4]Master Data'!$A$2:$B$8,MATCH(WEEKDAY('TBS CRD MTM'!A284,3),'[4]Master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-1376857</v>
      </c>
      <c r="P284" s="136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-1376.857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INDEX('[4]Master Data'!$A$2:$B$8,MATCH(WEEKDAY('TBS CRD MTM'!A285,3),'[4]Master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-1376857</v>
      </c>
      <c r="P285" s="136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-1376.857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INDEX('[4]Master Data'!$A$2:$B$8,MATCH(WEEKDAY('TBS CRD MTM'!A286,3),'[4]Master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-1376857</v>
      </c>
      <c r="P286" s="136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-1376.857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INDEX('[4]Master Data'!$A$2:$B$8,MATCH(WEEKDAY('TBS CRD MTM'!A287,3),'[4]Master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-1376857</v>
      </c>
      <c r="P287" s="136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-1376.857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INDEX('[4]Master Data'!$A$2:$B$8,MATCH(WEEKDAY('TBS CRD MTM'!A288,3),'[4]Master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-1376857</v>
      </c>
      <c r="P288" s="136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-1376.857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INDEX('[4]Master Data'!$A$2:$B$8,MATCH(WEEKDAY('TBS CRD MTM'!A289,3),'[4]Master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-1376857</v>
      </c>
      <c r="P289" s="136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-1376.857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INDEX('[4]Master Data'!$A$2:$B$8,MATCH(WEEKDAY('TBS CRD MTM'!A290,3),'[4]Master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-1376857</v>
      </c>
      <c r="P290" s="136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-1376.857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INDEX('[4]Master Data'!$A$2:$B$8,MATCH(WEEKDAY('TBS CRD MTM'!A291,3),'[4]Master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-1376857</v>
      </c>
      <c r="P291" s="136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-1376.857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INDEX('[4]Master Data'!$A$2:$B$8,MATCH(WEEKDAY('TBS CRD MTM'!A292,3),'[4]Master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-1376857</v>
      </c>
      <c r="P292" s="136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-1376.857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INDEX('[4]Master Data'!$A$2:$B$8,MATCH(WEEKDAY('TBS CRD MTM'!A293,3),'[4]Master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-1376857</v>
      </c>
      <c r="P293" s="136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-1376.857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INDEX('[4]Master Data'!$A$2:$B$8,MATCH(WEEKDAY('TBS CRD MTM'!A294,3),'[4]Master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-1376857</v>
      </c>
      <c r="P294" s="136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-1376.857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INDEX('[4]Master Data'!$A$2:$B$8,MATCH(WEEKDAY('TBS CRD MTM'!A295,3),'[4]Master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-1376857</v>
      </c>
      <c r="P295" s="136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-1376.857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INDEX('[4]Master Data'!$A$2:$B$8,MATCH(WEEKDAY('TBS CRD MTM'!A296,3),'[4]Master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-1376857</v>
      </c>
      <c r="P296" s="136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-1376.857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INDEX('[4]Master Data'!$A$2:$B$8,MATCH(WEEKDAY('TBS CRD MTM'!A297,3),'[4]Master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-1376857</v>
      </c>
      <c r="P297" s="136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-1376.857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INDEX('[4]Master Data'!$A$2:$B$8,MATCH(WEEKDAY('TBS CRD MTM'!A298,3),'[4]Master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-1376857</v>
      </c>
      <c r="P298" s="136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-1376.857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INDEX('[4]Master Data'!$A$2:$B$8,MATCH(WEEKDAY('TBS CRD MTM'!A299,3),'[4]Master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-1376857</v>
      </c>
      <c r="P299" s="136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-1376.857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INDEX('[4]Master Data'!$A$2:$B$8,MATCH(WEEKDAY('TBS CRD MTM'!A300,3),'[4]Master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-1376857</v>
      </c>
      <c r="P300" s="136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-1376.857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INDEX('[4]Master Data'!$A$2:$B$8,MATCH(WEEKDAY('TBS CRD MTM'!A301,3),'[4]Master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-1376857</v>
      </c>
      <c r="P301" s="136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-1376.857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INDEX('[4]Master Data'!$A$2:$B$8,MATCH(WEEKDAY('TBS CRD MTM'!A302,3),'[4]Master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-1376857</v>
      </c>
      <c r="P302" s="136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-1376.857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INDEX('[4]Master Data'!$A$2:$B$8,MATCH(WEEKDAY('TBS CRD MTM'!A303,3),'[4]Master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-1376857</v>
      </c>
      <c r="P303" s="136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-1376.857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INDEX('[4]Master Data'!$A$2:$B$8,MATCH(WEEKDAY('TBS CRD MTM'!A304,3),'[4]Master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-1376857</v>
      </c>
      <c r="P304" s="136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-1376.857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INDEX('[4]Master Data'!$A$2:$B$8,MATCH(WEEKDAY('TBS CRD MTM'!A305,3),'[4]Master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-1376857</v>
      </c>
      <c r="P305" s="136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-1376.857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INDEX('[4]Master Data'!$A$2:$B$8,MATCH(WEEKDAY('TBS CRD MTM'!A306,3),'[4]Master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-1376857</v>
      </c>
      <c r="P306" s="136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-1376.857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INDEX('[4]Master Data'!$A$2:$B$8,MATCH(WEEKDAY('TBS CRD MTM'!A307,3),'[4]Master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-1376857</v>
      </c>
      <c r="P307" s="136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-1376.857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INDEX('[4]Master Data'!$A$2:$B$8,MATCH(WEEKDAY('TBS CRD MTM'!A308,3),'[4]Master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-1376857</v>
      </c>
      <c r="P308" s="136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-1376.857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INDEX('[4]Master Data'!$A$2:$B$8,MATCH(WEEKDAY('TBS CRD MTM'!A309,3),'[4]Master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-1376857</v>
      </c>
      <c r="P309" s="136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-1376.857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INDEX('[4]Master Data'!$A$2:$B$8,MATCH(WEEKDAY('TBS CRD MTM'!A310,3),'[4]Master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-1376857</v>
      </c>
      <c r="P310" s="136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-1376.857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INDEX('[4]Master Data'!$A$2:$B$8,MATCH(WEEKDAY('TBS CRD MTM'!A311,3),'[4]Master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-1376857</v>
      </c>
      <c r="P311" s="136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-1376.857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INDEX('[4]Master Data'!$A$2:$B$8,MATCH(WEEKDAY('TBS CRD MTM'!A312,3),'[4]Master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-1376857</v>
      </c>
      <c r="P312" s="136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-1376.857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INDEX('[4]Master Data'!$A$2:$B$8,MATCH(WEEKDAY('TBS CRD MTM'!A313,3),'[4]Master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-1376857</v>
      </c>
      <c r="P313" s="136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-1376.857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INDEX('[4]Master Data'!$A$2:$B$8,MATCH(WEEKDAY('TBS CRD MTM'!A314,3),'[4]Master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-1376857</v>
      </c>
      <c r="P314" s="136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-1376.857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INDEX('[4]Master Data'!$A$2:$B$8,MATCH(WEEKDAY('TBS CRD MTM'!A315,3),'[4]Master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-1376857</v>
      </c>
      <c r="P315" s="136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-1376.857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INDEX('[4]Master Data'!$A$2:$B$8,MATCH(WEEKDAY('TBS CRD MTM'!A316,3),'[4]Master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-1376857</v>
      </c>
      <c r="P316" s="136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-1376.857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INDEX('[4]Master Data'!$A$2:$B$8,MATCH(WEEKDAY('TBS CRD MTM'!A317,3),'[4]Master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-1376857</v>
      </c>
      <c r="P317" s="136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-1376.857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INDEX('[4]Master Data'!$A$2:$B$8,MATCH(WEEKDAY('TBS CRD MTM'!A318,3),'[4]Master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-1376857</v>
      </c>
      <c r="P318" s="136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-1376.857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INDEX('[4]Master Data'!$A$2:$B$8,MATCH(WEEKDAY('TBS CRD MTM'!A319,3),'[4]Master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-1376857</v>
      </c>
      <c r="P319" s="136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-1376.857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INDEX('[4]Master Data'!$A$2:$B$8,MATCH(WEEKDAY('TBS CRD MTM'!A320,3),'[4]Master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-1376857</v>
      </c>
      <c r="P320" s="136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-1376.857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INDEX('[4]Master Data'!$A$2:$B$8,MATCH(WEEKDAY('TBS CRD MTM'!A321,3),'[4]Master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-1376857</v>
      </c>
      <c r="P321" s="136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-1376.857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INDEX('[4]Master Data'!$A$2:$B$8,MATCH(WEEKDAY('TBS CRD MTM'!A322,3),'[4]Master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-1376857</v>
      </c>
      <c r="P322" s="136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-1376.857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INDEX('[4]Master Data'!$A$2:$B$8,MATCH(WEEKDAY('TBS CRD MTM'!A323,3),'[4]Master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-1376857</v>
      </c>
      <c r="P323" s="136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-1376.857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INDEX('[4]Master Data'!$A$2:$B$8,MATCH(WEEKDAY('TBS CRD MTM'!A324,3),'[4]Master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-1376857</v>
      </c>
      <c r="P324" s="136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-1376.857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INDEX('[4]Master Data'!$A$2:$B$8,MATCH(WEEKDAY('TBS CRD MTM'!A325,3),'[4]Master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-1376857</v>
      </c>
      <c r="P325" s="136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-1376.857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INDEX('[4]Master Data'!$A$2:$B$8,MATCH(WEEKDAY('TBS CRD MTM'!A326,3),'[4]Master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-1376857</v>
      </c>
      <c r="P326" s="136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-1376.857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INDEX('[4]Master Data'!$A$2:$B$8,MATCH(WEEKDAY('TBS CRD MTM'!A327,3),'[4]Master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-1376857</v>
      </c>
      <c r="P327" s="136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-1376.857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INDEX('[4]Master Data'!$A$2:$B$8,MATCH(WEEKDAY('TBS CRD MTM'!A328,3),'[4]Master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-1376857</v>
      </c>
      <c r="P328" s="136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-1376.857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INDEX('[4]Master Data'!$A$2:$B$8,MATCH(WEEKDAY('TBS CRD MTM'!A329,3),'[4]Master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-1376857</v>
      </c>
      <c r="P329" s="136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-1376.857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INDEX('[4]Master Data'!$A$2:$B$8,MATCH(WEEKDAY('TBS CRD MTM'!A330,3),'[4]Master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-1376857</v>
      </c>
      <c r="P330" s="136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-1376.857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INDEX('[4]Master Data'!$A$2:$B$8,MATCH(WEEKDAY('TBS CRD MTM'!A331,3),'[4]Master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-1376857</v>
      </c>
      <c r="P331" s="136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-1376.857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INDEX('[4]Master Data'!$A$2:$B$8,MATCH(WEEKDAY('TBS CRD MTM'!A332,3),'[4]Master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-1376857</v>
      </c>
      <c r="P332" s="136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-1376.857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INDEX('[4]Master Data'!$A$2:$B$8,MATCH(WEEKDAY('TBS CRD MTM'!A333,3),'[4]Master Data'!$A$2:$A$8,0),2)</f>
        <v>Sa</v>
      </c>
      <c r="D333" s="112"/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-1376857</v>
      </c>
      <c r="P333" s="136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-1376.857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INDEX('[4]Master Data'!$A$2:$B$8,MATCH(WEEKDAY('TBS CRD MTM'!A334,3),'[4]Master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-1376857</v>
      </c>
      <c r="P334" s="136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-1376.857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INDEX('[4]Master Data'!$A$2:$B$8,MATCH(WEEKDAY('TBS CRD MTM'!A335,3),'[4]Master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-1376857</v>
      </c>
      <c r="P335" s="136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-1376.857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INDEX('[4]Master Data'!$A$2:$B$8,MATCH(WEEKDAY('TBS CRD MTM'!A336,3),'[4]Master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-1376857</v>
      </c>
      <c r="P336" s="136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-1376.857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INDEX('[4]Master Data'!$A$2:$B$8,MATCH(WEEKDAY('TBS CRD MTM'!A337,3),'[4]Master Data'!$A$2:$A$8,0),2)</f>
        <v>W</v>
      </c>
      <c r="D337" s="112" t="n">
        <v>-376</v>
      </c>
      <c r="E337" s="112" t="n">
        <v>0</v>
      </c>
      <c r="F337" s="112" t="n">
        <v>0</v>
      </c>
      <c r="G337" s="112" t="n">
        <v>-242600</v>
      </c>
      <c r="I337" s="112" t="n">
        <f aca="false">IF(MONTH($A337)=MONTH($A336),IF(G337=0,I336,G337),G337)</f>
        <v>-242600</v>
      </c>
      <c r="J337" s="112" t="n">
        <f aca="false">IF(MONTH($A337)=MONTH($A336),SUM(I337-I336),I337)</f>
        <v>-242600</v>
      </c>
      <c r="K337" s="112" t="n">
        <f aca="false">IF(WEEKDAY(A337,3)&gt;4,0,(IF(A337&lt;K$2,0,IF(A337&lt;=K$3,1,0))))</f>
        <v>0</v>
      </c>
      <c r="L337" s="112" t="n">
        <f aca="false">J337*K337</f>
        <v>-0</v>
      </c>
      <c r="M337" s="112" t="n">
        <f aca="false">SUM(J$280:J337)</f>
        <v>-242600</v>
      </c>
      <c r="N337" s="112" t="n">
        <f aca="false">SUM(J$6:J337)</f>
        <v>-1619457</v>
      </c>
      <c r="P337" s="136" t="n">
        <f aca="false">D337/P$3</f>
        <v>-0.376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-242.6</v>
      </c>
      <c r="T337" s="114" t="n">
        <f aca="false">L337/$R$3</f>
        <v>-0</v>
      </c>
      <c r="U337" s="114" t="n">
        <f aca="false">I337/$R$3</f>
        <v>-242.6</v>
      </c>
      <c r="V337" s="114" t="n">
        <f aca="false">M337/$R$3</f>
        <v>-242.6</v>
      </c>
      <c r="W337" s="114" t="n">
        <f aca="false">N337/$R$3</f>
        <v>-1619.457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INDEX('[4]Master Data'!$A$2:$B$8,MATCH(WEEKDAY('TBS CRD MTM'!A338,3),'[4]Master Data'!$A$2:$A$8,0),2)</f>
        <v>Th</v>
      </c>
      <c r="D338" s="112" t="n">
        <v>-385</v>
      </c>
      <c r="E338" s="112" t="n">
        <v>0</v>
      </c>
      <c r="F338" s="112" t="n">
        <v>0</v>
      </c>
      <c r="G338" s="112" t="n">
        <v>-222159</v>
      </c>
      <c r="I338" s="112" t="n">
        <f aca="false">IF(MONTH($A338)=MONTH($A337),IF(G338=0,I337,G338),G338)</f>
        <v>-222159</v>
      </c>
      <c r="J338" s="112" t="n">
        <f aca="false">IF(MONTH($A338)=MONTH($A337),SUM(I338-I337),I338)</f>
        <v>20441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-222159</v>
      </c>
      <c r="N338" s="112" t="n">
        <f aca="false">SUM(J$6:J338)</f>
        <v>-1599016</v>
      </c>
      <c r="P338" s="136" t="n">
        <f aca="false">D338/P$3</f>
        <v>-0.385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20.441</v>
      </c>
      <c r="T338" s="114" t="n">
        <f aca="false">L338/$R$3</f>
        <v>0</v>
      </c>
      <c r="U338" s="114" t="n">
        <f aca="false">I338/$R$3</f>
        <v>-222.159</v>
      </c>
      <c r="V338" s="114" t="n">
        <f aca="false">M338/$R$3</f>
        <v>-222.159</v>
      </c>
      <c r="W338" s="114" t="n">
        <f aca="false">N338/$R$3</f>
        <v>-1599.016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INDEX('[4]Master Data'!$A$2:$B$8,MATCH(WEEKDAY('TBS CRD MTM'!A339,3),'[4]Master Data'!$A$2:$A$8,0),2)</f>
        <v>F</v>
      </c>
      <c r="D339" s="112" t="n">
        <v>-380</v>
      </c>
      <c r="E339" s="112" t="n">
        <v>0</v>
      </c>
      <c r="F339" s="112" t="n">
        <v>0</v>
      </c>
      <c r="G339" s="112" t="n">
        <v>-304011</v>
      </c>
      <c r="I339" s="112" t="n">
        <f aca="false">IF(MONTH($A339)=MONTH($A338),IF(G339=0,I338,G339),G339)</f>
        <v>-304011</v>
      </c>
      <c r="J339" s="112" t="n">
        <f aca="false">IF(MONTH($A339)=MONTH($A338),SUM(I339-I338),I339)</f>
        <v>-81852</v>
      </c>
      <c r="K339" s="112" t="n">
        <f aca="false">IF(WEEKDAY(A339,3)&gt;4,0,(IF(A339&lt;K$2,0,IF(A339&lt;=K$3,1,0))))</f>
        <v>0</v>
      </c>
      <c r="L339" s="112" t="n">
        <f aca="false">J339*K339</f>
        <v>-0</v>
      </c>
      <c r="M339" s="112" t="n">
        <f aca="false">SUM(J$280:J339)</f>
        <v>-304011</v>
      </c>
      <c r="N339" s="112" t="n">
        <f aca="false">SUM(J$6:J339)</f>
        <v>-1680868</v>
      </c>
      <c r="P339" s="136" t="n">
        <f aca="false">D339/P$3</f>
        <v>-0.38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-81.852</v>
      </c>
      <c r="T339" s="114" t="n">
        <f aca="false">L339/$R$3</f>
        <v>-0</v>
      </c>
      <c r="U339" s="114" t="n">
        <f aca="false">I339/$R$3</f>
        <v>-304.011</v>
      </c>
      <c r="V339" s="114" t="n">
        <f aca="false">M339/$R$3</f>
        <v>-304.011</v>
      </c>
      <c r="W339" s="114" t="n">
        <f aca="false">N339/$R$3</f>
        <v>-1680.868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INDEX('[4]Master Data'!$A$2:$B$8,MATCH(WEEKDAY('TBS CRD MTM'!A340,3),'[4]Master Data'!$A$2:$A$8,0),2)</f>
        <v>Sa</v>
      </c>
      <c r="D340" s="112" t="n">
        <v>-391</v>
      </c>
      <c r="E340" s="112" t="n">
        <v>0</v>
      </c>
      <c r="F340" s="112" t="n">
        <v>0</v>
      </c>
      <c r="G340" s="112" t="n">
        <v>-289336</v>
      </c>
      <c r="I340" s="112" t="n">
        <f aca="false">IF(MONTH($A340)=MONTH($A339),IF(G340=0,I339,G340),G340)</f>
        <v>-289336</v>
      </c>
      <c r="J340" s="112" t="n">
        <f aca="false">IF(MONTH($A340)=MONTH($A339),SUM(I340-I339),I340)</f>
        <v>-289336</v>
      </c>
      <c r="K340" s="112" t="n">
        <f aca="false">IF(WEEKDAY(A340,3)&gt;4,0,(IF(A340&lt;K$2,0,IF(A340&lt;=K$3,1,0))))</f>
        <v>0</v>
      </c>
      <c r="L340" s="112" t="n">
        <f aca="false">J340*K340</f>
        <v>-0</v>
      </c>
      <c r="M340" s="112" t="n">
        <f aca="false">SUM(J$280:J340)</f>
        <v>-593347</v>
      </c>
      <c r="N340" s="112" t="n">
        <f aca="false">SUM(J$6:J340)</f>
        <v>-1970204</v>
      </c>
      <c r="P340" s="136" t="n">
        <f aca="false">D340/P$3</f>
        <v>-0.391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-289.336</v>
      </c>
      <c r="T340" s="114" t="n">
        <f aca="false">L340/$R$3</f>
        <v>-0</v>
      </c>
      <c r="U340" s="114" t="n">
        <f aca="false">I340/$R$3</f>
        <v>-289.336</v>
      </c>
      <c r="V340" s="114" t="n">
        <f aca="false">M340/$R$3</f>
        <v>-593.347</v>
      </c>
      <c r="W340" s="114" t="n">
        <f aca="false">N340/$R$3</f>
        <v>-1970.204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INDEX('[4]Master Data'!$A$2:$B$8,MATCH(WEEKDAY('TBS CRD MTM'!A341,3),'[4]Master Data'!$A$2:$A$8,0),2)</f>
        <v>Su</v>
      </c>
      <c r="D341" s="112" t="n">
        <v>-421</v>
      </c>
      <c r="E341" s="112" t="n">
        <v>0</v>
      </c>
      <c r="F341" s="112" t="n">
        <v>0</v>
      </c>
      <c r="G341" s="112" t="n">
        <v>-110594</v>
      </c>
      <c r="I341" s="112" t="n">
        <f aca="false">IF(MONTH($A341)=MONTH($A340),IF(G341=0,I340,G341),G341)</f>
        <v>-110594</v>
      </c>
      <c r="J341" s="112" t="n">
        <f aca="false">IF(MONTH($A341)=MONTH($A340),SUM(I341-I340),I341)</f>
        <v>178742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-414605</v>
      </c>
      <c r="N341" s="112" t="n">
        <f aca="false">SUM(J$6:J341)</f>
        <v>-1791462</v>
      </c>
      <c r="P341" s="136" t="n">
        <f aca="false">D341/P$3</f>
        <v>-0.421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178.742</v>
      </c>
      <c r="T341" s="114" t="n">
        <f aca="false">L341/$R$3</f>
        <v>0</v>
      </c>
      <c r="U341" s="114" t="n">
        <f aca="false">I341/$R$3</f>
        <v>-110.594</v>
      </c>
      <c r="V341" s="114" t="n">
        <f aca="false">M341/$R$3</f>
        <v>-414.605</v>
      </c>
      <c r="W341" s="114" t="n">
        <f aca="false">N341/$R$3</f>
        <v>-1791.462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INDEX('[4]Master Data'!$A$2:$B$8,MATCH(WEEKDAY('TBS CRD MTM'!A342,3),'[4]Master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-110594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-414605</v>
      </c>
      <c r="N342" s="112" t="n">
        <f aca="false">SUM(J$6:J342)</f>
        <v>-1791462</v>
      </c>
      <c r="P342" s="136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-110.594</v>
      </c>
      <c r="V342" s="114" t="n">
        <f aca="false">M342/$R$3</f>
        <v>-414.605</v>
      </c>
      <c r="W342" s="114" t="n">
        <f aca="false">N342/$R$3</f>
        <v>-1791.462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INDEX('[4]Master Data'!$A$2:$B$8,MATCH(WEEKDAY('TBS CRD MTM'!A343,3),'[4]Master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-110594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-414605</v>
      </c>
      <c r="N343" s="112" t="n">
        <f aca="false">SUM(J$6:J343)</f>
        <v>-1791462</v>
      </c>
      <c r="P343" s="136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-110.594</v>
      </c>
      <c r="V343" s="114" t="n">
        <f aca="false">M343/$R$3</f>
        <v>-414.605</v>
      </c>
      <c r="W343" s="114" t="n">
        <f aca="false">N343/$R$3</f>
        <v>-1791.462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INDEX('[4]Master Data'!$A$2:$B$8,MATCH(WEEKDAY('TBS CRD MTM'!A344,3),'[4]Master Data'!$A$2:$A$8,0),2)</f>
        <v>W</v>
      </c>
      <c r="D344" s="112" t="n">
        <v>-337</v>
      </c>
      <c r="E344" s="112" t="n">
        <v>0</v>
      </c>
      <c r="F344" s="112" t="n">
        <v>0</v>
      </c>
      <c r="G344" s="112" t="n">
        <v>-290893</v>
      </c>
      <c r="I344" s="112" t="n">
        <f aca="false">IF(MONTH($A344)=MONTH($A343),IF(G344=0,I343,G344),G344)</f>
        <v>-290893</v>
      </c>
      <c r="J344" s="112" t="n">
        <f aca="false">IF(MONTH($A344)=MONTH($A343),SUM(I344-I343),I344)</f>
        <v>-180299</v>
      </c>
      <c r="K344" s="112" t="n">
        <f aca="false">IF(WEEKDAY(A344,3)&gt;4,0,(IF(A344&lt;K$2,0,IF(A344&lt;=K$3,1,0))))</f>
        <v>0</v>
      </c>
      <c r="L344" s="112" t="n">
        <f aca="false">J344*K344</f>
        <v>-0</v>
      </c>
      <c r="M344" s="112" t="n">
        <f aca="false">SUM(J$280:J344)</f>
        <v>-594904</v>
      </c>
      <c r="N344" s="112" t="n">
        <f aca="false">SUM(J$6:J344)</f>
        <v>-1971761</v>
      </c>
      <c r="P344" s="136" t="n">
        <f aca="false">D344/P$3</f>
        <v>-0.337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-180.299</v>
      </c>
      <c r="T344" s="114" t="n">
        <f aca="false">L344/$R$3</f>
        <v>-0</v>
      </c>
      <c r="U344" s="114" t="n">
        <f aca="false">I344/$R$3</f>
        <v>-290.893</v>
      </c>
      <c r="V344" s="114" t="n">
        <f aca="false">M344/$R$3</f>
        <v>-594.904</v>
      </c>
      <c r="W344" s="114" t="n">
        <f aca="false">N344/$R$3</f>
        <v>-1971.761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INDEX('[4]Master Data'!$A$2:$B$8,MATCH(WEEKDAY('TBS CRD MTM'!A345,3),'[4]Master Data'!$A$2:$A$8,0),2)</f>
        <v>Th</v>
      </c>
      <c r="D345" s="112" t="n">
        <v>-345</v>
      </c>
      <c r="E345" s="112" t="n">
        <v>0</v>
      </c>
      <c r="F345" s="112" t="n">
        <v>0</v>
      </c>
      <c r="G345" s="112" t="n">
        <v>-322466</v>
      </c>
      <c r="I345" s="112" t="n">
        <f aca="false">IF(MONTH($A345)=MONTH($A344),IF(G345=0,I344,G345),G345)</f>
        <v>-322466</v>
      </c>
      <c r="J345" s="112" t="n">
        <f aca="false">IF(MONTH($A345)=MONTH($A344),SUM(I345-I344),I345)</f>
        <v>-31573</v>
      </c>
      <c r="K345" s="112" t="n">
        <f aca="false">IF(WEEKDAY(A345,3)&gt;4,0,(IF(A345&lt;K$2,0,IF(A345&lt;=K$3,1,0))))</f>
        <v>0</v>
      </c>
      <c r="L345" s="112" t="n">
        <f aca="false">J345*K345</f>
        <v>-0</v>
      </c>
      <c r="M345" s="112" t="n">
        <f aca="false">SUM(J$280:J345)</f>
        <v>-626477</v>
      </c>
      <c r="N345" s="112" t="n">
        <f aca="false">SUM(J$6:J345)</f>
        <v>-2003334</v>
      </c>
      <c r="P345" s="136" t="n">
        <f aca="false">D345/P$3</f>
        <v>-0.345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-31.573</v>
      </c>
      <c r="T345" s="114" t="n">
        <f aca="false">L345/$R$3</f>
        <v>-0</v>
      </c>
      <c r="U345" s="114" t="n">
        <f aca="false">I345/$R$3</f>
        <v>-322.466</v>
      </c>
      <c r="V345" s="114" t="n">
        <f aca="false">M345/$R$3</f>
        <v>-626.477</v>
      </c>
      <c r="W345" s="114" t="n">
        <f aca="false">N345/$R$3</f>
        <v>-2003.334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INDEX('[4]Master Data'!$A$2:$B$8,MATCH(WEEKDAY('TBS CRD MTM'!A346,3),'[4]Master Data'!$A$2:$A$8,0),2)</f>
        <v>F</v>
      </c>
      <c r="D346" s="112" t="n">
        <v>-339</v>
      </c>
      <c r="E346" s="112" t="n">
        <v>0</v>
      </c>
      <c r="F346" s="112" t="n">
        <v>0</v>
      </c>
      <c r="G346" s="112" t="n">
        <v>-467699</v>
      </c>
      <c r="I346" s="112" t="n">
        <f aca="false">IF(MONTH($A346)=MONTH($A345),IF(G346=0,I345,G346),G346)</f>
        <v>-467699</v>
      </c>
      <c r="J346" s="112" t="n">
        <f aca="false">IF(MONTH($A346)=MONTH($A345),SUM(I346-I345),I346)</f>
        <v>-145233</v>
      </c>
      <c r="K346" s="112" t="n">
        <f aca="false">IF(WEEKDAY(A346,3)&gt;4,0,(IF(A346&lt;K$2,0,IF(A346&lt;=K$3,1,0))))</f>
        <v>0</v>
      </c>
      <c r="L346" s="112" t="n">
        <f aca="false">J346*K346</f>
        <v>-0</v>
      </c>
      <c r="M346" s="112" t="n">
        <f aca="false">SUM(J$280:J346)</f>
        <v>-771710</v>
      </c>
      <c r="N346" s="112" t="n">
        <f aca="false">SUM(J$6:J346)</f>
        <v>-2148567</v>
      </c>
      <c r="P346" s="136" t="n">
        <f aca="false">D346/P$3</f>
        <v>-0.339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-145.233</v>
      </c>
      <c r="T346" s="114" t="n">
        <f aca="false">L346/$R$3</f>
        <v>-0</v>
      </c>
      <c r="U346" s="114" t="n">
        <f aca="false">I346/$R$3</f>
        <v>-467.699</v>
      </c>
      <c r="V346" s="114" t="n">
        <f aca="false">M346/$R$3</f>
        <v>-771.71</v>
      </c>
      <c r="W346" s="114" t="n">
        <f aca="false">N346/$R$3</f>
        <v>-2148.567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INDEX('[4]Master Data'!$A$2:$B$8,MATCH(WEEKDAY('TBS CRD MTM'!A347,3),'[4]Master Data'!$A$2:$A$8,0),2)</f>
        <v>Sa</v>
      </c>
      <c r="D347" s="112" t="n">
        <v>-353</v>
      </c>
      <c r="E347" s="112" t="n">
        <v>0</v>
      </c>
      <c r="F347" s="112" t="n">
        <v>0</v>
      </c>
      <c r="G347" s="112" t="n">
        <v>-244483</v>
      </c>
      <c r="I347" s="112" t="n">
        <f aca="false">IF(MONTH($A347)=MONTH($A346),IF(G347=0,I346,G347),G347)</f>
        <v>-244483</v>
      </c>
      <c r="J347" s="112" t="n">
        <f aca="false">IF(MONTH($A347)=MONTH($A346),SUM(I347-I346),I347)</f>
        <v>223216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-548494</v>
      </c>
      <c r="N347" s="112" t="n">
        <f aca="false">SUM(J$6:J347)</f>
        <v>-1925351</v>
      </c>
      <c r="P347" s="136" t="n">
        <f aca="false">D347/P$3</f>
        <v>-0.353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223.216</v>
      </c>
      <c r="T347" s="114" t="n">
        <f aca="false">L347/$R$3</f>
        <v>0</v>
      </c>
      <c r="U347" s="114" t="n">
        <f aca="false">I347/$R$3</f>
        <v>-244.483</v>
      </c>
      <c r="V347" s="114" t="n">
        <f aca="false">M347/$R$3</f>
        <v>-548.494</v>
      </c>
      <c r="W347" s="114" t="n">
        <f aca="false">N347/$R$3</f>
        <v>-1925.351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INDEX('[4]Master Data'!$A$2:$B$8,MATCH(WEEKDAY('TBS CRD MTM'!A348,3),'[4]Master Data'!$A$2:$A$8,0),2)</f>
        <v>Su</v>
      </c>
      <c r="D348" s="112" t="n">
        <v>-335</v>
      </c>
      <c r="E348" s="112" t="n">
        <v>0</v>
      </c>
      <c r="F348" s="112" t="n">
        <v>0</v>
      </c>
      <c r="G348" s="112" t="n">
        <v>-290514</v>
      </c>
      <c r="I348" s="112" t="n">
        <f aca="false">IF(MONTH($A348)=MONTH($A347),IF(G348=0,I347,G348),G348)</f>
        <v>-290514</v>
      </c>
      <c r="J348" s="112" t="n">
        <f aca="false">IF(MONTH($A348)=MONTH($A347),SUM(I348-I347),I348)</f>
        <v>-46031</v>
      </c>
      <c r="K348" s="112" t="n">
        <f aca="false">IF(WEEKDAY(A348,3)&gt;4,0,(IF(A348&lt;K$2,0,IF(A348&lt;=K$3,1,0))))</f>
        <v>0</v>
      </c>
      <c r="L348" s="112" t="n">
        <f aca="false">J348*K348</f>
        <v>-0</v>
      </c>
      <c r="M348" s="112" t="n">
        <f aca="false">SUM(J$280:J348)</f>
        <v>-594525</v>
      </c>
      <c r="N348" s="112" t="n">
        <f aca="false">SUM(J$6:J348)</f>
        <v>-1971382</v>
      </c>
      <c r="P348" s="136" t="n">
        <f aca="false">D348/P$3</f>
        <v>-0.335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-46.031</v>
      </c>
      <c r="T348" s="114" t="n">
        <f aca="false">L348/$R$3</f>
        <v>-0</v>
      </c>
      <c r="U348" s="114" t="n">
        <f aca="false">I348/$R$3</f>
        <v>-290.514</v>
      </c>
      <c r="V348" s="114" t="n">
        <f aca="false">M348/$R$3</f>
        <v>-594.525</v>
      </c>
      <c r="W348" s="114" t="n">
        <f aca="false">N348/$R$3</f>
        <v>-1971.382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INDEX('[4]Master Data'!$A$2:$B$8,MATCH(WEEKDAY('TBS CRD MTM'!A349,3),'[4]Master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-290514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-594525</v>
      </c>
      <c r="N349" s="112" t="n">
        <f aca="false">SUM(J$6:J349)</f>
        <v>-1971382</v>
      </c>
      <c r="P349" s="136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-290.514</v>
      </c>
      <c r="V349" s="114" t="n">
        <f aca="false">M349/$R$3</f>
        <v>-594.525</v>
      </c>
      <c r="W349" s="114" t="n">
        <f aca="false">N349/$R$3</f>
        <v>-1971.382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INDEX('[4]Master Data'!$A$2:$B$8,MATCH(WEEKDAY('TBS CRD MTM'!A350,3),'[4]Master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-290514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-594525</v>
      </c>
      <c r="N350" s="112" t="n">
        <f aca="false">SUM(J$6:J350)</f>
        <v>-1971382</v>
      </c>
      <c r="P350" s="136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-290.514</v>
      </c>
      <c r="V350" s="114" t="n">
        <f aca="false">M350/$R$3</f>
        <v>-594.525</v>
      </c>
      <c r="W350" s="114" t="n">
        <f aca="false">N350/$R$3</f>
        <v>-1971.382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INDEX('[4]Master Data'!$A$2:$B$8,MATCH(WEEKDAY('TBS CRD MTM'!A351,3),'[4]Master Data'!$A$2:$A$8,0),2)</f>
        <v>W</v>
      </c>
      <c r="D351" s="112" t="n">
        <v>-321</v>
      </c>
      <c r="E351" s="112" t="n">
        <v>0</v>
      </c>
      <c r="F351" s="112" t="n">
        <v>0</v>
      </c>
      <c r="G351" s="112" t="n">
        <v>-387110</v>
      </c>
      <c r="I351" s="112" t="n">
        <f aca="false">IF(MONTH($A351)=MONTH($A350),IF(G351=0,I350,G351),G351)</f>
        <v>-387110</v>
      </c>
      <c r="J351" s="112" t="n">
        <f aca="false">IF(MONTH($A351)=MONTH($A350),SUM(I351-I350),I351)</f>
        <v>-96596</v>
      </c>
      <c r="K351" s="112" t="n">
        <f aca="false">IF(WEEKDAY(A351,3)&gt;4,0,(IF(A351&lt;K$2,0,IF(A351&lt;=K$3,1,0))))</f>
        <v>0</v>
      </c>
      <c r="L351" s="112" t="n">
        <f aca="false">J351*K351</f>
        <v>-0</v>
      </c>
      <c r="M351" s="112" t="n">
        <f aca="false">SUM(J$280:J351)</f>
        <v>-691121</v>
      </c>
      <c r="N351" s="112" t="n">
        <f aca="false">SUM(J$6:J351)</f>
        <v>-2067978</v>
      </c>
      <c r="P351" s="136" t="n">
        <f aca="false">D351/P$3</f>
        <v>-0.321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-96.596</v>
      </c>
      <c r="T351" s="114" t="n">
        <f aca="false">L351/$R$3</f>
        <v>-0</v>
      </c>
      <c r="U351" s="114" t="n">
        <f aca="false">I351/$R$3</f>
        <v>-387.11</v>
      </c>
      <c r="V351" s="114" t="n">
        <f aca="false">M351/$R$3</f>
        <v>-691.121</v>
      </c>
      <c r="W351" s="114" t="n">
        <f aca="false">N351/$R$3</f>
        <v>-2067.978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INDEX('[4]Master Data'!$A$2:$B$8,MATCH(WEEKDAY('TBS CRD MTM'!A352,3),'[4]Master Data'!$A$2:$A$8,0),2)</f>
        <v>Th</v>
      </c>
      <c r="D352" s="112" t="n">
        <v>-321</v>
      </c>
      <c r="E352" s="112" t="n">
        <v>0</v>
      </c>
      <c r="F352" s="112" t="n">
        <v>0</v>
      </c>
      <c r="G352" s="112" t="n">
        <v>-438706</v>
      </c>
      <c r="I352" s="112" t="n">
        <f aca="false">IF(MONTH($A352)=MONTH($A351),IF(G352=0,I351,G352),G352)</f>
        <v>-438706</v>
      </c>
      <c r="J352" s="112" t="n">
        <f aca="false">IF(MONTH($A352)=MONTH($A351),SUM(I352-I351),I352)</f>
        <v>-51596</v>
      </c>
      <c r="K352" s="112" t="n">
        <f aca="false">IF(WEEKDAY(A352,3)&gt;4,0,(IF(A352&lt;K$2,0,IF(A352&lt;=K$3,1,0))))</f>
        <v>0</v>
      </c>
      <c r="L352" s="112" t="n">
        <f aca="false">J352*K352</f>
        <v>-0</v>
      </c>
      <c r="M352" s="112" t="n">
        <f aca="false">SUM(J$280:J352)</f>
        <v>-742717</v>
      </c>
      <c r="N352" s="112" t="n">
        <f aca="false">SUM(J$6:J352)</f>
        <v>-2119574</v>
      </c>
      <c r="P352" s="136" t="n">
        <f aca="false">D352/P$3</f>
        <v>-0.321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-51.596</v>
      </c>
      <c r="T352" s="114" t="n">
        <f aca="false">L352/$R$3</f>
        <v>-0</v>
      </c>
      <c r="U352" s="114" t="n">
        <f aca="false">I352/$R$3</f>
        <v>-438.706</v>
      </c>
      <c r="V352" s="114" t="n">
        <f aca="false">M352/$R$3</f>
        <v>-742.717</v>
      </c>
      <c r="W352" s="114" t="n">
        <f aca="false">N352/$R$3</f>
        <v>-2119.574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INDEX('[4]Master Data'!$A$2:$B$8,MATCH(WEEKDAY('TBS CRD MTM'!A353,3),'[4]Master Data'!$A$2:$A$8,0),2)</f>
        <v>F</v>
      </c>
      <c r="D353" s="112" t="n">
        <v>-371</v>
      </c>
      <c r="E353" s="112" t="n">
        <v>0</v>
      </c>
      <c r="F353" s="112" t="n">
        <v>0</v>
      </c>
      <c r="G353" s="112" t="n">
        <v>-15538</v>
      </c>
      <c r="I353" s="112" t="n">
        <f aca="false">IF(MONTH($A353)=MONTH($A352),IF(G353=0,I352,G353),G353)</f>
        <v>-15538</v>
      </c>
      <c r="J353" s="112" t="n">
        <f aca="false">IF(MONTH($A353)=MONTH($A352),SUM(I353-I352),I353)</f>
        <v>423168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-319549</v>
      </c>
      <c r="N353" s="112" t="n">
        <f aca="false">SUM(J$6:J353)</f>
        <v>-1696406</v>
      </c>
      <c r="P353" s="136" t="n">
        <f aca="false">D353/P$3</f>
        <v>-0.371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423.168</v>
      </c>
      <c r="T353" s="114" t="n">
        <f aca="false">L353/$R$3</f>
        <v>0</v>
      </c>
      <c r="U353" s="114" t="n">
        <f aca="false">I353/$R$3</f>
        <v>-15.538</v>
      </c>
      <c r="V353" s="114" t="n">
        <f aca="false">M353/$R$3</f>
        <v>-319.549</v>
      </c>
      <c r="W353" s="114" t="n">
        <f aca="false">N353/$R$3</f>
        <v>-1696.406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INDEX('[4]Master Data'!$A$2:$B$8,MATCH(WEEKDAY('TBS CRD MTM'!A354,3),'[4]Master Data'!$A$2:$A$8,0),2)</f>
        <v>Sa</v>
      </c>
      <c r="D354" s="112" t="n">
        <v>-395</v>
      </c>
      <c r="E354" s="112" t="n">
        <v>0</v>
      </c>
      <c r="F354" s="112" t="n">
        <v>0</v>
      </c>
      <c r="G354" s="112" t="n">
        <v>171702</v>
      </c>
      <c r="I354" s="112" t="n">
        <f aca="false">IF(MONTH($A354)=MONTH($A353),IF(G354=0,I353,G354),G354)</f>
        <v>171702</v>
      </c>
      <c r="J354" s="112" t="n">
        <f aca="false">IF(MONTH($A354)=MONTH($A353),SUM(I354-I353),I354)</f>
        <v>187240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-132309</v>
      </c>
      <c r="N354" s="112" t="n">
        <f aca="false">SUM(J$6:J354)</f>
        <v>-1509166</v>
      </c>
      <c r="P354" s="136" t="n">
        <f aca="false">D354/P$3</f>
        <v>-0.395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187.24</v>
      </c>
      <c r="T354" s="114" t="n">
        <f aca="false">L354/$R$3</f>
        <v>0</v>
      </c>
      <c r="U354" s="114" t="n">
        <f aca="false">I354/$R$3</f>
        <v>171.702</v>
      </c>
      <c r="V354" s="114" t="n">
        <f aca="false">M354/$R$3</f>
        <v>-132.309</v>
      </c>
      <c r="W354" s="114" t="n">
        <f aca="false">N354/$R$3</f>
        <v>-1509.166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INDEX('[4]Master Data'!$A$2:$B$8,MATCH(WEEKDAY('TBS CRD MTM'!A355,3),'[4]Master Data'!$A$2:$A$8,0),2)</f>
        <v>Su</v>
      </c>
      <c r="D355" s="112" t="n">
        <v>-380</v>
      </c>
      <c r="E355" s="112" t="n">
        <v>0</v>
      </c>
      <c r="F355" s="112" t="n">
        <v>0</v>
      </c>
      <c r="G355" s="112" t="n">
        <v>9473</v>
      </c>
      <c r="I355" s="112" t="n">
        <f aca="false">IF(MONTH($A355)=MONTH($A354),IF(G355=0,I354,G355),G355)</f>
        <v>9473</v>
      </c>
      <c r="J355" s="112" t="n">
        <f aca="false">IF(MONTH($A355)=MONTH($A354),SUM(I355-I354),I355)</f>
        <v>-162229</v>
      </c>
      <c r="K355" s="112" t="n">
        <f aca="false">IF(WEEKDAY(A355,3)&gt;4,0,(IF(A355&lt;K$2,0,IF(A355&lt;=K$3,1,0))))</f>
        <v>0</v>
      </c>
      <c r="L355" s="112" t="n">
        <f aca="false">J355*K355</f>
        <v>-0</v>
      </c>
      <c r="M355" s="112" t="n">
        <f aca="false">SUM(J$280:J355)</f>
        <v>-294538</v>
      </c>
      <c r="N355" s="112" t="n">
        <f aca="false">SUM(J$6:J355)</f>
        <v>-1671395</v>
      </c>
      <c r="P355" s="136" t="n">
        <f aca="false">D355/P$3</f>
        <v>-0.38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-162.229</v>
      </c>
      <c r="T355" s="114" t="n">
        <f aca="false">L355/$R$3</f>
        <v>-0</v>
      </c>
      <c r="U355" s="114" t="n">
        <f aca="false">I355/$R$3</f>
        <v>9.473</v>
      </c>
      <c r="V355" s="114" t="n">
        <f aca="false">M355/$R$3</f>
        <v>-294.538</v>
      </c>
      <c r="W355" s="114" t="n">
        <f aca="false">N355/$R$3</f>
        <v>-1671.395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INDEX('[4]Master Data'!$A$2:$B$8,MATCH(WEEKDAY('TBS CRD MTM'!A356,3),'[4]Master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9473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-294538</v>
      </c>
      <c r="N356" s="112" t="n">
        <f aca="false">SUM(J$6:J356)</f>
        <v>-1671395</v>
      </c>
      <c r="P356" s="136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9.473</v>
      </c>
      <c r="V356" s="114" t="n">
        <f aca="false">M356/$R$3</f>
        <v>-294.538</v>
      </c>
      <c r="W356" s="114" t="n">
        <f aca="false">N356/$R$3</f>
        <v>-1671.395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INDEX('[4]Master Data'!$A$2:$B$8,MATCH(WEEKDAY('TBS CRD MTM'!A357,3),'[4]Master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9473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-294538</v>
      </c>
      <c r="N357" s="112" t="n">
        <f aca="false">SUM(J$6:J357)</f>
        <v>-1671395</v>
      </c>
      <c r="P357" s="136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9.473</v>
      </c>
      <c r="V357" s="114" t="n">
        <f aca="false">M357/$R$3</f>
        <v>-294.538</v>
      </c>
      <c r="W357" s="114" t="n">
        <f aca="false">N357/$R$3</f>
        <v>-1671.395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INDEX('[4]Master Data'!$A$2:$B$8,MATCH(WEEKDAY('TBS CRD MTM'!A358,3),'[4]Master Data'!$A$2:$A$8,0),2)</f>
        <v>W</v>
      </c>
      <c r="D358" s="112" t="n">
        <v>-369</v>
      </c>
      <c r="E358" s="112" t="n">
        <v>0</v>
      </c>
      <c r="F358" s="112" t="n">
        <v>0</v>
      </c>
      <c r="G358" s="112" t="n">
        <v>-92642</v>
      </c>
      <c r="I358" s="112" t="n">
        <f aca="false">IF(MONTH($A358)=MONTH($A357),IF(G358=0,I357,G358),G358)</f>
        <v>-92642</v>
      </c>
      <c r="J358" s="112" t="n">
        <f aca="false">IF(MONTH($A358)=MONTH($A357),SUM(I358-I357),I358)</f>
        <v>-102115</v>
      </c>
      <c r="K358" s="112" t="n">
        <f aca="false">IF(WEEKDAY(A358,3)&gt;4,0,(IF(A358&lt;K$2,0,IF(A358&lt;=K$3,1,0))))</f>
        <v>0</v>
      </c>
      <c r="L358" s="112" t="n">
        <f aca="false">J358*K358</f>
        <v>-0</v>
      </c>
      <c r="M358" s="112" t="n">
        <f aca="false">SUM(J$280:J358)</f>
        <v>-396653</v>
      </c>
      <c r="N358" s="112" t="n">
        <f aca="false">SUM(J$6:J358)</f>
        <v>-1773510</v>
      </c>
      <c r="P358" s="136" t="n">
        <f aca="false">D358/P$3</f>
        <v>-0.369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-102.115</v>
      </c>
      <c r="T358" s="114" t="n">
        <f aca="false">L358/$R$3</f>
        <v>-0</v>
      </c>
      <c r="U358" s="114" t="n">
        <f aca="false">I358/$R$3</f>
        <v>-92.642</v>
      </c>
      <c r="V358" s="114" t="n">
        <f aca="false">M358/$R$3</f>
        <v>-396.653</v>
      </c>
      <c r="W358" s="114" t="n">
        <f aca="false">N358/$R$3</f>
        <v>-1773.51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INDEX('[4]Master Data'!$A$2:$B$8,MATCH(WEEKDAY('TBS CRD MTM'!A359,3),'[4]Master Data'!$A$2:$A$8,0),2)</f>
        <v>Th</v>
      </c>
      <c r="D359" s="112" t="n">
        <v>-391</v>
      </c>
      <c r="E359" s="112" t="n">
        <v>0</v>
      </c>
      <c r="F359" s="112" t="n">
        <v>0</v>
      </c>
      <c r="G359" s="112" t="n">
        <v>163569</v>
      </c>
      <c r="I359" s="112" t="n">
        <f aca="false">IF(MONTH($A359)=MONTH($A358),IF(G359=0,I358,G359),G359)</f>
        <v>163569</v>
      </c>
      <c r="J359" s="112" t="n">
        <f aca="false">IF(MONTH($A359)=MONTH($A358),SUM(I359-I358),I359)</f>
        <v>256211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-140442</v>
      </c>
      <c r="N359" s="112" t="n">
        <f aca="false">SUM(J$6:J359)</f>
        <v>-1517299</v>
      </c>
      <c r="P359" s="136" t="n">
        <f aca="false">D359/P$3</f>
        <v>-0.391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256.211</v>
      </c>
      <c r="T359" s="114" t="n">
        <f aca="false">L359/$R$3</f>
        <v>0</v>
      </c>
      <c r="U359" s="114" t="n">
        <f aca="false">I359/$R$3</f>
        <v>163.569</v>
      </c>
      <c r="V359" s="114" t="n">
        <f aca="false">M359/$R$3</f>
        <v>-140.442</v>
      </c>
      <c r="W359" s="114" t="n">
        <f aca="false">N359/$R$3</f>
        <v>-1517.299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INDEX('[4]Master Data'!$A$2:$B$8,MATCH(WEEKDAY('TBS CRD MTM'!A360,3),'[4]Master Data'!$A$2:$A$8,0),2)</f>
        <v>F</v>
      </c>
      <c r="D360" s="112" t="n">
        <v>-446</v>
      </c>
      <c r="E360" s="112" t="n">
        <v>0</v>
      </c>
      <c r="F360" s="112" t="n">
        <v>0</v>
      </c>
      <c r="G360" s="112" t="n">
        <v>586560</v>
      </c>
      <c r="I360" s="112" t="n">
        <f aca="false">IF(MONTH($A360)=MONTH($A359),IF(G360=0,I359,G360),G360)</f>
        <v>586560</v>
      </c>
      <c r="J360" s="112" t="n">
        <f aca="false">IF(MONTH($A360)=MONTH($A359),SUM(I360-I359),I360)</f>
        <v>422991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282549</v>
      </c>
      <c r="N360" s="112" t="n">
        <f aca="false">SUM(J$6:J360)</f>
        <v>-1094308</v>
      </c>
      <c r="P360" s="136" t="n">
        <f aca="false">D360/P$3</f>
        <v>-0.446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422.991</v>
      </c>
      <c r="T360" s="114" t="n">
        <f aca="false">L360/$R$3</f>
        <v>0</v>
      </c>
      <c r="U360" s="114" t="n">
        <f aca="false">I360/$R$3</f>
        <v>586.56</v>
      </c>
      <c r="V360" s="114" t="n">
        <f aca="false">M360/$R$3</f>
        <v>282.549</v>
      </c>
      <c r="W360" s="114" t="n">
        <f aca="false">N360/$R$3</f>
        <v>-1094.308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INDEX('[4]Master Data'!$A$2:$B$8,MATCH(WEEKDAY('TBS CRD MTM'!A361,3),'[4]Master Data'!$A$2:$A$8,0),2)</f>
        <v>Sa</v>
      </c>
      <c r="D361" s="112" t="n">
        <v>-413</v>
      </c>
      <c r="E361" s="112" t="n">
        <v>0</v>
      </c>
      <c r="F361" s="112" t="n">
        <v>0</v>
      </c>
      <c r="G361" s="112" t="n">
        <v>331788</v>
      </c>
      <c r="I361" s="112" t="n">
        <f aca="false">IF(MONTH($A361)=MONTH($A360),IF(G361=0,I360,G361),G361)</f>
        <v>331788</v>
      </c>
      <c r="J361" s="112" t="n">
        <f aca="false">IF(MONTH($A361)=MONTH($A360),SUM(I361-I360),I361)</f>
        <v>-254772</v>
      </c>
      <c r="K361" s="112" t="n">
        <f aca="false">IF(WEEKDAY(A361,3)&gt;4,0,(IF(A361&lt;K$2,0,IF(A361&lt;=K$3,1,0))))</f>
        <v>0</v>
      </c>
      <c r="L361" s="112" t="n">
        <f aca="false">J361*K361</f>
        <v>-0</v>
      </c>
      <c r="M361" s="112" t="n">
        <f aca="false">SUM(J$280:J361)</f>
        <v>27777</v>
      </c>
      <c r="N361" s="112" t="n">
        <f aca="false">SUM(J$6:J361)</f>
        <v>-1349080</v>
      </c>
      <c r="P361" s="136" t="n">
        <f aca="false">D361/P$3</f>
        <v>-0.413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-254.772</v>
      </c>
      <c r="T361" s="114" t="n">
        <f aca="false">L361/$R$3</f>
        <v>-0</v>
      </c>
      <c r="U361" s="114" t="n">
        <f aca="false">I361/$R$3</f>
        <v>331.788</v>
      </c>
      <c r="V361" s="114" t="n">
        <f aca="false">M361/$R$3</f>
        <v>27.777</v>
      </c>
      <c r="W361" s="114" t="n">
        <f aca="false">N361/$R$3</f>
        <v>-1349.08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INDEX('[4]Master Data'!$A$2:$B$8,MATCH(WEEKDAY('TBS CRD MTM'!A362,3),'[4]Master Data'!$A$2:$A$8,0),2)</f>
        <v>Su</v>
      </c>
      <c r="D362" s="112" t="n">
        <v>-418</v>
      </c>
      <c r="E362" s="112" t="n">
        <v>0</v>
      </c>
      <c r="F362" s="112" t="n">
        <v>0</v>
      </c>
      <c r="G362" s="112" t="n">
        <v>368397</v>
      </c>
      <c r="I362" s="112" t="n">
        <f aca="false">IF(MONTH($A362)=MONTH($A361),IF(G362=0,I361,G362),G362)</f>
        <v>368397</v>
      </c>
      <c r="J362" s="112" t="n">
        <f aca="false">IF(MONTH($A362)=MONTH($A361),SUM(I362-I361),I362)</f>
        <v>36609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64386</v>
      </c>
      <c r="N362" s="112" t="n">
        <f aca="false">SUM(J$6:J362)</f>
        <v>-1312471</v>
      </c>
      <c r="P362" s="136" t="n">
        <f aca="false">D362/P$3</f>
        <v>-0.418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36.609</v>
      </c>
      <c r="T362" s="114" t="n">
        <f aca="false">L362/$R$3</f>
        <v>0</v>
      </c>
      <c r="U362" s="114" t="n">
        <f aca="false">I362/$R$3</f>
        <v>368.397</v>
      </c>
      <c r="V362" s="114" t="n">
        <f aca="false">M362/$R$3</f>
        <v>64.386</v>
      </c>
      <c r="W362" s="114" t="n">
        <f aca="false">N362/$R$3</f>
        <v>-1312.471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INDEX('[4]Master Data'!$A$2:$B$8,MATCH(WEEKDAY('TBS CRD MTM'!A363,3),'[4]Master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368397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64386</v>
      </c>
      <c r="N363" s="112" t="n">
        <f aca="false">SUM(J$6:J363)</f>
        <v>-1312471</v>
      </c>
      <c r="P363" s="136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368.397</v>
      </c>
      <c r="V363" s="114" t="n">
        <f aca="false">M363/$R$3</f>
        <v>64.386</v>
      </c>
      <c r="W363" s="114" t="n">
        <f aca="false">N363/$R$3</f>
        <v>-1312.471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INDEX('[4]Master Data'!$A$2:$B$8,MATCH(WEEKDAY('TBS CRD MTM'!A364,3),'[4]Master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368397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64386</v>
      </c>
      <c r="N364" s="112" t="n">
        <f aca="false">SUM(J$6:J364)</f>
        <v>-1312471</v>
      </c>
      <c r="P364" s="136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368.397</v>
      </c>
      <c r="V364" s="114" t="n">
        <f aca="false">M364/$R$3</f>
        <v>64.386</v>
      </c>
      <c r="W364" s="114" t="n">
        <f aca="false">N364/$R$3</f>
        <v>-1312.471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INDEX('[4]Master Data'!$A$2:$B$8,MATCH(WEEKDAY('TBS CRD MTM'!A365,3),'[4]Master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368397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64386</v>
      </c>
      <c r="N365" s="112" t="n">
        <f aca="false">SUM(J$6:J365)</f>
        <v>-1312471</v>
      </c>
      <c r="P365" s="136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368.397</v>
      </c>
      <c r="V365" s="114" t="n">
        <f aca="false">M365/$R$3</f>
        <v>64.386</v>
      </c>
      <c r="W365" s="114" t="n">
        <f aca="false">N365/$R$3</f>
        <v>-1312.471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INDEX('[4]Master Data'!$A$2:$B$8,MATCH(WEEKDAY('TBS CRD MTM'!A366,3),'[4]Master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368397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64386</v>
      </c>
      <c r="N366" s="112" t="n">
        <f aca="false">SUM(J$6:J366)</f>
        <v>-1312471</v>
      </c>
      <c r="P366" s="136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368.397</v>
      </c>
      <c r="V366" s="114" t="n">
        <f aca="false">M366/$R$3</f>
        <v>64.386</v>
      </c>
      <c r="W366" s="114" t="n">
        <f aca="false">N366/$R$3</f>
        <v>-1312.471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INDEX('[4]Master Data'!$A$2:$B$8,MATCH(WEEKDAY('TBS CRD MTM'!A367,3),'[4]Master Data'!$A$2:$A$8,0),2)</f>
        <v>F</v>
      </c>
      <c r="D367" s="112" t="n">
        <v>-413</v>
      </c>
      <c r="E367" s="112" t="n">
        <v>0</v>
      </c>
      <c r="F367" s="112" t="n">
        <v>0</v>
      </c>
      <c r="G367" s="112" t="n">
        <v>362963</v>
      </c>
      <c r="I367" s="112" t="n">
        <f aca="false">IF(MONTH($A367)=MONTH($A366),IF(G367=0,I366,G367),G367)</f>
        <v>362963</v>
      </c>
      <c r="J367" s="112" t="n">
        <f aca="false">IF(MONTH($A367)=MONTH($A366),SUM(I367-I366),I367)</f>
        <v>-5434</v>
      </c>
      <c r="K367" s="112" t="n">
        <f aca="false">IF(WEEKDAY(A367,3)&gt;4,0,(IF(A367&lt;K$2,0,IF(A367&lt;=K$3,1,0))))</f>
        <v>0</v>
      </c>
      <c r="L367" s="112" t="n">
        <f aca="false">J367*K367</f>
        <v>-0</v>
      </c>
      <c r="M367" s="112" t="n">
        <f aca="false">SUM(J$280:J367)</f>
        <v>58952</v>
      </c>
      <c r="N367" s="112" t="n">
        <f aca="false">SUM(J$6:J367)</f>
        <v>-1317905</v>
      </c>
      <c r="P367" s="136" t="n">
        <f aca="false">D367/P$3</f>
        <v>-0.413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-5.434</v>
      </c>
      <c r="T367" s="114" t="n">
        <f aca="false">L367/$R$3</f>
        <v>-0</v>
      </c>
      <c r="U367" s="114" t="n">
        <f aca="false">I367/$R$3</f>
        <v>362.963</v>
      </c>
      <c r="V367" s="114" t="n">
        <f aca="false">M367/$R$3</f>
        <v>58.952</v>
      </c>
      <c r="W367" s="114" t="n">
        <f aca="false">N367/$R$3</f>
        <v>-1317.905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INDEX('[4]Master Data'!$A$2:$B$8,MATCH(WEEKDAY('TBS CRD MTM'!A368,3),'[4]Master Data'!$A$2:$A$8,0),2)</f>
        <v>Sa</v>
      </c>
      <c r="D368" s="112" t="n">
        <v>-381</v>
      </c>
      <c r="E368" s="112" t="n">
        <v>0</v>
      </c>
      <c r="F368" s="112" t="n">
        <v>0</v>
      </c>
      <c r="G368" s="112" t="n">
        <v>495637</v>
      </c>
      <c r="I368" s="112" t="n">
        <f aca="false">IF(MONTH($A368)=MONTH($A367),IF(G368=0,I367,G368),G368)</f>
        <v>495637</v>
      </c>
      <c r="J368" s="112" t="n">
        <f aca="false">IF(MONTH($A368)=MONTH($A367),SUM(I368-I367),I368)</f>
        <v>132674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191626</v>
      </c>
      <c r="N368" s="112" t="n">
        <f aca="false">SUM(J$6:J368)</f>
        <v>-1185231</v>
      </c>
      <c r="P368" s="136" t="n">
        <f aca="false">D368/P$3</f>
        <v>-0.381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132.674</v>
      </c>
      <c r="T368" s="114" t="n">
        <f aca="false">L368/$R$3</f>
        <v>0</v>
      </c>
      <c r="U368" s="114" t="n">
        <f aca="false">I368/$R$3</f>
        <v>495.637</v>
      </c>
      <c r="V368" s="114" t="n">
        <f aca="false">M368/$R$3</f>
        <v>191.626</v>
      </c>
      <c r="W368" s="114" t="n">
        <f aca="false">N368/$R$3</f>
        <v>-1185.231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INDEX('[4]Master Data'!$A$2:$B$8,MATCH(WEEKDAY('TBS CRD MTM'!A369,3),'[4]Master Data'!$A$2:$A$8,0),2)</f>
        <v>Su</v>
      </c>
      <c r="D369" s="112" t="n">
        <v>-365</v>
      </c>
      <c r="E369" s="112" t="n">
        <v>0</v>
      </c>
      <c r="F369" s="112" t="n">
        <v>0</v>
      </c>
      <c r="G369" s="112" t="n">
        <v>307017</v>
      </c>
      <c r="I369" s="112" t="n">
        <f aca="false">IF(MONTH($A369)=MONTH($A368),IF(G369=0,I368,G369),G369)</f>
        <v>307017</v>
      </c>
      <c r="J369" s="112" t="n">
        <f aca="false">IF(MONTH($A369)=MONTH($A368),SUM(I369-I368),I369)</f>
        <v>-188620</v>
      </c>
      <c r="K369" s="112" t="n">
        <f aca="false">IF(WEEKDAY(A369,3)&gt;4,0,(IF(A369&lt;K$2,0,IF(A369&lt;=K$3,1,0))))</f>
        <v>0</v>
      </c>
      <c r="L369" s="112" t="n">
        <f aca="false">J369*K369</f>
        <v>-0</v>
      </c>
      <c r="M369" s="112" t="n">
        <f aca="false">SUM(J$280:J369)</f>
        <v>3006</v>
      </c>
      <c r="N369" s="112" t="n">
        <f aca="false">SUM(J$6:J369)</f>
        <v>-1373851</v>
      </c>
      <c r="P369" s="136" t="n">
        <f aca="false">D369/P$3</f>
        <v>-0.365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-188.62</v>
      </c>
      <c r="T369" s="114" t="n">
        <f aca="false">L369/$R$3</f>
        <v>-0</v>
      </c>
      <c r="U369" s="114" t="n">
        <f aca="false">I369/$R$3</f>
        <v>307.017</v>
      </c>
      <c r="V369" s="114" t="n">
        <f aca="false">M369/$R$3</f>
        <v>3.006</v>
      </c>
      <c r="W369" s="114" t="n">
        <f aca="false">N369/$R$3</f>
        <v>-1373.851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INDEX('[4]Master Data'!$A$2:$B$8,MATCH(WEEKDAY('TBS CRD MTM'!A370,3),'[4]Master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307017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3006</v>
      </c>
      <c r="N370" s="112" t="n">
        <f aca="false">SUM(J$6:J370)</f>
        <v>-1373851</v>
      </c>
      <c r="P370" s="136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307.017</v>
      </c>
      <c r="V370" s="114" t="n">
        <f aca="false">M370/$R$3</f>
        <v>3.006</v>
      </c>
      <c r="W370" s="114" t="n">
        <f aca="false">N370/$R$3</f>
        <v>-1373.851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INDEX('[4]Master Data'!$A$2:$B$8,MATCH(WEEKDAY('TBS CRD MTM'!A371,3),'[4]Master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3006</v>
      </c>
      <c r="N371" s="112" t="n">
        <f aca="false">SUM(J$6:J371)</f>
        <v>-1373851</v>
      </c>
      <c r="P371" s="136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3.006</v>
      </c>
      <c r="W371" s="114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84</v>
      </c>
    </row>
    <row r="2" customFormat="false" ht="12.75" hidden="false" customHeight="false" outlineLevel="0" collapsed="false">
      <c r="A2" s="0" t="n">
        <v>0</v>
      </c>
      <c r="B2" s="0" t="s">
        <v>85</v>
      </c>
    </row>
    <row r="3" customFormat="false" ht="12.75" hidden="false" customHeight="false" outlineLevel="0" collapsed="false">
      <c r="A3" s="0" t="n">
        <v>1</v>
      </c>
      <c r="B3" s="0" t="s">
        <v>86</v>
      </c>
    </row>
    <row r="4" customFormat="false" ht="12.75" hidden="false" customHeight="false" outlineLevel="0" collapsed="false">
      <c r="A4" s="0" t="n">
        <v>2</v>
      </c>
      <c r="B4" s="0" t="s">
        <v>87</v>
      </c>
    </row>
    <row r="5" customFormat="false" ht="12.75" hidden="false" customHeight="false" outlineLevel="0" collapsed="false">
      <c r="A5" s="0" t="n">
        <v>3</v>
      </c>
      <c r="B5" s="0" t="s">
        <v>88</v>
      </c>
    </row>
    <row r="6" customFormat="false" ht="12.75" hidden="false" customHeight="false" outlineLevel="0" collapsed="false">
      <c r="A6" s="0" t="n">
        <v>4</v>
      </c>
      <c r="B6" s="0" t="s">
        <v>89</v>
      </c>
    </row>
    <row r="7" customFormat="false" ht="12.75" hidden="false" customHeight="false" outlineLevel="0" collapsed="false">
      <c r="A7" s="0" t="n">
        <v>5</v>
      </c>
      <c r="B7" s="0" t="s">
        <v>90</v>
      </c>
    </row>
    <row r="8" customFormat="false" ht="12.75" hidden="false" customHeight="false" outlineLevel="0" collapsed="false">
      <c r="A8" s="0" t="n">
        <v>6</v>
      </c>
      <c r="B8" s="0" t="s">
        <v>91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Data'!$A$2:$B$8,MATCH(WEEKDAY('SC Total Power'!A6,3),'Master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31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Data'!$A$2:$B$8,MATCH(WEEKDAY('SC Total Power'!A7,3),'Master Data'!$A$2:$A$8,0),2)</f>
        <v>T</v>
      </c>
      <c r="D7" s="112" t="n">
        <v>0</v>
      </c>
      <c r="E7" s="112" t="n">
        <v>86178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31" t="n">
        <f aca="false">E7/P$3</f>
        <v>0.086178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Data'!$A$2:$B$8,MATCH(WEEKDAY('SC Total Power'!A8,3),'Master Data'!$A$2:$A$8,0),2)</f>
        <v>W</v>
      </c>
      <c r="D8" s="112" t="n">
        <v>0</v>
      </c>
      <c r="E8" s="112" t="n">
        <v>84042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31" t="n">
        <f aca="false">E8/P$3</f>
        <v>0.084042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Data'!$A$2:$B$8,MATCH(WEEKDAY('SC Total Power'!A9,3),'Master Data'!$A$2:$A$8,0),2)</f>
        <v>Th</v>
      </c>
      <c r="D9" s="112" t="n">
        <v>0</v>
      </c>
      <c r="E9" s="112" t="n">
        <v>81902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31" t="n">
        <f aca="false">E9/P$3</f>
        <v>0.081902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Data'!$A$2:$B$8,MATCH(WEEKDAY('SC Total Power'!A10,3),'Master Data'!$A$2:$A$8,0),2)</f>
        <v>F</v>
      </c>
      <c r="D10" s="112" t="n">
        <v>0</v>
      </c>
      <c r="E10" s="112" t="n">
        <v>79750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31" t="n">
        <f aca="false">E10/P$3</f>
        <v>0.07975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Data'!$A$2:$B$8,MATCH(WEEKDAY('SC Total Power'!A11,3),'Master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31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Data'!$A$2:$B$8,MATCH(WEEKDAY('SC Total Power'!A12,3),'Master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31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Data'!$A$2:$B$8,MATCH(WEEKDAY('SC Total Power'!A13,3),'Master Data'!$A$2:$A$8,0),2)</f>
        <v>M</v>
      </c>
      <c r="D13" s="112" t="n">
        <v>0</v>
      </c>
      <c r="E13" s="112" t="n">
        <v>73535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31" t="n">
        <f aca="false">E13/P$3</f>
        <v>0.073535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Data'!$A$2:$B$8,MATCH(WEEKDAY('SC Total Power'!A14,3),'Master Data'!$A$2:$A$8,0),2)</f>
        <v>T</v>
      </c>
      <c r="D14" s="112" t="n">
        <v>0</v>
      </c>
      <c r="E14" s="112" t="n">
        <v>71385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31" t="n">
        <f aca="false">E14/P$3</f>
        <v>0.071385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Data'!$A$2:$B$8,MATCH(WEEKDAY('SC Total Power'!A15,3),'Master Data'!$A$2:$A$8,0),2)</f>
        <v>W</v>
      </c>
      <c r="D15" s="112" t="n">
        <v>0</v>
      </c>
      <c r="E15" s="112" t="n">
        <v>69222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31" t="n">
        <f aca="false">E15/P$3</f>
        <v>0.069222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Data'!$A$2:$B$8,MATCH(WEEKDAY('SC Total Power'!A16,3),'Master Data'!$A$2:$A$8,0),2)</f>
        <v>Th</v>
      </c>
      <c r="D16" s="112" t="n">
        <v>0</v>
      </c>
      <c r="E16" s="112" t="n">
        <v>67060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31" t="n">
        <f aca="false">E16/P$3</f>
        <v>0.06706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Data'!$A$2:$B$8,MATCH(WEEKDAY('SC Total Power'!A17,3),'Master Data'!$A$2:$A$8,0),2)</f>
        <v>F</v>
      </c>
      <c r="D17" s="112" t="n">
        <v>0</v>
      </c>
      <c r="E17" s="112" t="n">
        <v>64902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31" t="n">
        <f aca="false">E17/P$3</f>
        <v>0.064902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Data'!$A$2:$B$8,MATCH(WEEKDAY('SC Total Power'!A18,3),'Master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31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Data'!$A$2:$B$8,MATCH(WEEKDAY('SC Total Power'!A19,3),'Master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31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Data'!$A$2:$B$8,MATCH(WEEKDAY('SC Total Power'!A20,3),'Master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31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Data'!$A$2:$B$8,MATCH(WEEKDAY('SC Total Power'!A21,3),'Master Data'!$A$2:$A$8,0),2)</f>
        <v>T</v>
      </c>
      <c r="D21" s="112" t="n">
        <v>0</v>
      </c>
      <c r="E21" s="112" t="n">
        <v>56446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31" t="n">
        <f aca="false">E21/P$3</f>
        <v>0.056446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Data'!$A$2:$B$8,MATCH(WEEKDAY('SC Total Power'!A22,3),'Master Data'!$A$2:$A$8,0),2)</f>
        <v>W</v>
      </c>
      <c r="D22" s="112" t="n">
        <v>0</v>
      </c>
      <c r="E22" s="112" t="n">
        <v>54285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31" t="n">
        <f aca="false">E22/P$3</f>
        <v>0.054285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Data'!$A$2:$B$8,MATCH(WEEKDAY('SC Total Power'!A23,3),'Master Data'!$A$2:$A$8,0),2)</f>
        <v>Th</v>
      </c>
      <c r="D23" s="112" t="n">
        <v>0</v>
      </c>
      <c r="E23" s="112" t="n">
        <v>52126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31" t="n">
        <f aca="false">E23/P$3</f>
        <v>0.052126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Data'!$A$2:$B$8,MATCH(WEEKDAY('SC Total Power'!A24,3),'Master Data'!$A$2:$A$8,0),2)</f>
        <v>F</v>
      </c>
      <c r="D24" s="112" t="n">
        <v>0</v>
      </c>
      <c r="E24" s="112" t="n">
        <v>49966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31" t="n">
        <f aca="false">E24/P$3</f>
        <v>0.049966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Data'!$A$2:$B$8,MATCH(WEEKDAY('SC Total Power'!A25,3),'Master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31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Data'!$A$2:$B$8,MATCH(WEEKDAY('SC Total Power'!A26,3),'Master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31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Data'!$A$2:$B$8,MATCH(WEEKDAY('SC Total Power'!A27,3),'Master Data'!$A$2:$A$8,0),2)</f>
        <v>M</v>
      </c>
      <c r="D27" s="112" t="n">
        <v>0</v>
      </c>
      <c r="E27" s="112" t="n">
        <v>44381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31" t="n">
        <f aca="false">E27/P$3</f>
        <v>0.044381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Data'!$A$2:$B$8,MATCH(WEEKDAY('SC Total Power'!A28,3),'Master Data'!$A$2:$A$8,0),2)</f>
        <v>T</v>
      </c>
      <c r="D28" s="112" t="n">
        <v>0</v>
      </c>
      <c r="E28" s="112" t="n">
        <v>41508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31" t="n">
        <f aca="false">E28/P$3</f>
        <v>0.041508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Data'!$A$2:$B$8,MATCH(WEEKDAY('SC Total Power'!A29,3),'Master Data'!$A$2:$A$8,0),2)</f>
        <v>W</v>
      </c>
      <c r="D29" s="112" t="n">
        <v>0</v>
      </c>
      <c r="E29" s="112" t="n">
        <v>39337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31" t="n">
        <f aca="false">E29/P$3</f>
        <v>0.039337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Data'!$A$2:$B$8,MATCH(WEEKDAY('SC Total Power'!A30,3),'Master Data'!$A$2:$A$8,0),2)</f>
        <v>Th</v>
      </c>
      <c r="D30" s="112" t="n">
        <v>0</v>
      </c>
      <c r="E30" s="112" t="n">
        <v>37167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31" t="n">
        <f aca="false">E30/P$3</f>
        <v>0.037167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Data'!$A$2:$B$8,MATCH(WEEKDAY('SC Total Power'!A31,3),'Master Data'!$A$2:$A$8,0),2)</f>
        <v>F</v>
      </c>
      <c r="D31" s="112" t="n">
        <v>0</v>
      </c>
      <c r="E31" s="112" t="n">
        <v>34999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31" t="n">
        <f aca="false">E31/P$3</f>
        <v>0.034999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Data'!$A$2:$B$8,MATCH(WEEKDAY('SC Total Power'!A32,3),'Master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31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Data'!$A$2:$B$8,MATCH(WEEKDAY('SC Total Power'!A33,3),'Master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31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Data'!$A$2:$B$8,MATCH(WEEKDAY('SC Total Power'!A34,3),'Master Data'!$A$2:$A$8,0),2)</f>
        <v>M</v>
      </c>
      <c r="D34" s="112" t="n">
        <v>0</v>
      </c>
      <c r="E34" s="112" t="n">
        <v>28683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31" t="n">
        <f aca="false">E34/P$3</f>
        <v>0.028683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Data'!$A$2:$B$8,MATCH(WEEKDAY('SC Total Power'!A35,3),'Master Data'!$A$2:$A$8,0),2)</f>
        <v>T</v>
      </c>
      <c r="D35" s="112" t="n">
        <v>0</v>
      </c>
      <c r="E35" s="112" t="n">
        <v>26512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31" t="n">
        <f aca="false">E35/P$3</f>
        <v>0.026512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Data'!$A$2:$B$8,MATCH(WEEKDAY('SC Total Power'!A36,3),'Master Data'!$A$2:$A$8,0),2)</f>
        <v>W</v>
      </c>
      <c r="D36" s="112" t="n">
        <v>0</v>
      </c>
      <c r="E36" s="112" t="n">
        <v>24348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31" t="n">
        <f aca="false">E36/P$3</f>
        <v>0.024348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Data'!$A$2:$B$8,MATCH(WEEKDAY('SC Total Power'!A37,3),'Master Data'!$A$2:$A$8,0),2)</f>
        <v>Th</v>
      </c>
      <c r="D37" s="112" t="n">
        <v>0</v>
      </c>
      <c r="E37" s="112" t="n">
        <v>24202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31" t="n">
        <f aca="false">E37/P$3</f>
        <v>0.024202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Data'!$A$2:$B$8,MATCH(WEEKDAY('SC Total Power'!A38,3),'Master Data'!$A$2:$A$8,0),2)</f>
        <v>F</v>
      </c>
      <c r="D38" s="112" t="n">
        <v>0</v>
      </c>
      <c r="E38" s="112" t="n">
        <v>24050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31" t="n">
        <f aca="false">E38/P$3</f>
        <v>0.02405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Data'!$A$2:$B$8,MATCH(WEEKDAY('SC Total Power'!A39,3),'Master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31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Data'!$A$2:$B$8,MATCH(WEEKDAY('SC Total Power'!A40,3),'Master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31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Data'!$A$2:$B$8,MATCH(WEEKDAY('SC Total Power'!A41,3),'Master Data'!$A$2:$A$8,0),2)</f>
        <v>M</v>
      </c>
      <c r="D41" s="112" t="n">
        <v>0</v>
      </c>
      <c r="E41" s="112" t="n">
        <v>23752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31" t="n">
        <f aca="false">E41/P$3</f>
        <v>0.023752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Data'!$A$2:$B$8,MATCH(WEEKDAY('SC Total Power'!A42,3),'Master Data'!$A$2:$A$8,0),2)</f>
        <v>T</v>
      </c>
      <c r="D42" s="112" t="n">
        <v>0</v>
      </c>
      <c r="E42" s="112" t="n">
        <v>23599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31" t="n">
        <f aca="false">E42/P$3</f>
        <v>0.023599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Data'!$A$2:$B$8,MATCH(WEEKDAY('SC Total Power'!A43,3),'Master Data'!$A$2:$A$8,0),2)</f>
        <v>W</v>
      </c>
      <c r="D43" s="112" t="n">
        <v>0</v>
      </c>
      <c r="E43" s="112" t="n">
        <v>23445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31" t="n">
        <f aca="false">E43/P$3</f>
        <v>0.023445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Data'!$A$2:$B$8,MATCH(WEEKDAY('SC Total Power'!A44,3),'Master Data'!$A$2:$A$8,0),2)</f>
        <v>Th</v>
      </c>
      <c r="D44" s="112" t="n">
        <v>0</v>
      </c>
      <c r="E44" s="112" t="n">
        <v>23293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31" t="n">
        <f aca="false">E44/P$3</f>
        <v>0.023293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Data'!$A$2:$B$8,MATCH(WEEKDAY('SC Total Power'!A45,3),'Master Data'!$A$2:$A$8,0),2)</f>
        <v>F</v>
      </c>
      <c r="D45" s="112" t="n">
        <v>0</v>
      </c>
      <c r="E45" s="112" t="n">
        <v>23139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31" t="n">
        <f aca="false">E45/P$3</f>
        <v>0.023139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Data'!$A$2:$B$8,MATCH(WEEKDAY('SC Total Power'!A46,3),'Master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31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Data'!$A$2:$B$8,MATCH(WEEKDAY('SC Total Power'!A47,3),'Master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31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Data'!$A$2:$B$8,MATCH(WEEKDAY('SC Total Power'!A48,3),'Master Data'!$A$2:$A$8,0),2)</f>
        <v>M</v>
      </c>
      <c r="D48" s="112" t="n">
        <v>0</v>
      </c>
      <c r="E48" s="112" t="n">
        <v>22848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31" t="n">
        <f aca="false">E48/P$3</f>
        <v>0.022848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Data'!$A$2:$B$8,MATCH(WEEKDAY('SC Total Power'!A49,3),'Master Data'!$A$2:$A$8,0),2)</f>
        <v>T</v>
      </c>
      <c r="D49" s="112" t="n">
        <v>0</v>
      </c>
      <c r="E49" s="112" t="n">
        <v>22694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31" t="n">
        <f aca="false">E49/P$3</f>
        <v>0.022694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Data'!$A$2:$B$8,MATCH(WEEKDAY('SC Total Power'!A50,3),'Master Data'!$A$2:$A$8,0),2)</f>
        <v>W</v>
      </c>
      <c r="D50" s="112" t="n">
        <v>0</v>
      </c>
      <c r="E50" s="112" t="n">
        <v>225333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31" t="n">
        <f aca="false">E50/P$3</f>
        <v>0.225333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Data'!$A$2:$B$8,MATCH(WEEKDAY('SC Total Power'!A51,3),'Master Data'!$A$2:$A$8,0),2)</f>
        <v>Th</v>
      </c>
      <c r="D51" s="112" t="n">
        <v>0</v>
      </c>
      <c r="E51" s="112" t="n">
        <v>226706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31" t="n">
        <f aca="false">E51/P$3</f>
        <v>0.226706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Data'!$A$2:$B$8,MATCH(WEEKDAY('SC Total Power'!A52,3),'Master Data'!$A$2:$A$8,0),2)</f>
        <v>F</v>
      </c>
      <c r="D52" s="112" t="n">
        <v>0</v>
      </c>
      <c r="E52" s="112" t="n">
        <v>225984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31" t="n">
        <f aca="false">E52/P$3</f>
        <v>0.225984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Data'!$A$2:$B$8,MATCH(WEEKDAY('SC Total Power'!A53,3),'Master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31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Data'!$A$2:$B$8,MATCH(WEEKDAY('SC Total Power'!A54,3),'Master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31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Data'!$A$2:$B$8,MATCH(WEEKDAY('SC Total Power'!A55,3),'Master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31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Data'!$A$2:$B$8,MATCH(WEEKDAY('SC Total Power'!A56,3),'Master Data'!$A$2:$A$8,0),2)</f>
        <v>T</v>
      </c>
      <c r="D56" s="112" t="n">
        <v>0</v>
      </c>
      <c r="E56" s="112" t="n">
        <v>223277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31" t="n">
        <f aca="false">E56/P$3</f>
        <v>0.223277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Data'!$A$2:$B$8,MATCH(WEEKDAY('SC Total Power'!A57,3),'Master Data'!$A$2:$A$8,0),2)</f>
        <v>W</v>
      </c>
      <c r="D57" s="112" t="n">
        <v>0</v>
      </c>
      <c r="E57" s="112" t="n">
        <v>222553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31" t="n">
        <f aca="false">E57/P$3</f>
        <v>0.222553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Data'!$A$2:$B$8,MATCH(WEEKDAY('SC Total Power'!A58,3),'Master Data'!$A$2:$A$8,0),2)</f>
        <v>Th</v>
      </c>
      <c r="D58" s="112" t="n">
        <v>0</v>
      </c>
      <c r="E58" s="112" t="n">
        <v>221878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31" t="n">
        <f aca="false">E58/P$3</f>
        <v>0.221878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Data'!$A$2:$B$8,MATCH(WEEKDAY('SC Total Power'!A59,3),'Master Data'!$A$2:$A$8,0),2)</f>
        <v>F</v>
      </c>
      <c r="D59" s="112" t="n">
        <v>0</v>
      </c>
      <c r="E59" s="112" t="n">
        <v>221195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31" t="n">
        <f aca="false">E59/P$3</f>
        <v>0.221195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Data'!$A$2:$B$8,MATCH(WEEKDAY('SC Total Power'!A60,3),'Master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31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Data'!$A$2:$B$8,MATCH(WEEKDAY('SC Total Power'!A61,3),'Master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31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Data'!$A$2:$B$8,MATCH(WEEKDAY('SC Total Power'!A62,3),'Master Data'!$A$2:$A$8,0),2)</f>
        <v>M</v>
      </c>
      <c r="D62" s="112" t="n">
        <v>0</v>
      </c>
      <c r="E62" s="112" t="n">
        <v>219264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31" t="n">
        <f aca="false">E62/P$3</f>
        <v>0.219264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Data'!$A$2:$B$8,MATCH(WEEKDAY('SC Total Power'!A63,3),'Master Data'!$A$2:$A$8,0),2)</f>
        <v>T</v>
      </c>
      <c r="D63" s="112" t="n">
        <v>0</v>
      </c>
      <c r="E63" s="112" t="n">
        <v>218621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31" t="n">
        <f aca="false">E63/P$3</f>
        <v>0.218621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Data'!$A$2:$B$8,MATCH(WEEKDAY('SC Total Power'!A64,3),'Master Data'!$A$2:$A$8,0),2)</f>
        <v>W</v>
      </c>
      <c r="D64" s="112" t="n">
        <v>0</v>
      </c>
      <c r="E64" s="112" t="n">
        <v>217918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31" t="n">
        <f aca="false">E64/P$3</f>
        <v>0.217918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Data'!$A$2:$B$8,MATCH(WEEKDAY('SC Total Power'!A65,3),'Master Data'!$A$2:$A$8,0),2)</f>
        <v>Th</v>
      </c>
      <c r="D65" s="112" t="n">
        <v>0</v>
      </c>
      <c r="E65" s="112" t="n">
        <v>217195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31" t="n">
        <f aca="false">E65/P$3</f>
        <v>0.217195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Data'!$A$2:$B$8,MATCH(WEEKDAY('SC Total Power'!A66,3),'Master Data'!$A$2:$A$8,0),2)</f>
        <v>F</v>
      </c>
      <c r="D66" s="112" t="n">
        <v>0</v>
      </c>
      <c r="E66" s="112" t="n">
        <v>216455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31" t="n">
        <f aca="false">E66/P$3</f>
        <v>0.216455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Data'!$A$2:$B$8,MATCH(WEEKDAY('SC Total Power'!A67,3),'Master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31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Data'!$A$2:$B$8,MATCH(WEEKDAY('SC Total Power'!A68,3),'Master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31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Data'!$A$2:$B$8,MATCH(WEEKDAY('SC Total Power'!A69,3),'Master Data'!$A$2:$A$8,0),2)</f>
        <v>M</v>
      </c>
      <c r="D69" s="112" t="n">
        <v>0</v>
      </c>
      <c r="E69" s="112" t="n">
        <v>214436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31" t="n">
        <f aca="false">E69/P$3</f>
        <v>0.214436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Data'!$A$2:$B$8,MATCH(WEEKDAY('SC Total Power'!A70,3),'Master Data'!$A$2:$A$8,0),2)</f>
        <v>T</v>
      </c>
      <c r="D70" s="112" t="n">
        <v>0</v>
      </c>
      <c r="E70" s="112" t="n">
        <v>213712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31" t="n">
        <f aca="false">E70/P$3</f>
        <v>0.213712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Data'!$A$2:$B$8,MATCH(WEEKDAY('SC Total Power'!A71,3),'Master Data'!$A$2:$A$8,0),2)</f>
        <v>W</v>
      </c>
      <c r="D71" s="112" t="n">
        <v>0</v>
      </c>
      <c r="E71" s="112" t="n">
        <v>213000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31" t="n">
        <f aca="false">E71/P$3</f>
        <v>0.213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Data'!$A$2:$B$8,MATCH(WEEKDAY('SC Total Power'!A72,3),'Master Data'!$A$2:$A$8,0),2)</f>
        <v>Th</v>
      </c>
      <c r="D72" s="112" t="n">
        <v>0</v>
      </c>
      <c r="E72" s="112" t="n">
        <v>212299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31" t="n">
        <f aca="false">E72/P$3</f>
        <v>0.212299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Data'!$A$2:$B$8,MATCH(WEEKDAY('SC Total Power'!A73,3),'Master Data'!$A$2:$A$8,0),2)</f>
        <v>F</v>
      </c>
      <c r="D73" s="112" t="n">
        <v>0</v>
      </c>
      <c r="E73" s="112" t="n">
        <v>211581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31" t="n">
        <f aca="false">E73/P$3</f>
        <v>0.211581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Data'!$A$2:$B$8,MATCH(WEEKDAY('SC Total Power'!A74,3),'Master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31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Data'!$A$2:$B$8,MATCH(WEEKDAY('SC Total Power'!A75,3),'Master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31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Data'!$A$2:$B$8,MATCH(WEEKDAY('SC Total Power'!A76,3),'Master Data'!$A$2:$A$8,0),2)</f>
        <v>M</v>
      </c>
      <c r="D76" s="112" t="n">
        <v>0</v>
      </c>
      <c r="E76" s="112" t="n">
        <v>209534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31" t="n">
        <f aca="false">E76/P$3</f>
        <v>0.209534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Data'!$A$2:$B$8,MATCH(WEEKDAY('SC Total Power'!A77,3),'Master Data'!$A$2:$A$8,0),2)</f>
        <v>T</v>
      </c>
      <c r="D77" s="112" t="n">
        <v>0</v>
      </c>
      <c r="E77" s="112" t="n">
        <v>208831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31" t="n">
        <f aca="false">E77/P$3</f>
        <v>0.208831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Data'!$A$2:$B$8,MATCH(WEEKDAY('SC Total Power'!A78,3),'Master Data'!$A$2:$A$8,0),2)</f>
        <v>W</v>
      </c>
      <c r="D78" s="112" t="n">
        <v>0</v>
      </c>
      <c r="E78" s="112" t="n">
        <v>208114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31" t="n">
        <f aca="false">E78/P$3</f>
        <v>0.208114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Data'!$A$2:$B$8,MATCH(WEEKDAY('SC Total Power'!A79,3),'Master Data'!$A$2:$A$8,0),2)</f>
        <v>Th</v>
      </c>
      <c r="D79" s="112" t="n">
        <v>0</v>
      </c>
      <c r="E79" s="112" t="n">
        <v>207474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31" t="n">
        <f aca="false">E79/P$3</f>
        <v>0.207474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Data'!$A$2:$B$8,MATCH(WEEKDAY('SC Total Power'!A80,3),'Master Data'!$A$2:$A$8,0),2)</f>
        <v>F</v>
      </c>
      <c r="D80" s="112" t="n">
        <v>0</v>
      </c>
      <c r="E80" s="112" t="n">
        <v>206821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31" t="n">
        <f aca="false">E80/P$3</f>
        <v>0.206821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Data'!$A$2:$B$8,MATCH(WEEKDAY('SC Total Power'!A81,3),'Master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31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Data'!$A$2:$B$8,MATCH(WEEKDAY('SC Total Power'!A82,3),'Master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31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Data'!$A$2:$B$8,MATCH(WEEKDAY('SC Total Power'!A83,3),'Master Data'!$A$2:$A$8,0),2)</f>
        <v>M</v>
      </c>
      <c r="D83" s="112" t="n">
        <v>0</v>
      </c>
      <c r="E83" s="112" t="n">
        <v>204813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31" t="n">
        <f aca="false">E83/P$3</f>
        <v>0.204813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Data'!$A$2:$B$8,MATCH(WEEKDAY('SC Total Power'!A84,3),'Master Data'!$A$2:$A$8,0),2)</f>
        <v>T</v>
      </c>
      <c r="D84" s="112" t="n">
        <v>0</v>
      </c>
      <c r="E84" s="112" t="n">
        <v>204072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31" t="n">
        <f aca="false">E84/P$3</f>
        <v>0.204072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Data'!$A$2:$B$8,MATCH(WEEKDAY('SC Total Power'!A85,3),'Master Data'!$A$2:$A$8,0),2)</f>
        <v>W</v>
      </c>
      <c r="D85" s="112" t="n">
        <v>0</v>
      </c>
      <c r="E85" s="112" t="n">
        <v>203379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31" t="n">
        <f aca="false">E85/P$3</f>
        <v>0.203379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Data'!$A$2:$B$8,MATCH(WEEKDAY('SC Total Power'!A86,3),'Master Data'!$A$2:$A$8,0),2)</f>
        <v>Th</v>
      </c>
      <c r="D86" s="112" t="n">
        <v>0</v>
      </c>
      <c r="E86" s="112" t="n">
        <v>202683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31" t="n">
        <f aca="false">E86/P$3</f>
        <v>0.202683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Data'!$A$2:$B$8,MATCH(WEEKDAY('SC Total Power'!A87,3),'Master Data'!$A$2:$A$8,0),2)</f>
        <v>F</v>
      </c>
      <c r="D87" s="112" t="n">
        <v>0</v>
      </c>
      <c r="E87" s="112" t="n">
        <v>201968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31" t="n">
        <f aca="false">E87/P$3</f>
        <v>0.201968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Data'!$A$2:$B$8,MATCH(WEEKDAY('SC Total Power'!A88,3),'Master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31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Data'!$A$2:$B$8,MATCH(WEEKDAY('SC Total Power'!A89,3),'Master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31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Data'!$A$2:$B$8,MATCH(WEEKDAY('SC Total Power'!A90,3),'Master Data'!$A$2:$A$8,0),2)</f>
        <v>M</v>
      </c>
      <c r="D90" s="112" t="n">
        <v>0</v>
      </c>
      <c r="E90" s="112" t="n">
        <v>199920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31" t="n">
        <f aca="false">E90/P$3</f>
        <v>0.19992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Data'!$A$2:$B$8,MATCH(WEEKDAY('SC Total Power'!A91,3),'Master Data'!$A$2:$A$8,0),2)</f>
        <v>T</v>
      </c>
      <c r="D91" s="112" t="n">
        <v>0</v>
      </c>
      <c r="E91" s="112" t="n">
        <v>199188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31" t="n">
        <f aca="false">E91/P$3</f>
        <v>0.199188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Data'!$A$2:$B$8,MATCH(WEEKDAY('SC Total Power'!A92,3),'Master Data'!$A$2:$A$8,0),2)</f>
        <v>W</v>
      </c>
      <c r="D92" s="112" t="n">
        <v>0</v>
      </c>
      <c r="E92" s="112" t="n">
        <v>198411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31" t="n">
        <f aca="false">E92/P$3</f>
        <v>0.198411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Data'!$A$2:$B$8,MATCH(WEEKDAY('SC Total Power'!A93,3),'Master Data'!$A$2:$A$8,0),2)</f>
        <v>Th</v>
      </c>
      <c r="D93" s="112" t="n">
        <v>0</v>
      </c>
      <c r="E93" s="112" t="n">
        <v>197677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31" t="n">
        <f aca="false">E93/P$3</f>
        <v>0.197677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Data'!$A$2:$B$8,MATCH(WEEKDAY('SC Total Power'!A94,3),'Master Data'!$A$2:$A$8,0),2)</f>
        <v>F</v>
      </c>
      <c r="D94" s="112" t="n">
        <v>0</v>
      </c>
      <c r="E94" s="112" t="n">
        <v>196318</v>
      </c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31" t="n">
        <f aca="false">E94/P$3</f>
        <v>0.196318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Data'!$A$2:$B$8,MATCH(WEEKDAY('SC Total Power'!A95,3),'Master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31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Data'!$A$2:$B$8,MATCH(WEEKDAY('SC Total Power'!A96,3),'Master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31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Data'!$A$2:$B$8,MATCH(WEEKDAY('SC Total Power'!A97,3),'Master Data'!$A$2:$A$8,0),2)</f>
        <v>M</v>
      </c>
      <c r="D97" s="112" t="n">
        <v>0</v>
      </c>
      <c r="E97" s="112" t="n">
        <v>194974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31" t="n">
        <f aca="false">E97/P$3</f>
        <v>0.194974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Data'!$A$2:$B$8,MATCH(WEEKDAY('SC Total Power'!A98,3),'Master Data'!$A$2:$A$8,0),2)</f>
        <v>T</v>
      </c>
      <c r="D98" s="112" t="n">
        <v>0</v>
      </c>
      <c r="E98" s="112" t="n">
        <v>194256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31" t="n">
        <f aca="false">E98/P$3</f>
        <v>0.194256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Data'!$A$2:$B$8,MATCH(WEEKDAY('SC Total Power'!A99,3),'Master Data'!$A$2:$A$8,0),2)</f>
        <v>W</v>
      </c>
      <c r="D99" s="112" t="n">
        <v>0</v>
      </c>
      <c r="E99" s="112" t="n">
        <v>193547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31" t="n">
        <f aca="false">E99/P$3</f>
        <v>0.193547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Data'!$A$2:$B$8,MATCH(WEEKDAY('SC Total Power'!A100,3),'Master Data'!$A$2:$A$8,0),2)</f>
        <v>Th</v>
      </c>
      <c r="D100" s="112" t="n">
        <v>0</v>
      </c>
      <c r="E100" s="112" t="n">
        <v>192857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31" t="n">
        <f aca="false">E100/P$3</f>
        <v>0.192857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Data'!$A$2:$B$8,MATCH(WEEKDAY('SC Total Power'!A101,3),'Master Data'!$A$2:$A$8,0),2)</f>
        <v>F</v>
      </c>
      <c r="D101" s="112" t="n">
        <v>0</v>
      </c>
      <c r="E101" s="112" t="n">
        <v>192102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31" t="n">
        <f aca="false">E101/P$3</f>
        <v>0.192102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Data'!$A$2:$B$8,MATCH(WEEKDAY('SC Total Power'!A102,3),'Master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31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Data'!$A$2:$B$8,MATCH(WEEKDAY('SC Total Power'!A103,3),'Master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31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Data'!$A$2:$B$8,MATCH(WEEKDAY('SC Total Power'!A104,3),'Master Data'!$A$2:$A$8,0),2)</f>
        <v>M</v>
      </c>
      <c r="D104" s="112" t="n">
        <v>0</v>
      </c>
      <c r="E104" s="112" t="n">
        <v>190112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31" t="n">
        <f aca="false">E104/P$3</f>
        <v>0.190112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Data'!$A$2:$B$8,MATCH(WEEKDAY('SC Total Power'!A105,3),'Master Data'!$A$2:$A$8,0),2)</f>
        <v>T</v>
      </c>
      <c r="D105" s="112" t="n">
        <v>0</v>
      </c>
      <c r="E105" s="112" t="n">
        <v>189822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31" t="n">
        <f aca="false">E105/P$3</f>
        <v>0.189822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Data'!$A$2:$B$8,MATCH(WEEKDAY('SC Total Power'!A106,3),'Master Data'!$A$2:$A$8,0),2)</f>
        <v>W</v>
      </c>
      <c r="D106" s="112" t="n">
        <v>0</v>
      </c>
      <c r="E106" s="112" t="n">
        <v>188583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31" t="n">
        <f aca="false">E106/P$3</f>
        <v>0.188583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Data'!$A$2:$B$8,MATCH(WEEKDAY('SC Total Power'!A107,3),'Master Data'!$A$2:$A$8,0),2)</f>
        <v>Th</v>
      </c>
      <c r="D107" s="112" t="n">
        <v>0</v>
      </c>
      <c r="E107" s="112" t="n">
        <v>187943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31" t="n">
        <f aca="false">E107/P$3</f>
        <v>0.187943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Data'!$A$2:$B$8,MATCH(WEEKDAY('SC Total Power'!A108,3),'Master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31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Data'!$A$2:$B$8,MATCH(WEEKDAY('SC Total Power'!A109,3),'Master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31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Data'!$A$2:$B$8,MATCH(WEEKDAY('SC Total Power'!A110,3),'Master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31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Data'!$A$2:$B$8,MATCH(WEEKDAY('SC Total Power'!A111,3),'Master Data'!$A$2:$A$8,0),2)</f>
        <v>M</v>
      </c>
      <c r="D111" s="112" t="n">
        <v>0</v>
      </c>
      <c r="E111" s="112" t="n">
        <v>185252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31" t="n">
        <f aca="false">E111/P$3</f>
        <v>0.185252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Data'!$A$2:$B$8,MATCH(WEEKDAY('SC Total Power'!A112,3),'Master Data'!$A$2:$A$8,0),2)</f>
        <v>T</v>
      </c>
      <c r="D112" s="112" t="n">
        <v>0</v>
      </c>
      <c r="E112" s="112" t="n">
        <v>184480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31" t="n">
        <f aca="false">E112/P$3</f>
        <v>0.18448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Data'!$A$2:$B$8,MATCH(WEEKDAY('SC Total Power'!A113,3),'Master Data'!$A$2:$A$8,0),2)</f>
        <v>W</v>
      </c>
      <c r="D113" s="112" t="n">
        <v>0</v>
      </c>
      <c r="E113" s="112" t="n">
        <v>183770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31" t="n">
        <f aca="false">E113/P$3</f>
        <v>0.18377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Data'!$A$2:$B$8,MATCH(WEEKDAY('SC Total Power'!A114,3),'Master Data'!$A$2:$A$8,0),2)</f>
        <v>Th</v>
      </c>
      <c r="D114" s="112" t="n">
        <v>0</v>
      </c>
      <c r="E114" s="112" t="n">
        <v>184312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31" t="n">
        <f aca="false">E114/P$3</f>
        <v>0.184312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Data'!$A$2:$B$8,MATCH(WEEKDAY('SC Total Power'!A115,3),'Master Data'!$A$2:$A$8,0),2)</f>
        <v>F</v>
      </c>
      <c r="D115" s="112" t="n">
        <v>0</v>
      </c>
      <c r="E115" s="112" t="n">
        <v>182588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31" t="n">
        <f aca="false">E115/P$3</f>
        <v>0.182588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Data'!$A$2:$B$8,MATCH(WEEKDAY('SC Total Power'!A116,3),'Master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31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Data'!$A$2:$B$8,MATCH(WEEKDAY('SC Total Power'!A117,3),'Master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31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Data'!$A$2:$B$8,MATCH(WEEKDAY('SC Total Power'!A118,3),'Master Data'!$A$2:$A$8,0),2)</f>
        <v>M</v>
      </c>
      <c r="D118" s="112" t="n">
        <v>0</v>
      </c>
      <c r="E118" s="112" t="n">
        <v>180574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31" t="n">
        <f aca="false">E118/P$3</f>
        <v>0.180574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Data'!$A$2:$B$8,MATCH(WEEKDAY('SC Total Power'!A119,3),'Master Data'!$A$2:$A$8,0),2)</f>
        <v>T</v>
      </c>
      <c r="D119" s="112" t="n">
        <v>0</v>
      </c>
      <c r="E119" s="112" t="n">
        <v>179875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31" t="n">
        <f aca="false">E119/P$3</f>
        <v>0.179875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Data'!$A$2:$B$8,MATCH(WEEKDAY('SC Total Power'!A120,3),'Master Data'!$A$2:$A$8,0),2)</f>
        <v>W</v>
      </c>
      <c r="D120" s="112" t="n">
        <v>0</v>
      </c>
      <c r="E120" s="112" t="n">
        <v>179146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31" t="n">
        <f aca="false">E120/P$3</f>
        <v>0.179146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Data'!$A$2:$B$8,MATCH(WEEKDAY('SC Total Power'!A121,3),'Master Data'!$A$2:$A$8,0),2)</f>
        <v>Th</v>
      </c>
      <c r="D121" s="112" t="n">
        <v>0</v>
      </c>
      <c r="E121" s="112" t="n">
        <v>178399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31" t="n">
        <f aca="false">E121/P$3</f>
        <v>0.178399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Data'!$A$2:$B$8,MATCH(WEEKDAY('SC Total Power'!A122,3),'Master Data'!$A$2:$A$8,0),2)</f>
        <v>F</v>
      </c>
      <c r="D122" s="112" t="n">
        <v>0</v>
      </c>
      <c r="E122" s="112" t="n">
        <v>177674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31" t="n">
        <f aca="false">E122/P$3</f>
        <v>0.177674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Data'!$A$2:$B$8,MATCH(WEEKDAY('SC Total Power'!A123,3),'Master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31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Data'!$A$2:$B$8,MATCH(WEEKDAY('SC Total Power'!A124,3),'Master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31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Data'!$A$2:$B$8,MATCH(WEEKDAY('SC Total Power'!A125,3),'Master Data'!$A$2:$A$8,0),2)</f>
        <v>M</v>
      </c>
      <c r="D125" s="112" t="n">
        <v>0</v>
      </c>
      <c r="E125" s="112" t="n">
        <v>175610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31" t="n">
        <f aca="false">E125/P$3</f>
        <v>0.17561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Data'!$A$2:$B$8,MATCH(WEEKDAY('SC Total Power'!A126,3),'Master Data'!$A$2:$A$8,0),2)</f>
        <v>T</v>
      </c>
      <c r="D126" s="112" t="n">
        <v>0</v>
      </c>
      <c r="E126" s="112" t="n">
        <v>174983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31" t="n">
        <f aca="false">E126/P$3</f>
        <v>0.174983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Data'!$A$2:$B$8,MATCH(WEEKDAY('SC Total Power'!A127,3),'Master Data'!$A$2:$A$8,0),2)</f>
        <v>W</v>
      </c>
      <c r="D127" s="112" t="n">
        <v>0</v>
      </c>
      <c r="E127" s="112" t="n">
        <v>174382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31" t="n">
        <f aca="false">E127/P$3</f>
        <v>0.174382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Data'!$A$2:$B$8,MATCH(WEEKDAY('SC Total Power'!A128,3),'Master Data'!$A$2:$A$8,0),2)</f>
        <v>Th</v>
      </c>
      <c r="D128" s="112" t="n">
        <v>0</v>
      </c>
      <c r="E128" s="112" t="n">
        <v>496398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31" t="n">
        <f aca="false">E128/P$3</f>
        <v>0.496398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Data'!$A$2:$B$8,MATCH(WEEKDAY('SC Total Power'!A129,3),'Master Data'!$A$2:$A$8,0),2)</f>
        <v>F</v>
      </c>
      <c r="D129" s="112" t="n">
        <v>0</v>
      </c>
      <c r="E129" s="112" t="n">
        <v>495221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31" t="n">
        <f aca="false">E129/P$3</f>
        <v>0.495221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Data'!$A$2:$B$8,MATCH(WEEKDAY('SC Total Power'!A130,3),'Master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31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Data'!$A$2:$B$8,MATCH(WEEKDAY('SC Total Power'!A131,3),'Master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31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Data'!$A$2:$B$8,MATCH(WEEKDAY('SC Total Power'!A132,3),'Master Data'!$A$2:$A$8,0),2)</f>
        <v>M</v>
      </c>
      <c r="D132" s="112" t="n">
        <v>0</v>
      </c>
      <c r="E132" s="112" t="n">
        <v>491578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31" t="n">
        <f aca="false">E132/P$3</f>
        <v>0.491578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Data'!$A$2:$B$8,MATCH(WEEKDAY('SC Total Power'!A133,3),'Master Data'!$A$2:$A$8,0),2)</f>
        <v>T</v>
      </c>
      <c r="D133" s="112" t="n">
        <v>0</v>
      </c>
      <c r="E133" s="112" t="n">
        <v>502964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31" t="n">
        <f aca="false">E133/P$3</f>
        <v>0.502964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Data'!$A$2:$B$8,MATCH(WEEKDAY('SC Total Power'!A134,3),'Master Data'!$A$2:$A$8,0),2)</f>
        <v>W</v>
      </c>
      <c r="D134" s="112" t="n">
        <v>0</v>
      </c>
      <c r="E134" s="112" t="n">
        <v>315593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31" t="n">
        <f aca="false">E134/P$3</f>
        <v>0.315593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Data'!$A$2:$B$8,MATCH(WEEKDAY('SC Total Power'!A135,3),'Master Data'!$A$2:$A$8,0),2)</f>
        <v>Th</v>
      </c>
      <c r="D135" s="112" t="n">
        <v>0</v>
      </c>
      <c r="E135" s="112" t="n">
        <v>501514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31" t="n">
        <f aca="false">E135/P$3</f>
        <v>0.501514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Data'!$A$2:$B$8,MATCH(WEEKDAY('SC Total Power'!A136,3),'Master Data'!$A$2:$A$8,0),2)</f>
        <v>F</v>
      </c>
      <c r="D136" s="112" t="n">
        <v>0</v>
      </c>
      <c r="E136" s="112" t="n">
        <v>493707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31" t="n">
        <f aca="false">E136/P$3</f>
        <v>0.493707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Data'!$A$2:$B$8,MATCH(WEEKDAY('SC Total Power'!A137,3),'Master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31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Data'!$A$2:$B$8,MATCH(WEEKDAY('SC Total Power'!A138,3),'Master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31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Data'!$A$2:$B$8,MATCH(WEEKDAY('SC Total Power'!A139,3),'Master Data'!$A$2:$A$8,0),2)</f>
        <v>M</v>
      </c>
      <c r="D139" s="112" t="n">
        <v>0</v>
      </c>
      <c r="E139" s="112" t="n">
        <v>489161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31" t="n">
        <f aca="false">E139/P$3</f>
        <v>0.489161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Data'!$A$2:$B$8,MATCH(WEEKDAY('SC Total Power'!A140,3),'Master Data'!$A$2:$A$8,0),2)</f>
        <v>T</v>
      </c>
      <c r="D140" s="112" t="n">
        <v>0</v>
      </c>
      <c r="E140" s="112" t="n">
        <v>487972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31" t="n">
        <f aca="false">E140/P$3</f>
        <v>0.487972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Data'!$A$2:$B$8,MATCH(WEEKDAY('SC Total Power'!A141,3),'Master Data'!$A$2:$A$8,0),2)</f>
        <v>W</v>
      </c>
      <c r="D141" s="112" t="n">
        <v>0</v>
      </c>
      <c r="E141" s="112" t="n">
        <v>1325411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0</v>
      </c>
      <c r="Q141" s="131" t="n">
        <f aca="false">E141/P$3</f>
        <v>1.325411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Data'!$A$2:$B$8,MATCH(WEEKDAY('SC Total Power'!A142,3),'Master Data'!$A$2:$A$8,0),2)</f>
        <v>Th</v>
      </c>
      <c r="D142" s="112" t="n">
        <v>0</v>
      </c>
      <c r="E142" s="112" t="n">
        <v>1478380.0119661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0</v>
      </c>
      <c r="Q142" s="131" t="n">
        <f aca="false">E142/P$3</f>
        <v>1.4783800119661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Data'!$A$2:$B$8,MATCH(WEEKDAY('SC Total Power'!A143,3),'Master Data'!$A$2:$A$8,0),2)</f>
        <v>F</v>
      </c>
      <c r="D143" s="112" t="n">
        <v>0</v>
      </c>
      <c r="E143" s="112" t="n">
        <v>1476872.2505077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0</v>
      </c>
      <c r="Q143" s="131" t="n">
        <f aca="false">E143/P$3</f>
        <v>1.4768722505077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Data'!$A$2:$B$8,MATCH(WEEKDAY('SC Total Power'!A144,3),'Master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31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Data'!$A$2:$B$8,MATCH(WEEKDAY('SC Total Power'!A145,3),'Master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31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Data'!$A$2:$B$8,MATCH(WEEKDAY('SC Total Power'!A146,3),'Master Data'!$A$2:$A$8,0),2)</f>
        <v>M</v>
      </c>
      <c r="D146" s="112" t="n">
        <v>0</v>
      </c>
      <c r="E146" s="112" t="n">
        <v>1478704.58581826</v>
      </c>
      <c r="F146" s="112" t="n">
        <v>0</v>
      </c>
      <c r="G146" s="112" t="n">
        <v>0</v>
      </c>
      <c r="I146" s="112" t="n">
        <f aca="false">IF(MONTH($A146)=MONTH($A145),IF(G148=0,I145,G148),G148)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D148/P$3</f>
        <v>0</v>
      </c>
      <c r="Q146" s="131" t="n">
        <f aca="false">E146/P$3</f>
        <v>1.47870458581826</v>
      </c>
      <c r="R146" s="112" t="n">
        <f aca="false">F148/R$3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Data'!$A$2:$B$8,MATCH(WEEKDAY('SC Total Power'!A147,3),'Master Data'!$A$2:$A$8,0),2)</f>
        <v>T</v>
      </c>
      <c r="D147" s="112" t="n">
        <v>0</v>
      </c>
      <c r="E147" s="112" t="n">
        <v>1479290.28696374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0</v>
      </c>
      <c r="Q147" s="131" t="n">
        <f aca="false">E147/P$3</f>
        <v>1.47929028696374</v>
      </c>
      <c r="R147" s="112" t="n">
        <f aca="false">F149/R$3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Data'!$A$2:$B$8,MATCH(WEEKDAY('SC Total Power'!A148,3),'Master Data'!$A$2:$A$8,0),2)</f>
        <v>W</v>
      </c>
      <c r="D148" s="112" t="n">
        <v>0</v>
      </c>
      <c r="E148" s="112" t="n">
        <v>382786.308118524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0</v>
      </c>
      <c r="P148" s="112" t="n">
        <f aca="false">D148/P$3</f>
        <v>0</v>
      </c>
      <c r="Q148" s="131" t="n">
        <f aca="false">E148/P$3</f>
        <v>0.382786308118524</v>
      </c>
      <c r="R148" s="112" t="n">
        <f aca="false">F150/R$3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0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Data'!$A$2:$B$8,MATCH(WEEKDAY('SC Total Power'!A149,3),'Master Data'!$A$2:$A$8,0),2)</f>
        <v>Th</v>
      </c>
      <c r="D149" s="112" t="n">
        <v>0</v>
      </c>
      <c r="E149" s="112" t="n">
        <v>382786.308118524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0</v>
      </c>
      <c r="P149" s="112" t="n">
        <f aca="false">D149/P$3</f>
        <v>0</v>
      </c>
      <c r="Q149" s="131" t="n">
        <f aca="false">E149/P$3</f>
        <v>0.382786308118524</v>
      </c>
      <c r="R149" s="112" t="n">
        <f aca="false">F151/R$3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0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Data'!$A$2:$B$8,MATCH(WEEKDAY('SC Total Power'!A150,3),'Master Data'!$A$2:$A$8,0),2)</f>
        <v>F</v>
      </c>
      <c r="D150" s="112" t="n">
        <v>0</v>
      </c>
      <c r="E150" s="112" t="n">
        <v>352177.56696502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0</v>
      </c>
      <c r="P150" s="112" t="n">
        <f aca="false">D150/P$3</f>
        <v>0</v>
      </c>
      <c r="Q150" s="131" t="n">
        <f aca="false">E150/P$3</f>
        <v>0.35217756696502</v>
      </c>
      <c r="R150" s="112" t="n">
        <f aca="false">F152/R$3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0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Data'!$A$2:$B$8,MATCH(WEEKDAY('SC Total Power'!A151,3),'Master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0</v>
      </c>
      <c r="P151" s="112" t="n">
        <f aca="false">D151/P$3</f>
        <v>0</v>
      </c>
      <c r="Q151" s="131" t="n">
        <f aca="false">E151/P$3</f>
        <v>0</v>
      </c>
      <c r="R151" s="112" t="n">
        <f aca="false">F153/R$3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Data'!$A$2:$B$8,MATCH(WEEKDAY('SC Total Power'!A152,3),'Master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0</v>
      </c>
      <c r="P152" s="112" t="n">
        <f aca="false">D152/P$3</f>
        <v>0</v>
      </c>
      <c r="Q152" s="131" t="n">
        <f aca="false">E152/P$3</f>
        <v>0</v>
      </c>
      <c r="R152" s="112" t="n">
        <f aca="false">F154/R$3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Data'!$A$2:$B$8,MATCH(WEEKDAY('SC Total Power'!A153,3),'Master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0</v>
      </c>
      <c r="P153" s="112" t="n">
        <f aca="false">D153/P$3</f>
        <v>0</v>
      </c>
      <c r="Q153" s="131" t="n">
        <f aca="false">E153/P$3</f>
        <v>0</v>
      </c>
      <c r="R153" s="112" t="n">
        <f aca="false">F155/R$3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Data'!$A$2:$B$8,MATCH(WEEKDAY('SC Total Power'!A154,3),'Master Data'!$A$2:$A$8,0),2)</f>
        <v>T</v>
      </c>
      <c r="D154" s="112" t="n">
        <v>0</v>
      </c>
      <c r="E154" s="112" t="n">
        <v>431147.886475574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0</v>
      </c>
      <c r="P154" s="112" t="n">
        <f aca="false">D154/P$3</f>
        <v>0</v>
      </c>
      <c r="Q154" s="131" t="n">
        <f aca="false">E154/P$3</f>
        <v>0.431147886475574</v>
      </c>
      <c r="R154" s="112" t="n">
        <f aca="false">F156/R$3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0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Data'!$A$2:$B$8,MATCH(WEEKDAY('SC Total Power'!A155,3),'Master Data'!$A$2:$A$8,0),2)</f>
        <v>W</v>
      </c>
      <c r="D155" s="112" t="n">
        <v>0</v>
      </c>
      <c r="E155" s="112" t="n">
        <v>431147.886475574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0</v>
      </c>
      <c r="P155" s="112" t="n">
        <f aca="false">D155/P$3</f>
        <v>0</v>
      </c>
      <c r="Q155" s="131" t="n">
        <f aca="false">E155/P$3</f>
        <v>0.431147886475574</v>
      </c>
      <c r="R155" s="112" t="n">
        <f aca="false">F157/R$3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0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Data'!$A$2:$B$8,MATCH(WEEKDAY('SC Total Power'!A156,3),'Master Data'!$A$2:$A$8,0),2)</f>
        <v>Th</v>
      </c>
      <c r="D156" s="112" t="n">
        <v>0</v>
      </c>
      <c r="E156" s="112" t="n">
        <v>430736.92439457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0</v>
      </c>
      <c r="P156" s="112" t="n">
        <f aca="false">D156/P$3</f>
        <v>0</v>
      </c>
      <c r="Q156" s="131" t="n">
        <f aca="false">E156/P$3</f>
        <v>0.43073692439457</v>
      </c>
      <c r="R156" s="112" t="n">
        <f aca="false">F158/R$3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0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Data'!$A$2:$B$8,MATCH(WEEKDAY('SC Total Power'!A157,3),'Master Data'!$A$2:$A$8,0),2)</f>
        <v>F</v>
      </c>
      <c r="D157" s="112" t="n">
        <v>0</v>
      </c>
      <c r="E157" s="112" t="n">
        <v>430987.052827677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0</v>
      </c>
      <c r="P157" s="112" t="n">
        <f aca="false">D157/P$3</f>
        <v>0</v>
      </c>
      <c r="Q157" s="131" t="n">
        <f aca="false">E157/P$3</f>
        <v>0.430987052827677</v>
      </c>
      <c r="R157" s="112" t="n">
        <f aca="false">F159/R$3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0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Data'!$A$2:$B$8,MATCH(WEEKDAY('SC Total Power'!A158,3),'Master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0</v>
      </c>
      <c r="P158" s="112" t="n">
        <f aca="false">D158/P$3</f>
        <v>0</v>
      </c>
      <c r="Q158" s="131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0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Data'!$A$2:$B$8,MATCH(WEEKDAY('SC Total Power'!A159,3),'Master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0</v>
      </c>
      <c r="P159" s="112" t="n">
        <f aca="false">D159/P$3</f>
        <v>0</v>
      </c>
      <c r="Q159" s="131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0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Data'!$A$2:$B$8,MATCH(WEEKDAY('SC Total Power'!A160,3),'Master Data'!$A$2:$A$8,0),2)</f>
        <v>M</v>
      </c>
      <c r="D160" s="112" t="n">
        <v>0</v>
      </c>
      <c r="E160" s="112" t="n">
        <v>431072.629893925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0</v>
      </c>
      <c r="P160" s="112" t="n">
        <f aca="false">D160/P$3</f>
        <v>0</v>
      </c>
      <c r="Q160" s="131" t="n">
        <f aca="false">E160/P$3</f>
        <v>0.431072629893925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0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Data'!$A$2:$B$8,MATCH(WEEKDAY('SC Total Power'!A161,3),'Master Data'!$A$2:$A$8,0),2)</f>
        <v>T</v>
      </c>
      <c r="D161" s="112" t="n">
        <v>0</v>
      </c>
      <c r="E161" s="112" t="n">
        <v>431161.793290534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0</v>
      </c>
      <c r="P161" s="112" t="n">
        <f aca="false">D161/P$3</f>
        <v>0</v>
      </c>
      <c r="Q161" s="131" t="n">
        <f aca="false">E161/P$3</f>
        <v>0.431161793290534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0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Data'!$A$2:$B$8,MATCH(WEEKDAY('SC Total Power'!A162,3),'Master Data'!$A$2:$A$8,0),2)</f>
        <v>W</v>
      </c>
      <c r="D162" s="112" t="n">
        <v>0</v>
      </c>
      <c r="E162" s="112" t="n">
        <v>431251.347149006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0</v>
      </c>
      <c r="P162" s="112" t="n">
        <f aca="false">D162/P$3</f>
        <v>0</v>
      </c>
      <c r="Q162" s="131" t="n">
        <f aca="false">E162/P$3</f>
        <v>0.431251347149006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0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Data'!$A$2:$B$8,MATCH(WEEKDAY('SC Total Power'!A163,3),'Master Data'!$A$2:$A$8,0),2)</f>
        <v>Th</v>
      </c>
      <c r="D163" s="112" t="n">
        <v>0</v>
      </c>
      <c r="E163" s="112" t="n">
        <v>431340.785374836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0</v>
      </c>
      <c r="P163" s="112" t="n">
        <f aca="false">D163/P$3</f>
        <v>0</v>
      </c>
      <c r="Q163" s="131" t="n">
        <f aca="false">E163/P$3</f>
        <v>0.431340785374836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0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Data'!$A$2:$B$8,MATCH(WEEKDAY('SC Total Power'!A164,3),'Master Data'!$A$2:$A$8,0),2)</f>
        <v>F</v>
      </c>
      <c r="D164" s="112" t="n">
        <v>0</v>
      </c>
      <c r="E164" s="112" t="n">
        <v>431435.878086816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0</v>
      </c>
      <c r="P164" s="112" t="n">
        <f aca="false">D164/P$3</f>
        <v>0</v>
      </c>
      <c r="Q164" s="131" t="n">
        <f aca="false">E164/P$3</f>
        <v>0.431435878086816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0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Data'!$A$2:$B$8,MATCH(WEEKDAY('SC Total Power'!A165,3),'Master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0</v>
      </c>
      <c r="P165" s="112" t="n">
        <f aca="false">D165/P$3</f>
        <v>0</v>
      </c>
      <c r="Q165" s="131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0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Data'!$A$2:$B$8,MATCH(WEEKDAY('SC Total Power'!A166,3),'Master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0</v>
      </c>
      <c r="P166" s="112" t="n">
        <f aca="false">D166/P$3</f>
        <v>0</v>
      </c>
      <c r="Q166" s="131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0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Data'!$A$2:$B$8,MATCH(WEEKDAY('SC Total Power'!A167,3),'Master Data'!$A$2:$A$8,0),2)</f>
        <v>M</v>
      </c>
      <c r="D167" s="112" t="n">
        <v>0</v>
      </c>
      <c r="E167" s="112" t="n">
        <v>431579.90802542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0</v>
      </c>
      <c r="P167" s="112" t="n">
        <f aca="false">D167/P$3</f>
        <v>0</v>
      </c>
      <c r="Q167" s="131" t="n">
        <f aca="false">E167/P$3</f>
        <v>0.43157990802542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0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Data'!$A$2:$B$8,MATCH(WEEKDAY('SC Total Power'!A168,3),'Master Data'!$A$2:$A$8,0),2)</f>
        <v>T</v>
      </c>
      <c r="D168" s="112" t="n">
        <v>0</v>
      </c>
      <c r="E168" s="112" t="n">
        <v>431747.392240881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0</v>
      </c>
      <c r="P168" s="112" t="n">
        <f aca="false">D168/P$3</f>
        <v>0</v>
      </c>
      <c r="Q168" s="131" t="n">
        <f aca="false">E168/P$3</f>
        <v>0.431747392240881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0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Data'!$A$2:$B$8,MATCH(WEEKDAY('SC Total Power'!A169,3),'Master Data'!$A$2:$A$8,0),2)</f>
        <v>W</v>
      </c>
      <c r="D169" s="112" t="n">
        <v>0</v>
      </c>
      <c r="E169" s="112" t="n">
        <v>431853.29814181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0</v>
      </c>
      <c r="P169" s="112" t="n">
        <f aca="false">D169/P$3</f>
        <v>0</v>
      </c>
      <c r="Q169" s="131" t="n">
        <f aca="false">E169/P$3</f>
        <v>0.43185329814181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0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Data'!$A$2:$B$8,MATCH(WEEKDAY('SC Total Power'!A170,3),'Master Data'!$A$2:$A$8,0),2)</f>
        <v>Th</v>
      </c>
      <c r="D170" s="112" t="n">
        <v>0</v>
      </c>
      <c r="E170" s="112" t="n">
        <v>431939.05763128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0</v>
      </c>
      <c r="P170" s="112" t="n">
        <f aca="false">D170/P$3</f>
        <v>0</v>
      </c>
      <c r="Q170" s="131" t="n">
        <f aca="false">E170/P$3</f>
        <v>0.43193905763128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0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Data'!$A$2:$B$8,MATCH(WEEKDAY('SC Total Power'!A171,3),'Master Data'!$A$2:$A$8,0),2)</f>
        <v>F</v>
      </c>
      <c r="D171" s="112" t="n">
        <v>0</v>
      </c>
      <c r="E171" s="112" t="n">
        <v>432049.860054029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0</v>
      </c>
      <c r="P171" s="112" t="n">
        <f aca="false">D171/P$3</f>
        <v>0</v>
      </c>
      <c r="Q171" s="131" t="n">
        <f aca="false">E171/P$3</f>
        <v>0.432049860054029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0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Data'!$A$2:$B$8,MATCH(WEEKDAY('SC Total Power'!A172,3),'Master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0</v>
      </c>
      <c r="P172" s="112" t="n">
        <f aca="false">D172/P$3</f>
        <v>0</v>
      </c>
      <c r="Q172" s="131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0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Data'!$A$2:$B$8,MATCH(WEEKDAY('SC Total Power'!A173,3),'Master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0</v>
      </c>
      <c r="P173" s="112" t="n">
        <f aca="false">D173/P$3</f>
        <v>0</v>
      </c>
      <c r="Q173" s="131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0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Data'!$A$2:$B$8,MATCH(WEEKDAY('SC Total Power'!A174,3),'Master Data'!$A$2:$A$8,0),2)</f>
        <v>M</v>
      </c>
      <c r="D174" s="112" t="n">
        <v>0</v>
      </c>
      <c r="E174" s="112" t="n">
        <v>432340.603218189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0</v>
      </c>
      <c r="P174" s="112" t="n">
        <f aca="false">D174/P$3</f>
        <v>0</v>
      </c>
      <c r="Q174" s="131" t="n">
        <f aca="false">E174/P$3</f>
        <v>0.432340603218189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0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Data'!$A$2:$B$8,MATCH(WEEKDAY('SC Total Power'!A175,3),'Master Data'!$A$2:$A$8,0),2)</f>
        <v>T</v>
      </c>
      <c r="D175" s="112" t="n">
        <v>0</v>
      </c>
      <c r="E175" s="112" t="n">
        <v>432575.790879372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0</v>
      </c>
      <c r="P175" s="112" t="n">
        <f aca="false">D175/P$3</f>
        <v>0</v>
      </c>
      <c r="Q175" s="131" t="n">
        <f aca="false">E175/P$3</f>
        <v>0.432575790879372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0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Data'!$A$2:$B$8,MATCH(WEEKDAY('SC Total Power'!A176,3),'Master Data'!$A$2:$A$8,0),2)</f>
        <v>W</v>
      </c>
      <c r="D176" s="112" t="n">
        <v>0</v>
      </c>
      <c r="E176" s="112" t="n">
        <v>432586.882866803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0</v>
      </c>
      <c r="P176" s="112" t="n">
        <f aca="false">D176/P$3</f>
        <v>0</v>
      </c>
      <c r="Q176" s="131" t="n">
        <f aca="false">E176/P$3</f>
        <v>0.432586882866803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0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Data'!$A$2:$B$8,MATCH(WEEKDAY('SC Total Power'!A177,3),'Master Data'!$A$2:$A$8,0),2)</f>
        <v>Th</v>
      </c>
      <c r="D177" s="112" t="n">
        <v>0</v>
      </c>
      <c r="E177" s="112" t="n">
        <v>432858.350610869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0</v>
      </c>
      <c r="P177" s="112" t="n">
        <f aca="false">D177/P$3</f>
        <v>0</v>
      </c>
      <c r="Q177" s="131" t="n">
        <f aca="false">E177/P$3</f>
        <v>0.432858350610869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0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Data'!$A$2:$B$8,MATCH(WEEKDAY('SC Total Power'!A178,3),'Master Data'!$A$2:$A$8,0),2)</f>
        <v>F</v>
      </c>
      <c r="D178" s="112" t="n">
        <v>0</v>
      </c>
      <c r="E178" s="112" t="n">
        <v>432936.127199564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0</v>
      </c>
      <c r="P178" s="112" t="n">
        <f aca="false">D178/P$3</f>
        <v>0</v>
      </c>
      <c r="Q178" s="131" t="n">
        <f aca="false">E178/P$3</f>
        <v>0.432936127199564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0</v>
      </c>
      <c r="X178" s="132"/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Data'!$A$2:$B$8,MATCH(WEEKDAY('SC Total Power'!A179,3),'Master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0</v>
      </c>
      <c r="P179" s="112" t="n">
        <f aca="false">D179/P$3</f>
        <v>0</v>
      </c>
      <c r="Q179" s="131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0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Data'!$A$2:$B$8,MATCH(WEEKDAY('SC Total Power'!A180,3),'Master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0</v>
      </c>
      <c r="P180" s="112" t="n">
        <f aca="false">D180/P$3</f>
        <v>0</v>
      </c>
      <c r="Q180" s="131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0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Data'!$A$2:$B$8,MATCH(WEEKDAY('SC Total Power'!A181,3),'Master Data'!$A$2:$A$8,0),2)</f>
        <v>M</v>
      </c>
      <c r="D181" s="112" t="n">
        <v>0</v>
      </c>
      <c r="E181" s="112" t="n">
        <v>433173.469495179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0</v>
      </c>
      <c r="P181" s="112" t="n">
        <f aca="false">D181/P$3</f>
        <v>0</v>
      </c>
      <c r="Q181" s="131" t="n">
        <f aca="false">E181/P$3</f>
        <v>0.433173469495179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0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Data'!$A$2:$B$8,MATCH(WEEKDAY('SC Total Power'!A182,3),'Master Data'!$A$2:$A$8,0),2)</f>
        <v>T</v>
      </c>
      <c r="D182" s="112" t="n">
        <v>0</v>
      </c>
      <c r="E182" s="112" t="n">
        <v>433321.047118911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0</v>
      </c>
      <c r="P182" s="112" t="n">
        <f aca="false">D182/P$3</f>
        <v>0</v>
      </c>
      <c r="Q182" s="131" t="n">
        <f aca="false">E182/P$3</f>
        <v>0.433321047118911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0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Data'!$A$2:$B$8,MATCH(WEEKDAY('SC Total Power'!A183,3),'Master Data'!$A$2:$A$8,0),2)</f>
        <v>W</v>
      </c>
      <c r="D183" s="112" t="n">
        <v>0</v>
      </c>
      <c r="E183" s="112" t="n">
        <v>433314.862175534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0</v>
      </c>
      <c r="P183" s="112" t="n">
        <f aca="false">D183/P$3</f>
        <v>0</v>
      </c>
      <c r="Q183" s="131" t="n">
        <f aca="false">E183/P$3</f>
        <v>0.433314862175534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0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Data'!$A$2:$B$8,MATCH(WEEKDAY('SC Total Power'!A184,3),'Master Data'!$A$2:$A$8,0),2)</f>
        <v>Th</v>
      </c>
      <c r="D184" s="112" t="n">
        <v>0</v>
      </c>
      <c r="E184" s="112" t="n">
        <v>433405.141194157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0</v>
      </c>
      <c r="P184" s="112" t="n">
        <f aca="false">D184/P$3</f>
        <v>0</v>
      </c>
      <c r="Q184" s="131" t="n">
        <f aca="false">E184/P$3</f>
        <v>0.433405141194157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0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Data'!$A$2:$B$8,MATCH(WEEKDAY('SC Total Power'!A185,3),'Master Data'!$A$2:$A$8,0),2)</f>
        <v>F</v>
      </c>
      <c r="D185" s="112" t="n">
        <v>0</v>
      </c>
      <c r="E185" s="112" t="n">
        <v>399765.383848512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0</v>
      </c>
      <c r="P185" s="112" t="n">
        <f aca="false">D185/P$3</f>
        <v>0</v>
      </c>
      <c r="Q185" s="131" t="n">
        <f aca="false">E185/P$3</f>
        <v>0.399765383848512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0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Data'!$A$2:$B$8,MATCH(WEEKDAY('SC Total Power'!A186,3),'Master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0</v>
      </c>
      <c r="P186" s="112" t="n">
        <f aca="false">D186/P$3</f>
        <v>0</v>
      </c>
      <c r="Q186" s="131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0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Data'!$A$2:$B$8,MATCH(WEEKDAY('SC Total Power'!A187,3),'Master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0</v>
      </c>
      <c r="P187" s="112" t="n">
        <f aca="false">D187/P$3</f>
        <v>0</v>
      </c>
      <c r="Q187" s="131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0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Data'!$A$2:$B$8,MATCH(WEEKDAY('SC Total Power'!A188,3),'Master Data'!$A$2:$A$8,0),2)</f>
        <v>M</v>
      </c>
      <c r="D188" s="112" t="n">
        <v>0</v>
      </c>
      <c r="E188" s="112" t="n">
        <v>399421.725435219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SUM(J$97:J188)</f>
        <v>0</v>
      </c>
      <c r="N188" s="112" t="n">
        <f aca="false">SUM(J$6:J188)</f>
        <v>0</v>
      </c>
      <c r="P188" s="112" t="n">
        <f aca="false">D188/P$3</f>
        <v>0</v>
      </c>
      <c r="Q188" s="131" t="n">
        <f aca="false">E188/P$3</f>
        <v>0.399421725435219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0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Data'!$A$2:$B$8,MATCH(WEEKDAY('SC Total Power'!A189,3),'Master Data'!$A$2:$A$8,0),2)</f>
        <v>T</v>
      </c>
      <c r="D189" s="112" t="n">
        <v>0</v>
      </c>
      <c r="E189" s="112" t="n">
        <v>433028.174019845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SUM(J$97:J189)</f>
        <v>0</v>
      </c>
      <c r="N189" s="112" t="n">
        <f aca="false">SUM(J$6:J189)</f>
        <v>0</v>
      </c>
      <c r="P189" s="112" t="n">
        <f aca="false">D189/P$3</f>
        <v>0</v>
      </c>
      <c r="Q189" s="131" t="n">
        <f aca="false">E189/P$3</f>
        <v>0.433028174019845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0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Data'!$A$2:$B$8,MATCH(WEEKDAY('SC Total Power'!A190,3),'Master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SUM(J$97:J190)</f>
        <v>0</v>
      </c>
      <c r="N190" s="112" t="n">
        <f aca="false">SUM(J$6:J190)</f>
        <v>0</v>
      </c>
      <c r="P190" s="112" t="n">
        <f aca="false">D190/P$3</f>
        <v>0</v>
      </c>
      <c r="Q190" s="131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0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Data'!$A$2:$B$8,MATCH(WEEKDAY('SC Total Power'!A191,3),'Master Data'!$A$2:$A$8,0),2)</f>
        <v>Th</v>
      </c>
      <c r="D191" s="112" t="n">
        <v>0</v>
      </c>
      <c r="E191" s="112" t="n">
        <v>442234.794545074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SUM(J$97:J191)</f>
        <v>0</v>
      </c>
      <c r="N191" s="112" t="n">
        <f aca="false">SUM(J$6:J191)</f>
        <v>0</v>
      </c>
      <c r="P191" s="112" t="n">
        <f aca="false">D191/P$3</f>
        <v>0</v>
      </c>
      <c r="Q191" s="131" t="n">
        <f aca="false">E191/P$3</f>
        <v>0.442234794545074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0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Data'!$A$2:$B$8,MATCH(WEEKDAY('SC Total Power'!A192,3),'Master Data'!$A$2:$A$8,0),2)</f>
        <v>F</v>
      </c>
      <c r="D192" s="112" t="n">
        <v>0</v>
      </c>
      <c r="E192" s="112" t="n">
        <v>442298.092325834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SUM(J$97:J192)</f>
        <v>0</v>
      </c>
      <c r="N192" s="112" t="n">
        <f aca="false">SUM(J$6:J192)</f>
        <v>0</v>
      </c>
      <c r="P192" s="112" t="n">
        <f aca="false">D192/P$3</f>
        <v>0</v>
      </c>
      <c r="Q192" s="131" t="n">
        <f aca="false">E192/P$3</f>
        <v>0.442298092325834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0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Data'!$A$2:$B$8,MATCH(WEEKDAY('SC Total Power'!A193,3),'Master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SUM(J$97:J193)</f>
        <v>0</v>
      </c>
      <c r="N193" s="112" t="n">
        <f aca="false">SUM(J$6:J193)</f>
        <v>0</v>
      </c>
      <c r="P193" s="112" t="n">
        <f aca="false">D193/P$3</f>
        <v>0</v>
      </c>
      <c r="Q193" s="131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0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Data'!$A$2:$B$8,MATCH(WEEKDAY('SC Total Power'!A194,3),'Master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SUM(J$97:J194)</f>
        <v>0</v>
      </c>
      <c r="N194" s="112" t="n">
        <f aca="false">SUM(J$6:J194)</f>
        <v>0</v>
      </c>
      <c r="P194" s="112" t="n">
        <f aca="false">D194/P$3</f>
        <v>0</v>
      </c>
      <c r="Q194" s="131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0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Data'!$A$2:$B$8,MATCH(WEEKDAY('SC Total Power'!A195,3),'Master Data'!$A$2:$A$8,0),2)</f>
        <v>M</v>
      </c>
      <c r="D195" s="112" t="n">
        <v>0</v>
      </c>
      <c r="E195" s="112" t="n">
        <v>442552.766931476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SUM(J$97:J195)</f>
        <v>0</v>
      </c>
      <c r="N195" s="112" t="n">
        <f aca="false">SUM(J$6:J195)</f>
        <v>0</v>
      </c>
      <c r="P195" s="112" t="n">
        <f aca="false">D195/P$3</f>
        <v>0</v>
      </c>
      <c r="Q195" s="131" t="n">
        <f aca="false">E195/P$3</f>
        <v>0.442552766931476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0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Data'!$A$2:$B$8,MATCH(WEEKDAY('SC Total Power'!A196,3),'Master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SUM(J$97:J196)</f>
        <v>0</v>
      </c>
      <c r="N196" s="112" t="n">
        <f aca="false">SUM(J$6:J196)</f>
        <v>0</v>
      </c>
      <c r="P196" s="112" t="n">
        <f aca="false">D196/P$3</f>
        <v>0</v>
      </c>
      <c r="Q196" s="131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0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Data'!$A$2:$B$8,MATCH(WEEKDAY('SC Total Power'!A197,3),'Master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SUM(J$97:J197)</f>
        <v>0</v>
      </c>
      <c r="N197" s="112" t="n">
        <f aca="false">SUM(J$6:J197)</f>
        <v>0</v>
      </c>
      <c r="P197" s="112" t="n">
        <f aca="false">D197/P$3</f>
        <v>0</v>
      </c>
      <c r="Q197" s="131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0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Data'!$A$2:$B$8,MATCH(WEEKDAY('SC Total Power'!A198,3),'Master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SUM(J$97:J198)</f>
        <v>0</v>
      </c>
      <c r="N198" s="112" t="n">
        <f aca="false">SUM(J$6:J198)</f>
        <v>0</v>
      </c>
      <c r="P198" s="112" t="n">
        <f aca="false">D198/P$3</f>
        <v>0</v>
      </c>
      <c r="Q198" s="131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0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Data'!$A$2:$B$8,MATCH(WEEKDAY('SC Total Power'!A199,3),'Master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SUM(J$97:J199)</f>
        <v>0</v>
      </c>
      <c r="N199" s="112" t="n">
        <f aca="false">SUM(J$6:J199)</f>
        <v>0</v>
      </c>
      <c r="P199" s="112" t="n">
        <f aca="false">D199/P$3</f>
        <v>0</v>
      </c>
      <c r="Q199" s="131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0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Data'!$A$2:$B$8,MATCH(WEEKDAY('SC Total Power'!A200,3),'Master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SUM(J$97:J200)</f>
        <v>0</v>
      </c>
      <c r="N200" s="112" t="n">
        <f aca="false">SUM(J$6:J200)</f>
        <v>0</v>
      </c>
      <c r="P200" s="112" t="n">
        <f aca="false">D200/P$3</f>
        <v>0</v>
      </c>
      <c r="Q200" s="131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0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Data'!$A$2:$B$8,MATCH(WEEKDAY('SC Total Power'!A201,3),'Master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SUM(J$97:J201)</f>
        <v>0</v>
      </c>
      <c r="N201" s="112" t="n">
        <f aca="false">SUM(J$6:J201)</f>
        <v>0</v>
      </c>
      <c r="P201" s="112" t="n">
        <f aca="false">D201/P$3</f>
        <v>0</v>
      </c>
      <c r="Q201" s="131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0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Data'!$A$2:$B$8,MATCH(WEEKDAY('SC Total Power'!A202,3),'Master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SUM(J$97:J202)</f>
        <v>0</v>
      </c>
      <c r="N202" s="112" t="n">
        <f aca="false">SUM(J$6:J202)</f>
        <v>0</v>
      </c>
      <c r="P202" s="112" t="n">
        <f aca="false">D202/P$3</f>
        <v>0</v>
      </c>
      <c r="Q202" s="131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0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Data'!$A$2:$B$8,MATCH(WEEKDAY('SC Total Power'!A203,3),'Master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SUM(J$97:J203)</f>
        <v>0</v>
      </c>
      <c r="N203" s="112" t="n">
        <f aca="false">SUM(J$6:J203)</f>
        <v>0</v>
      </c>
      <c r="P203" s="112" t="n">
        <f aca="false">D203/P$3</f>
        <v>0</v>
      </c>
      <c r="Q203" s="131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0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Data'!$A$2:$B$8,MATCH(WEEKDAY('SC Total Power'!A204,3),'Master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SUM(J$97:J204)</f>
        <v>0</v>
      </c>
      <c r="N204" s="112" t="n">
        <f aca="false">SUM(J$6:J204)</f>
        <v>0</v>
      </c>
      <c r="P204" s="112" t="n">
        <f aca="false">D204/P$3</f>
        <v>0</v>
      </c>
      <c r="Q204" s="131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0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Data'!$A$2:$B$8,MATCH(WEEKDAY('SC Total Power'!A205,3),'Master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SUM(J$97:J205)</f>
        <v>0</v>
      </c>
      <c r="N205" s="112" t="n">
        <f aca="false">SUM(J$6:J205)</f>
        <v>0</v>
      </c>
      <c r="P205" s="112" t="n">
        <f aca="false">D205/P$3</f>
        <v>0</v>
      </c>
      <c r="Q205" s="131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0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Data'!$A$2:$B$8,MATCH(WEEKDAY('SC Total Power'!A206,3),'Master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SUM(J$97:J206)</f>
        <v>0</v>
      </c>
      <c r="N206" s="112" t="n">
        <f aca="false">SUM(J$6:J206)</f>
        <v>0</v>
      </c>
      <c r="P206" s="112" t="n">
        <f aca="false">D206/P$3</f>
        <v>0</v>
      </c>
      <c r="Q206" s="131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0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Data'!$A$2:$B$8,MATCH(WEEKDAY('SC Total Power'!A207,3),'Master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SUM(J$97:J207)</f>
        <v>0</v>
      </c>
      <c r="N207" s="112" t="n">
        <f aca="false">SUM(J$6:J207)</f>
        <v>0</v>
      </c>
      <c r="P207" s="112" t="n">
        <f aca="false">D207/P$3</f>
        <v>0</v>
      </c>
      <c r="Q207" s="131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0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Data'!$A$2:$B$8,MATCH(WEEKDAY('SC Total Power'!A208,3),'Master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SUM(J$97:J208)</f>
        <v>0</v>
      </c>
      <c r="N208" s="112" t="n">
        <f aca="false">SUM(J$6:J208)</f>
        <v>0</v>
      </c>
      <c r="P208" s="112" t="n">
        <f aca="false">D208/P$3</f>
        <v>0</v>
      </c>
      <c r="Q208" s="131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0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Data'!$A$2:$B$8,MATCH(WEEKDAY('SC Total Power'!A209,3),'Master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SUM(J$97:J209)</f>
        <v>0</v>
      </c>
      <c r="N209" s="112" t="n">
        <f aca="false">SUM(J$6:J209)</f>
        <v>0</v>
      </c>
      <c r="P209" s="112" t="n">
        <f aca="false">D209/P$3</f>
        <v>0</v>
      </c>
      <c r="Q209" s="131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0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Data'!$A$2:$B$8,MATCH(WEEKDAY('SC Total Power'!A210,3),'Master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SUM(J$97:J210)</f>
        <v>0</v>
      </c>
      <c r="N210" s="112" t="n">
        <f aca="false">SUM(J$6:J210)</f>
        <v>0</v>
      </c>
      <c r="P210" s="112" t="n">
        <f aca="false">D210/P$3</f>
        <v>0</v>
      </c>
      <c r="Q210" s="131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0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Data'!$A$2:$B$8,MATCH(WEEKDAY('SC Total Power'!A211,3),'Master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SUM(J$97:J211)</f>
        <v>0</v>
      </c>
      <c r="N211" s="112" t="n">
        <f aca="false">SUM(J$6:J211)</f>
        <v>0</v>
      </c>
      <c r="P211" s="112" t="n">
        <f aca="false">D211/P$3</f>
        <v>0</v>
      </c>
      <c r="Q211" s="131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0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Data'!$A$2:$B$8,MATCH(WEEKDAY('SC Total Power'!A212,3),'Master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SUM(J$97:J212)</f>
        <v>0</v>
      </c>
      <c r="N212" s="112" t="n">
        <f aca="false">SUM(J$6:J212)</f>
        <v>0</v>
      </c>
      <c r="P212" s="112" t="n">
        <f aca="false">D212/P$3</f>
        <v>0</v>
      </c>
      <c r="Q212" s="131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0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Data'!$A$2:$B$8,MATCH(WEEKDAY('SC Total Power'!A213,3),'Master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SUM(J$97:J213)</f>
        <v>0</v>
      </c>
      <c r="N213" s="112" t="n">
        <f aca="false">SUM(J$6:J213)</f>
        <v>0</v>
      </c>
      <c r="P213" s="112" t="n">
        <f aca="false">D213/P$3</f>
        <v>0</v>
      </c>
      <c r="Q213" s="131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0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Data'!$A$2:$B$8,MATCH(WEEKDAY('SC Total Power'!A214,3),'Master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SUM(J$97:J214)</f>
        <v>0</v>
      </c>
      <c r="N214" s="112" t="n">
        <f aca="false">SUM(J$6:J214)</f>
        <v>0</v>
      </c>
      <c r="P214" s="112" t="n">
        <f aca="false">D214/P$3</f>
        <v>0</v>
      </c>
      <c r="Q214" s="131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0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Data'!$A$2:$B$8,MATCH(WEEKDAY('SC Total Power'!A215,3),'Master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SUM(J$97:J215)</f>
        <v>0</v>
      </c>
      <c r="N215" s="112" t="n">
        <f aca="false">SUM(J$6:J215)</f>
        <v>0</v>
      </c>
      <c r="P215" s="112" t="n">
        <f aca="false">D215/P$3</f>
        <v>0</v>
      </c>
      <c r="Q215" s="131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0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Data'!$A$2:$B$8,MATCH(WEEKDAY('SC Total Power'!A216,3),'Master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SUM(J$97:J216)</f>
        <v>0</v>
      </c>
      <c r="N216" s="112" t="n">
        <f aca="false">SUM(J$6:J216)</f>
        <v>0</v>
      </c>
      <c r="P216" s="112" t="n">
        <f aca="false">D216/P$3</f>
        <v>0</v>
      </c>
      <c r="Q216" s="131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0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Data'!$A$2:$B$8,MATCH(WEEKDAY('SC Total Power'!A217,3),'Master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SUM(J$97:J217)</f>
        <v>0</v>
      </c>
      <c r="N217" s="112" t="n">
        <f aca="false">SUM(J$6:J217)</f>
        <v>0</v>
      </c>
      <c r="P217" s="112" t="n">
        <f aca="false">D217/P$3</f>
        <v>0</v>
      </c>
      <c r="Q217" s="131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0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Data'!$A$2:$B$8,MATCH(WEEKDAY('SC Total Power'!A218,3),'Master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SUM(J$97:J218)</f>
        <v>0</v>
      </c>
      <c r="N218" s="112" t="n">
        <f aca="false">SUM(J$6:J218)</f>
        <v>0</v>
      </c>
      <c r="P218" s="112" t="n">
        <f aca="false">D218/P$3</f>
        <v>0</v>
      </c>
      <c r="Q218" s="131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0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Data'!$A$2:$B$8,MATCH(WEEKDAY('SC Total Power'!A219,3),'Master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SUM(J$97:J219)</f>
        <v>0</v>
      </c>
      <c r="N219" s="112" t="n">
        <f aca="false">SUM(J$6:J219)</f>
        <v>0</v>
      </c>
      <c r="P219" s="112" t="n">
        <f aca="false">D219/P$3</f>
        <v>0</v>
      </c>
      <c r="Q219" s="131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0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Data'!$A$2:$B$8,MATCH(WEEKDAY('SC Total Power'!A220,3),'Master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SUM(J$97:J220)</f>
        <v>0</v>
      </c>
      <c r="N220" s="112" t="n">
        <f aca="false">SUM(J$6:J220)</f>
        <v>0</v>
      </c>
      <c r="P220" s="112" t="n">
        <f aca="false">D220/P$3</f>
        <v>0</v>
      </c>
      <c r="Q220" s="131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0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Data'!$A$2:$B$8,MATCH(WEEKDAY('SC Total Power'!A221,3),'Master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SUM(J$97:J221)</f>
        <v>0</v>
      </c>
      <c r="N221" s="112" t="n">
        <f aca="false">SUM(J$6:J221)</f>
        <v>0</v>
      </c>
      <c r="P221" s="112" t="n">
        <f aca="false">D221/P$3</f>
        <v>0</v>
      </c>
      <c r="Q221" s="131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0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Data'!$A$2:$B$8,MATCH(WEEKDAY('SC Total Power'!A222,3),'Master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SUM(J$97:J222)</f>
        <v>0</v>
      </c>
      <c r="N222" s="112" t="n">
        <f aca="false">SUM(J$6:J222)</f>
        <v>0</v>
      </c>
      <c r="P222" s="112" t="n">
        <f aca="false">D222/P$3</f>
        <v>0</v>
      </c>
      <c r="Q222" s="131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0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Data'!$A$2:$B$8,MATCH(WEEKDAY('SC Total Power'!A223,3),'Master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SUM(J$97:J223)</f>
        <v>0</v>
      </c>
      <c r="N223" s="112" t="n">
        <f aca="false">SUM(J$6:J223)</f>
        <v>0</v>
      </c>
      <c r="P223" s="112" t="n">
        <f aca="false">D223/P$3</f>
        <v>0</v>
      </c>
      <c r="Q223" s="131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0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Data'!$A$2:$B$8,MATCH(WEEKDAY('SC Total Power'!A224,3),'Master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SUM(J$97:J224)</f>
        <v>0</v>
      </c>
      <c r="N224" s="112" t="n">
        <f aca="false">SUM(J$6:J224)</f>
        <v>0</v>
      </c>
      <c r="P224" s="112" t="n">
        <f aca="false">D224/P$3</f>
        <v>0</v>
      </c>
      <c r="Q224" s="131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0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Data'!$A$2:$B$8,MATCH(WEEKDAY('SC Total Power'!A225,3),'Master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SUM(J$97:J225)</f>
        <v>0</v>
      </c>
      <c r="N225" s="112" t="n">
        <f aca="false">SUM(J$6:J225)</f>
        <v>0</v>
      </c>
      <c r="P225" s="112" t="n">
        <f aca="false">D225/P$3</f>
        <v>0</v>
      </c>
      <c r="Q225" s="131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0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Data'!$A$2:$B$8,MATCH(WEEKDAY('SC Total Power'!A226,3),'Master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SUM(J$97:J226)</f>
        <v>0</v>
      </c>
      <c r="N226" s="112" t="n">
        <f aca="false">SUM(J$6:J226)</f>
        <v>0</v>
      </c>
      <c r="P226" s="112" t="n">
        <f aca="false">D226/P$3</f>
        <v>0</v>
      </c>
      <c r="Q226" s="131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0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Data'!$A$2:$B$8,MATCH(WEEKDAY('SC Total Power'!A227,3),'Master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SUM(J$97:J227)</f>
        <v>0</v>
      </c>
      <c r="N227" s="112" t="n">
        <f aca="false">SUM(J$6:J227)</f>
        <v>0</v>
      </c>
      <c r="P227" s="112" t="n">
        <f aca="false">D227/P$3</f>
        <v>0</v>
      </c>
      <c r="Q227" s="131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0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Data'!$A$2:$B$8,MATCH(WEEKDAY('SC Total Power'!A228,3),'Master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SUM(J$97:J228)</f>
        <v>0</v>
      </c>
      <c r="N228" s="112" t="n">
        <f aca="false">SUM(J$6:J228)</f>
        <v>0</v>
      </c>
      <c r="P228" s="112" t="n">
        <f aca="false">D228/P$3</f>
        <v>0</v>
      </c>
      <c r="Q228" s="131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0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Data'!$A$2:$B$8,MATCH(WEEKDAY('SC Total Power'!A229,3),'Master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SUM(J$97:J229)</f>
        <v>0</v>
      </c>
      <c r="N229" s="112" t="n">
        <f aca="false">SUM(J$6:J229)</f>
        <v>0</v>
      </c>
      <c r="P229" s="112" t="n">
        <f aca="false">D229/P$3</f>
        <v>0</v>
      </c>
      <c r="Q229" s="131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0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Data'!$A$2:$B$8,MATCH(WEEKDAY('SC Total Power'!A230,3),'Master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SUM(J$97:J230)</f>
        <v>0</v>
      </c>
      <c r="N230" s="112" t="n">
        <f aca="false">SUM(J$6:J230)</f>
        <v>0</v>
      </c>
      <c r="P230" s="112" t="n">
        <f aca="false">D230/P$3</f>
        <v>0</v>
      </c>
      <c r="Q230" s="131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0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Data'!$A$2:$B$8,MATCH(WEEKDAY('SC Total Power'!A231,3),'Master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SUM(J$97:J231)</f>
        <v>0</v>
      </c>
      <c r="N231" s="112" t="n">
        <f aca="false">SUM(J$6:J231)</f>
        <v>0</v>
      </c>
      <c r="P231" s="112" t="n">
        <f aca="false">D231/P$3</f>
        <v>0</v>
      </c>
      <c r="Q231" s="131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0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Data'!$A$2:$B$8,MATCH(WEEKDAY('SC Total Power'!A232,3),'Master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SUM(J$97:J232)</f>
        <v>0</v>
      </c>
      <c r="N232" s="112" t="n">
        <f aca="false">SUM(J$6:J232)</f>
        <v>0</v>
      </c>
      <c r="P232" s="112" t="n">
        <f aca="false">D232/P$3</f>
        <v>0</v>
      </c>
      <c r="Q232" s="131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0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Data'!$A$2:$B$8,MATCH(WEEKDAY('SC Total Power'!A233,3),'Master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SUM(J$97:J233)</f>
        <v>0</v>
      </c>
      <c r="N233" s="112" t="n">
        <f aca="false">SUM(J$6:J233)</f>
        <v>0</v>
      </c>
      <c r="P233" s="112" t="n">
        <f aca="false">D233/P$3</f>
        <v>0</v>
      </c>
      <c r="Q233" s="131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0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Data'!$A$2:$B$8,MATCH(WEEKDAY('SC Total Power'!A234,3),'Master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SUM(J$97:J234)</f>
        <v>0</v>
      </c>
      <c r="N234" s="112" t="n">
        <f aca="false">SUM(J$6:J234)</f>
        <v>0</v>
      </c>
      <c r="P234" s="112" t="n">
        <f aca="false">D234/P$3</f>
        <v>0</v>
      </c>
      <c r="Q234" s="131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0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Data'!$A$2:$B$8,MATCH(WEEKDAY('SC Total Power'!A235,3),'Master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SUM(J$97:J235)</f>
        <v>0</v>
      </c>
      <c r="N235" s="112" t="n">
        <f aca="false">SUM(J$6:J235)</f>
        <v>0</v>
      </c>
      <c r="P235" s="112" t="n">
        <f aca="false">D235/P$3</f>
        <v>0</v>
      </c>
      <c r="Q235" s="131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0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Data'!$A$2:$B$8,MATCH(WEEKDAY('SC Total Power'!A236,3),'Master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SUM(J$97:J236)</f>
        <v>0</v>
      </c>
      <c r="N236" s="112" t="n">
        <f aca="false">SUM(J$6:J236)</f>
        <v>0</v>
      </c>
      <c r="P236" s="112" t="n">
        <f aca="false">D236/P$3</f>
        <v>0</v>
      </c>
      <c r="Q236" s="131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0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Data'!$A$2:$B$8,MATCH(WEEKDAY('SC Total Power'!A237,3),'Master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SUM(J$97:J237)</f>
        <v>0</v>
      </c>
      <c r="N237" s="112" t="n">
        <f aca="false">SUM(J$6:J237)</f>
        <v>0</v>
      </c>
      <c r="P237" s="112" t="n">
        <f aca="false">D237/P$3</f>
        <v>0</v>
      </c>
      <c r="Q237" s="131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0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Data'!$A$2:$B$8,MATCH(WEEKDAY('SC Total Power'!A238,3),'Master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SUM(J$97:J238)</f>
        <v>0</v>
      </c>
      <c r="N238" s="112" t="n">
        <f aca="false">SUM(J$6:J238)</f>
        <v>0</v>
      </c>
      <c r="P238" s="112" t="n">
        <f aca="false">D238/P$3</f>
        <v>0</v>
      </c>
      <c r="Q238" s="131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0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Data'!$A$2:$B$8,MATCH(WEEKDAY('SC Total Power'!A239,3),'Master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SUM(J$97:J239)</f>
        <v>0</v>
      </c>
      <c r="N239" s="112" t="n">
        <f aca="false">SUM(J$6:J239)</f>
        <v>0</v>
      </c>
      <c r="P239" s="112" t="n">
        <f aca="false">D239/P$3</f>
        <v>0</v>
      </c>
      <c r="Q239" s="131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0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Data'!$A$2:$B$8,MATCH(WEEKDAY('SC Total Power'!A240,3),'Master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SUM(J$97:J240)</f>
        <v>0</v>
      </c>
      <c r="N240" s="112" t="n">
        <f aca="false">SUM(J$6:J240)</f>
        <v>0</v>
      </c>
      <c r="P240" s="112" t="n">
        <f aca="false">D240/P$3</f>
        <v>0</v>
      </c>
      <c r="Q240" s="131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0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Data'!$A$2:$B$8,MATCH(WEEKDAY('SC Total Power'!A241,3),'Master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SUM(J$97:J241)</f>
        <v>0</v>
      </c>
      <c r="N241" s="112" t="n">
        <f aca="false">SUM(J$6:J241)</f>
        <v>0</v>
      </c>
      <c r="P241" s="112" t="n">
        <f aca="false">D241/P$3</f>
        <v>0</v>
      </c>
      <c r="Q241" s="131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0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Data'!$A$2:$B$8,MATCH(WEEKDAY('SC Total Power'!A242,3),'Master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SUM(J$97:J242)</f>
        <v>0</v>
      </c>
      <c r="N242" s="112" t="n">
        <f aca="false">SUM(J$6:J242)</f>
        <v>0</v>
      </c>
      <c r="P242" s="112" t="n">
        <f aca="false">D242/P$3</f>
        <v>0</v>
      </c>
      <c r="Q242" s="131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0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Data'!$A$2:$B$8,MATCH(WEEKDAY('SC Total Power'!A243,3),'Master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SUM(J$97:J243)</f>
        <v>0</v>
      </c>
      <c r="N243" s="112" t="n">
        <f aca="false">SUM(J$6:J243)</f>
        <v>0</v>
      </c>
      <c r="P243" s="112" t="n">
        <f aca="false">D243/P$3</f>
        <v>0</v>
      </c>
      <c r="Q243" s="131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0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Data'!$A$2:$B$8,MATCH(WEEKDAY('SC Total Power'!A244,3),'Master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SUM(J$97:J244)</f>
        <v>0</v>
      </c>
      <c r="N244" s="112" t="n">
        <f aca="false">SUM(J$6:J244)</f>
        <v>0</v>
      </c>
      <c r="P244" s="112" t="n">
        <f aca="false">D244/P$3</f>
        <v>0</v>
      </c>
      <c r="Q244" s="131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0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Data'!$A$2:$B$8,MATCH(WEEKDAY('SC Total Power'!A245,3),'Master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SUM(J$97:J245)</f>
        <v>0</v>
      </c>
      <c r="N245" s="112" t="n">
        <f aca="false">SUM(J$6:J245)</f>
        <v>0</v>
      </c>
      <c r="P245" s="112" t="n">
        <f aca="false">D245/P$3</f>
        <v>0</v>
      </c>
      <c r="Q245" s="131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0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Data'!$A$2:$B$8,MATCH(WEEKDAY('SC Total Power'!A246,3),'Master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SUM(J$97:J246)</f>
        <v>0</v>
      </c>
      <c r="N246" s="112" t="n">
        <f aca="false">SUM(J$6:J246)</f>
        <v>0</v>
      </c>
      <c r="P246" s="112" t="n">
        <f aca="false">D246/P$3</f>
        <v>0</v>
      </c>
      <c r="Q246" s="131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0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Data'!$A$2:$B$8,MATCH(WEEKDAY('SC Total Power'!A247,3),'Master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SUM(J$97:J247)</f>
        <v>0</v>
      </c>
      <c r="N247" s="112" t="n">
        <f aca="false">SUM(J$6:J247)</f>
        <v>0</v>
      </c>
      <c r="P247" s="112" t="n">
        <f aca="false">D247/P$3</f>
        <v>0</v>
      </c>
      <c r="Q247" s="131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0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Data'!$A$2:$B$8,MATCH(WEEKDAY('SC Total Power'!A248,3),'Master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SUM(J$97:J248)</f>
        <v>0</v>
      </c>
      <c r="N248" s="112" t="n">
        <f aca="false">SUM(J$6:J248)</f>
        <v>0</v>
      </c>
      <c r="P248" s="112" t="n">
        <f aca="false">D248/P$3</f>
        <v>0</v>
      </c>
      <c r="Q248" s="131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0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Data'!$A$2:$B$8,MATCH(WEEKDAY('SC Total Power'!A249,3),'Master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SUM(J$97:J249)</f>
        <v>0</v>
      </c>
      <c r="N249" s="112" t="n">
        <f aca="false">SUM(J$6:J249)</f>
        <v>0</v>
      </c>
      <c r="P249" s="112" t="n">
        <f aca="false">D249/P$3</f>
        <v>0</v>
      </c>
      <c r="Q249" s="131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0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Data'!$A$2:$B$8,MATCH(WEEKDAY('SC Total Power'!A250,3),'Master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SUM(J$97:J250)</f>
        <v>0</v>
      </c>
      <c r="N250" s="112" t="n">
        <f aca="false">SUM(J$6:J250)</f>
        <v>0</v>
      </c>
      <c r="P250" s="112" t="n">
        <f aca="false">D250/P$3</f>
        <v>0</v>
      </c>
      <c r="Q250" s="131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0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Data'!$A$2:$B$8,MATCH(WEEKDAY('SC Total Power'!A251,3),'Master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SUM(J$97:J251)</f>
        <v>0</v>
      </c>
      <c r="N251" s="112" t="n">
        <f aca="false">SUM(J$6:J251)</f>
        <v>0</v>
      </c>
      <c r="P251" s="112" t="n">
        <f aca="false">D251/P$3</f>
        <v>0</v>
      </c>
      <c r="Q251" s="131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0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Data'!$A$2:$B$8,MATCH(WEEKDAY('SC Total Power'!A252,3),'Master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SUM(J$97:J252)</f>
        <v>0</v>
      </c>
      <c r="N252" s="112" t="n">
        <f aca="false">SUM(J$6:J252)</f>
        <v>0</v>
      </c>
      <c r="P252" s="112" t="n">
        <f aca="false">D252/P$3</f>
        <v>0</v>
      </c>
      <c r="Q252" s="131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0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Data'!$A$2:$B$8,MATCH(WEEKDAY('SC Total Power'!A253,3),'Master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SUM(J$97:J253)</f>
        <v>0</v>
      </c>
      <c r="N253" s="112" t="n">
        <f aca="false">SUM(J$6:J253)</f>
        <v>0</v>
      </c>
      <c r="P253" s="112" t="n">
        <f aca="false">D253/P$3</f>
        <v>0</v>
      </c>
      <c r="Q253" s="131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0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Data'!$A$2:$B$8,MATCH(WEEKDAY('SC Total Power'!A254,3),'Master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SUM(J$97:J254)</f>
        <v>0</v>
      </c>
      <c r="N254" s="112" t="n">
        <f aca="false">SUM(J$6:J254)</f>
        <v>0</v>
      </c>
      <c r="P254" s="112" t="n">
        <f aca="false">D254/P$3</f>
        <v>0</v>
      </c>
      <c r="Q254" s="131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0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Data'!$A$2:$B$8,MATCH(WEEKDAY('SC Total Power'!A255,3),'Master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SUM(J$97:J255)</f>
        <v>0</v>
      </c>
      <c r="N255" s="112" t="n">
        <f aca="false">SUM(J$6:J255)</f>
        <v>0</v>
      </c>
      <c r="P255" s="112" t="n">
        <f aca="false">D255/P$3</f>
        <v>0</v>
      </c>
      <c r="Q255" s="131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0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Data'!$A$2:$B$8,MATCH(WEEKDAY('SC Total Power'!A256,3),'Master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SUM(J$97:J256)</f>
        <v>0</v>
      </c>
      <c r="N256" s="112" t="n">
        <f aca="false">SUM(J$6:J256)</f>
        <v>0</v>
      </c>
      <c r="P256" s="112" t="n">
        <f aca="false">D256/P$3</f>
        <v>0</v>
      </c>
      <c r="Q256" s="131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0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Data'!$A$2:$B$8,MATCH(WEEKDAY('SC Total Power'!A257,3),'Master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SUM(J$97:J257)</f>
        <v>0</v>
      </c>
      <c r="N257" s="112" t="n">
        <f aca="false">SUM(J$6:J257)</f>
        <v>0</v>
      </c>
      <c r="P257" s="112" t="n">
        <f aca="false">D257/P$3</f>
        <v>0</v>
      </c>
      <c r="Q257" s="131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0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Data'!$A$2:$B$8,MATCH(WEEKDAY('SC Total Power'!A258,3),'Master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SUM(J$97:J258)</f>
        <v>0</v>
      </c>
      <c r="N258" s="112" t="n">
        <f aca="false">SUM(J$6:J258)</f>
        <v>0</v>
      </c>
      <c r="P258" s="112" t="n">
        <f aca="false">D258/P$3</f>
        <v>0</v>
      </c>
      <c r="Q258" s="131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0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Data'!$A$2:$B$8,MATCH(WEEKDAY('SC Total Power'!A259,3),'Master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SUM(J$97:J259)</f>
        <v>0</v>
      </c>
      <c r="N259" s="112" t="n">
        <f aca="false">SUM(J$6:J259)</f>
        <v>0</v>
      </c>
      <c r="P259" s="112" t="n">
        <f aca="false">D259/P$3</f>
        <v>0</v>
      </c>
      <c r="Q259" s="131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0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Data'!$A$2:$B$8,MATCH(WEEKDAY('SC Total Power'!A260,3),'Master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SUM(J$97:J260)</f>
        <v>0</v>
      </c>
      <c r="N260" s="112" t="n">
        <f aca="false">SUM(J$6:J260)</f>
        <v>0</v>
      </c>
      <c r="P260" s="112" t="n">
        <f aca="false">D260/P$3</f>
        <v>0</v>
      </c>
      <c r="Q260" s="131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0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Data'!$A$2:$B$8,MATCH(WEEKDAY('SC Total Power'!A261,3),'Master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SUM(J$97:J261)</f>
        <v>0</v>
      </c>
      <c r="N261" s="112" t="n">
        <f aca="false">SUM(J$6:J261)</f>
        <v>0</v>
      </c>
      <c r="P261" s="112" t="n">
        <f aca="false">D261/P$3</f>
        <v>0</v>
      </c>
      <c r="Q261" s="131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0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Data'!$A$2:$B$8,MATCH(WEEKDAY('SC Total Power'!A262,3),'Master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SUM(J$97:J262)</f>
        <v>0</v>
      </c>
      <c r="N262" s="112" t="n">
        <f aca="false">SUM(J$6:J262)</f>
        <v>0</v>
      </c>
      <c r="P262" s="112" t="n">
        <f aca="false">D262/P$3</f>
        <v>0</v>
      </c>
      <c r="Q262" s="131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0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Data'!$A$2:$B$8,MATCH(WEEKDAY('SC Total Power'!A263,3),'Master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SUM(J$97:J263)</f>
        <v>0</v>
      </c>
      <c r="N263" s="112" t="n">
        <f aca="false">SUM(J$6:J263)</f>
        <v>0</v>
      </c>
      <c r="P263" s="112" t="n">
        <f aca="false">D263/P$3</f>
        <v>0</v>
      </c>
      <c r="Q263" s="131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0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Data'!$A$2:$B$8,MATCH(WEEKDAY('SC Total Power'!A264,3),'Master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SUM(J$97:J264)</f>
        <v>0</v>
      </c>
      <c r="N264" s="112" t="n">
        <f aca="false">SUM(J$6:J264)</f>
        <v>0</v>
      </c>
      <c r="P264" s="112" t="n">
        <f aca="false">D264/P$3</f>
        <v>0</v>
      </c>
      <c r="Q264" s="131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0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Data'!$A$2:$B$8,MATCH(WEEKDAY('SC Total Power'!A265,3),'Master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SUM(J$97:J265)</f>
        <v>0</v>
      </c>
      <c r="N265" s="112" t="n">
        <f aca="false">SUM(J$6:J265)</f>
        <v>0</v>
      </c>
      <c r="P265" s="112" t="n">
        <f aca="false">D265/P$3</f>
        <v>0</v>
      </c>
      <c r="Q265" s="131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0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Data'!$A$2:$B$8,MATCH(WEEKDAY('SC Total Power'!A266,3),'Master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SUM(J$97:J266)</f>
        <v>0</v>
      </c>
      <c r="N266" s="112" t="n">
        <f aca="false">SUM(J$6:J266)</f>
        <v>0</v>
      </c>
      <c r="P266" s="112" t="n">
        <f aca="false">D266/P$3</f>
        <v>0</v>
      </c>
      <c r="Q266" s="131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0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Data'!$A$2:$B$8,MATCH(WEEKDAY('SC Total Power'!A267,3),'Master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SUM(J$97:J267)</f>
        <v>0</v>
      </c>
      <c r="N267" s="112" t="n">
        <f aca="false">SUM(J$6:J267)</f>
        <v>0</v>
      </c>
      <c r="P267" s="112" t="n">
        <f aca="false">D267/P$3</f>
        <v>0</v>
      </c>
      <c r="Q267" s="131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0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Data'!$A$2:$B$8,MATCH(WEEKDAY('SC Total Power'!A268,3),'Master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SUM(J$97:J268)</f>
        <v>0</v>
      </c>
      <c r="N268" s="112" t="n">
        <f aca="false">SUM(J$6:J268)</f>
        <v>0</v>
      </c>
      <c r="P268" s="112" t="n">
        <f aca="false">D268/P$3</f>
        <v>0</v>
      </c>
      <c r="Q268" s="131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0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Data'!$A$2:$B$8,MATCH(WEEKDAY('SC Total Power'!A269,3),'Master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SUM(J$97:J269)</f>
        <v>0</v>
      </c>
      <c r="N269" s="112" t="n">
        <f aca="false">SUM(J$6:J269)</f>
        <v>0</v>
      </c>
      <c r="P269" s="112" t="n">
        <f aca="false">D269/P$3</f>
        <v>0</v>
      </c>
      <c r="Q269" s="131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0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Data'!$A$2:$B$8,MATCH(WEEKDAY('SC Total Power'!A270,3),'Master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SUM(J$97:J270)</f>
        <v>0</v>
      </c>
      <c r="N270" s="112" t="n">
        <f aca="false">SUM(J$6:J270)</f>
        <v>0</v>
      </c>
      <c r="P270" s="112" t="n">
        <f aca="false">D270/P$3</f>
        <v>0</v>
      </c>
      <c r="Q270" s="131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0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Data'!$A$2:$B$8,MATCH(WEEKDAY('SC Total Power'!A271,3),'Master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SUM(J$97:J271)</f>
        <v>0</v>
      </c>
      <c r="N271" s="112" t="n">
        <f aca="false">SUM(J$6:J271)</f>
        <v>0</v>
      </c>
      <c r="P271" s="112" t="n">
        <f aca="false">D271/P$3</f>
        <v>0</v>
      </c>
      <c r="Q271" s="131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0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Data'!$A$2:$B$8,MATCH(WEEKDAY('SC Total Power'!A272,3),'Master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SUM(J$97:J272)</f>
        <v>0</v>
      </c>
      <c r="N272" s="112" t="n">
        <f aca="false">SUM(J$6:J272)</f>
        <v>0</v>
      </c>
      <c r="P272" s="112" t="n">
        <f aca="false">D272/P$3</f>
        <v>0</v>
      </c>
      <c r="Q272" s="131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0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Data'!$A$2:$B$8,MATCH(WEEKDAY('SC Total Power'!A273,3),'Master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SUM(J$97:J273)</f>
        <v>0</v>
      </c>
      <c r="N273" s="112" t="n">
        <f aca="false">SUM(J$6:J273)</f>
        <v>0</v>
      </c>
      <c r="P273" s="112" t="n">
        <f aca="false">D273/P$3</f>
        <v>0</v>
      </c>
      <c r="Q273" s="131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0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Data'!$A$2:$B$8,MATCH(WEEKDAY('SC Total Power'!A274,3),'Master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SUM(J$97:J274)</f>
        <v>0</v>
      </c>
      <c r="N274" s="112" t="n">
        <f aca="false">SUM(J$6:J274)</f>
        <v>0</v>
      </c>
      <c r="P274" s="112" t="n">
        <f aca="false">D274/P$3</f>
        <v>0</v>
      </c>
      <c r="Q274" s="131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0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Data'!$A$2:$B$8,MATCH(WEEKDAY('SC Total Power'!A275,3),'Master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SUM(J$97:J275)</f>
        <v>0</v>
      </c>
      <c r="N275" s="112" t="n">
        <f aca="false">SUM(J$6:J275)</f>
        <v>0</v>
      </c>
      <c r="P275" s="112" t="n">
        <f aca="false">D275/P$3</f>
        <v>0</v>
      </c>
      <c r="Q275" s="131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0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Data'!$A$2:$B$8,MATCH(WEEKDAY('SC Total Power'!A276,3),'Master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SUM(J$97:J276)</f>
        <v>0</v>
      </c>
      <c r="N276" s="112" t="n">
        <f aca="false">SUM(J$6:J276)</f>
        <v>0</v>
      </c>
      <c r="P276" s="112" t="n">
        <f aca="false">D276/P$3</f>
        <v>0</v>
      </c>
      <c r="Q276" s="131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0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Data'!$A$2:$B$8,MATCH(WEEKDAY('SC Total Power'!A277,3),'Master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SUM(J$97:J277)</f>
        <v>0</v>
      </c>
      <c r="N277" s="112" t="n">
        <f aca="false">SUM(J$6:J277)</f>
        <v>0</v>
      </c>
      <c r="P277" s="112" t="n">
        <f aca="false">D277/P$3</f>
        <v>0</v>
      </c>
      <c r="Q277" s="131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0</v>
      </c>
    </row>
    <row r="278" customFormat="false" ht="14.25" hidden="false" customHeight="true" outlineLevel="0" collapsed="false">
      <c r="A278" s="108" t="n">
        <f aca="false">A277+1</f>
        <v>37164</v>
      </c>
      <c r="B278" s="119" t="str">
        <f aca="false">INDEX('Master Data'!$A$2:$B$8,MATCH(WEEKDAY('SC Total Power'!A278,3),'Master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SUM(J$97:J278)</f>
        <v>0</v>
      </c>
      <c r="N278" s="112" t="n">
        <f aca="false">SUM(J$6:J278)</f>
        <v>0</v>
      </c>
      <c r="P278" s="112" t="n">
        <f aca="false">D278/P$3</f>
        <v>0</v>
      </c>
      <c r="Q278" s="131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0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Data'!$A$2:$B$8,MATCH(WEEKDAY('SC Total Power'!A279,3),'Master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0</v>
      </c>
      <c r="P279" s="112" t="n">
        <f aca="false">D279/P$3</f>
        <v>0</v>
      </c>
      <c r="Q279" s="131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0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Data'!$A$2:$B$8,MATCH(WEEKDAY('SC Total Power'!A280,3),'Master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0</v>
      </c>
      <c r="P280" s="112" t="n">
        <f aca="false">D280/P$3</f>
        <v>0</v>
      </c>
      <c r="Q280" s="131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0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Data'!$A$2:$B$8,MATCH(WEEKDAY('SC Total Power'!A281,3),'Master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0</v>
      </c>
      <c r="P281" s="112" t="n">
        <f aca="false">D281/P$3</f>
        <v>0</v>
      </c>
      <c r="Q281" s="131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0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Data'!$A$2:$B$8,MATCH(WEEKDAY('SC Total Power'!A282,3),'Master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0</v>
      </c>
      <c r="P282" s="112" t="n">
        <f aca="false">D282/P$3</f>
        <v>0</v>
      </c>
      <c r="Q282" s="131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0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Data'!$A$2:$B$8,MATCH(WEEKDAY('SC Total Power'!A283,3),'Master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0</v>
      </c>
      <c r="P283" s="112" t="n">
        <f aca="false">D283/P$3</f>
        <v>0</v>
      </c>
      <c r="Q283" s="131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0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Data'!$A$2:$B$8,MATCH(WEEKDAY('SC Total Power'!A284,3),'Master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0</v>
      </c>
      <c r="P284" s="112" t="n">
        <f aca="false">D284/P$3</f>
        <v>0</v>
      </c>
      <c r="Q284" s="131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0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Data'!$A$2:$B$8,MATCH(WEEKDAY('SC Total Power'!A285,3),'Master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0</v>
      </c>
      <c r="P285" s="112" t="n">
        <f aca="false">D285/P$3</f>
        <v>0</v>
      </c>
      <c r="Q285" s="131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0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Data'!$A$2:$B$8,MATCH(WEEKDAY('SC Total Power'!A286,3),'Master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0</v>
      </c>
      <c r="P286" s="112" t="n">
        <f aca="false">D286/P$3</f>
        <v>0</v>
      </c>
      <c r="Q286" s="131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0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Data'!$A$2:$B$8,MATCH(WEEKDAY('SC Total Power'!A287,3),'Master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0</v>
      </c>
      <c r="P287" s="112" t="n">
        <f aca="false">D287/P$3</f>
        <v>0</v>
      </c>
      <c r="Q287" s="131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0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Data'!$A$2:$B$8,MATCH(WEEKDAY('SC Total Power'!A288,3),'Master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0</v>
      </c>
      <c r="P288" s="112" t="n">
        <f aca="false">D288/P$3</f>
        <v>0</v>
      </c>
      <c r="Q288" s="131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0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Data'!$A$2:$B$8,MATCH(WEEKDAY('SC Total Power'!A289,3),'Master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0</v>
      </c>
      <c r="P289" s="112" t="n">
        <f aca="false">D289/P$3</f>
        <v>0</v>
      </c>
      <c r="Q289" s="131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0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Data'!$A$2:$B$8,MATCH(WEEKDAY('SC Total Power'!A290,3),'Master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0</v>
      </c>
      <c r="P290" s="112" t="n">
        <f aca="false">D290/P$3</f>
        <v>0</v>
      </c>
      <c r="Q290" s="131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0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Data'!$A$2:$B$8,MATCH(WEEKDAY('SC Total Power'!A291,3),'Master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0</v>
      </c>
      <c r="P291" s="112" t="n">
        <f aca="false">D291/P$3</f>
        <v>0</v>
      </c>
      <c r="Q291" s="131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0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Data'!$A$2:$B$8,MATCH(WEEKDAY('SC Total Power'!A292,3),'Master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0</v>
      </c>
      <c r="P292" s="112" t="n">
        <f aca="false">D292/P$3</f>
        <v>0</v>
      </c>
      <c r="Q292" s="131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0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Data'!$A$2:$B$8,MATCH(WEEKDAY('SC Total Power'!A293,3),'Master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0</v>
      </c>
      <c r="P293" s="112" t="n">
        <f aca="false">D293/P$3</f>
        <v>0</v>
      </c>
      <c r="Q293" s="131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0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Data'!$A$2:$B$8,MATCH(WEEKDAY('SC Total Power'!A294,3),'Master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0</v>
      </c>
      <c r="P294" s="112" t="n">
        <f aca="false">D294/P$3</f>
        <v>0</v>
      </c>
      <c r="Q294" s="131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0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Data'!$A$2:$B$8,MATCH(WEEKDAY('SC Total Power'!A295,3),'Master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0</v>
      </c>
      <c r="P295" s="112" t="n">
        <f aca="false">D295/P$3</f>
        <v>0</v>
      </c>
      <c r="Q295" s="131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0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Data'!$A$2:$B$8,MATCH(WEEKDAY('SC Total Power'!A296,3),'Master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0</v>
      </c>
      <c r="P296" s="112" t="n">
        <f aca="false">D296/P$3</f>
        <v>0</v>
      </c>
      <c r="Q296" s="131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0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Data'!$A$2:$B$8,MATCH(WEEKDAY('SC Total Power'!A297,3),'Master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0</v>
      </c>
      <c r="P297" s="112" t="n">
        <f aca="false">D297/P$3</f>
        <v>0</v>
      </c>
      <c r="Q297" s="131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0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Data'!$A$2:$B$8,MATCH(WEEKDAY('SC Total Power'!A298,3),'Master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0</v>
      </c>
      <c r="P298" s="112" t="n">
        <f aca="false">D298/P$3</f>
        <v>0</v>
      </c>
      <c r="Q298" s="131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0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Data'!$A$2:$B$8,MATCH(WEEKDAY('SC Total Power'!A299,3),'Master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0</v>
      </c>
      <c r="P299" s="112" t="n">
        <f aca="false">D299/P$3</f>
        <v>0</v>
      </c>
      <c r="Q299" s="131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0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Data'!$A$2:$B$8,MATCH(WEEKDAY('SC Total Power'!A300,3),'Master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0</v>
      </c>
      <c r="P300" s="112" t="n">
        <f aca="false">D300/P$3</f>
        <v>0</v>
      </c>
      <c r="Q300" s="131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0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Data'!$A$2:$B$8,MATCH(WEEKDAY('SC Total Power'!A301,3),'Master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0</v>
      </c>
      <c r="P301" s="112" t="n">
        <f aca="false">D301/P$3</f>
        <v>0</v>
      </c>
      <c r="Q301" s="131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0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Data'!$A$2:$B$8,MATCH(WEEKDAY('SC Total Power'!A302,3),'Master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0</v>
      </c>
      <c r="P302" s="112" t="n">
        <f aca="false">D302/P$3</f>
        <v>0</v>
      </c>
      <c r="Q302" s="131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0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Data'!$A$2:$B$8,MATCH(WEEKDAY('SC Total Power'!A303,3),'Master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0</v>
      </c>
      <c r="P303" s="112" t="n">
        <f aca="false">D303/P$3</f>
        <v>0</v>
      </c>
      <c r="Q303" s="131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0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Data'!$A$2:$B$8,MATCH(WEEKDAY('SC Total Power'!A304,3),'Master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0</v>
      </c>
      <c r="P304" s="112" t="n">
        <f aca="false">D304/P$3</f>
        <v>0</v>
      </c>
      <c r="Q304" s="131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0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Data'!$A$2:$B$8,MATCH(WEEKDAY('SC Total Power'!A305,3),'Master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0</v>
      </c>
      <c r="P305" s="112" t="n">
        <f aca="false">D305/P$3</f>
        <v>0</v>
      </c>
      <c r="Q305" s="131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0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Data'!$A$2:$B$8,MATCH(WEEKDAY('SC Total Power'!A306,3),'Master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0</v>
      </c>
      <c r="P306" s="112" t="n">
        <f aca="false">D306/P$3</f>
        <v>0</v>
      </c>
      <c r="Q306" s="131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0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Data'!$A$2:$B$8,MATCH(WEEKDAY('SC Total Power'!A307,3),'Master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0</v>
      </c>
      <c r="P307" s="112" t="n">
        <f aca="false">D307/P$3</f>
        <v>0</v>
      </c>
      <c r="Q307" s="131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0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Data'!$A$2:$B$8,MATCH(WEEKDAY('SC Total Power'!A308,3),'Master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0</v>
      </c>
      <c r="P308" s="112" t="n">
        <f aca="false">D308/P$3</f>
        <v>0</v>
      </c>
      <c r="Q308" s="131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0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Data'!$A$2:$B$8,MATCH(WEEKDAY('SC Total Power'!A309,3),'Master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0</v>
      </c>
      <c r="P309" s="112" t="n">
        <f aca="false">D309/P$3</f>
        <v>0</v>
      </c>
      <c r="Q309" s="131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0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Data'!$A$2:$B$8,MATCH(WEEKDAY('SC Total Power'!A310,3),'Master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0</v>
      </c>
      <c r="P310" s="112" t="n">
        <f aca="false">D310/P$3</f>
        <v>0</v>
      </c>
      <c r="Q310" s="131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0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Data'!$A$2:$B$8,MATCH(WEEKDAY('SC Total Power'!A311,3),'Master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0</v>
      </c>
      <c r="P311" s="112" t="n">
        <f aca="false">D311/P$3</f>
        <v>0</v>
      </c>
      <c r="Q311" s="131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0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Data'!$A$2:$B$8,MATCH(WEEKDAY('SC Total Power'!A312,3),'Master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0</v>
      </c>
      <c r="P312" s="112" t="n">
        <f aca="false">D312/P$3</f>
        <v>0</v>
      </c>
      <c r="Q312" s="131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0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Data'!$A$2:$B$8,MATCH(WEEKDAY('SC Total Power'!A313,3),'Master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0</v>
      </c>
      <c r="P313" s="112" t="n">
        <f aca="false">D313/P$3</f>
        <v>0</v>
      </c>
      <c r="Q313" s="131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0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Data'!$A$2:$B$8,MATCH(WEEKDAY('SC Total Power'!A314,3),'Master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0</v>
      </c>
      <c r="P314" s="112" t="n">
        <f aca="false">D314/P$3</f>
        <v>0</v>
      </c>
      <c r="Q314" s="131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0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Data'!$A$2:$B$8,MATCH(WEEKDAY('SC Total Power'!A315,3),'Master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0</v>
      </c>
      <c r="P315" s="112" t="n">
        <f aca="false">D315/P$3</f>
        <v>0</v>
      </c>
      <c r="Q315" s="131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0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Data'!$A$2:$B$8,MATCH(WEEKDAY('SC Total Power'!A316,3),'Master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0</v>
      </c>
      <c r="P316" s="112" t="n">
        <f aca="false">D316/P$3</f>
        <v>0</v>
      </c>
      <c r="Q316" s="131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0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Data'!$A$2:$B$8,MATCH(WEEKDAY('SC Total Power'!A317,3),'Master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0</v>
      </c>
      <c r="P317" s="112" t="n">
        <f aca="false">D317/P$3</f>
        <v>0</v>
      </c>
      <c r="Q317" s="131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0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Data'!$A$2:$B$8,MATCH(WEEKDAY('SC Total Power'!A318,3),'Master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0</v>
      </c>
      <c r="P318" s="112" t="n">
        <f aca="false">D318/P$3</f>
        <v>0</v>
      </c>
      <c r="Q318" s="131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0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Data'!$A$2:$B$8,MATCH(WEEKDAY('SC Total Power'!A319,3),'Master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0</v>
      </c>
      <c r="P319" s="112" t="n">
        <f aca="false">D319/P$3</f>
        <v>0</v>
      </c>
      <c r="Q319" s="131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0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Data'!$A$2:$B$8,MATCH(WEEKDAY('SC Total Power'!A320,3),'Master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0</v>
      </c>
      <c r="P320" s="112" t="n">
        <f aca="false">D320/P$3</f>
        <v>0</v>
      </c>
      <c r="Q320" s="131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0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Data'!$A$2:$B$8,MATCH(WEEKDAY('SC Total Power'!A321,3),'Master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0</v>
      </c>
      <c r="P321" s="112" t="n">
        <f aca="false">D321/P$3</f>
        <v>0</v>
      </c>
      <c r="Q321" s="131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0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Data'!$A$2:$B$8,MATCH(WEEKDAY('SC Total Power'!A322,3),'Master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0</v>
      </c>
      <c r="P322" s="112" t="n">
        <f aca="false">D322/P$3</f>
        <v>0</v>
      </c>
      <c r="Q322" s="131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0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Data'!$A$2:$B$8,MATCH(WEEKDAY('SC Total Power'!A323,3),'Master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0</v>
      </c>
      <c r="P323" s="112" t="n">
        <f aca="false">D323/P$3</f>
        <v>0</v>
      </c>
      <c r="Q323" s="131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0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Data'!$A$2:$B$8,MATCH(WEEKDAY('SC Total Power'!A324,3),'Master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0</v>
      </c>
      <c r="P324" s="112" t="n">
        <f aca="false">D324/P$3</f>
        <v>0</v>
      </c>
      <c r="Q324" s="131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0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Data'!$A$2:$B$8,MATCH(WEEKDAY('SC Total Power'!A325,3),'Master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0</v>
      </c>
      <c r="P325" s="112" t="n">
        <f aca="false">D325/P$3</f>
        <v>0</v>
      </c>
      <c r="Q325" s="131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0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Data'!$A$2:$B$8,MATCH(WEEKDAY('SC Total Power'!A326,3),'Master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0</v>
      </c>
      <c r="P326" s="112" t="n">
        <f aca="false">D326/P$3</f>
        <v>0</v>
      </c>
      <c r="Q326" s="131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0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Data'!$A$2:$B$8,MATCH(WEEKDAY('SC Total Power'!A327,3),'Master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0</v>
      </c>
      <c r="P327" s="112" t="n">
        <f aca="false">D327/P$3</f>
        <v>0</v>
      </c>
      <c r="Q327" s="131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0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Data'!$A$2:$B$8,MATCH(WEEKDAY('SC Total Power'!A328,3),'Master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0</v>
      </c>
      <c r="P328" s="112" t="n">
        <f aca="false">D328/P$3</f>
        <v>0</v>
      </c>
      <c r="Q328" s="131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0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Data'!$A$2:$B$8,MATCH(WEEKDAY('SC Total Power'!A329,3),'Master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0</v>
      </c>
      <c r="P329" s="112" t="n">
        <f aca="false">D329/P$3</f>
        <v>0</v>
      </c>
      <c r="Q329" s="131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0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Data'!$A$2:$B$8,MATCH(WEEKDAY('SC Total Power'!A330,3),'Master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0</v>
      </c>
      <c r="P330" s="112" t="n">
        <f aca="false">D330/P$3</f>
        <v>0</v>
      </c>
      <c r="Q330" s="131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0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Data'!$A$2:$B$8,MATCH(WEEKDAY('SC Total Power'!A331,3),'Master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0</v>
      </c>
      <c r="P331" s="112" t="n">
        <f aca="false">D331/P$3</f>
        <v>0</v>
      </c>
      <c r="Q331" s="131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0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Data'!$A$2:$B$8,MATCH(WEEKDAY('SC Total Power'!A332,3),'Master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0</v>
      </c>
      <c r="P332" s="112" t="n">
        <f aca="false">D332/P$3</f>
        <v>0</v>
      </c>
      <c r="Q332" s="131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0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Data'!$A$2:$B$8,MATCH(WEEKDAY('SC Total Power'!A333,3),'Master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0</v>
      </c>
      <c r="P333" s="112" t="n">
        <f aca="false">D333/P$3</f>
        <v>0</v>
      </c>
      <c r="Q333" s="131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0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Data'!$A$2:$B$8,MATCH(WEEKDAY('SC Total Power'!A334,3),'Master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0</v>
      </c>
      <c r="P334" s="112" t="n">
        <f aca="false">D334/P$3</f>
        <v>0</v>
      </c>
      <c r="Q334" s="131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0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Data'!$A$2:$B$8,MATCH(WEEKDAY('SC Total Power'!A335,3),'Master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0</v>
      </c>
      <c r="P335" s="112" t="n">
        <f aca="false">D335/P$3</f>
        <v>0</v>
      </c>
      <c r="Q335" s="131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0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Data'!$A$2:$B$8,MATCH(WEEKDAY('SC Total Power'!A336,3),'Master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0</v>
      </c>
      <c r="P336" s="112" t="n">
        <f aca="false">D336/P$3</f>
        <v>0</v>
      </c>
      <c r="Q336" s="131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0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Data'!$A$2:$B$8,MATCH(WEEKDAY('SC Total Power'!A337,3),'Master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0</v>
      </c>
      <c r="P337" s="112" t="n">
        <f aca="false">D337/P$3</f>
        <v>0</v>
      </c>
      <c r="Q337" s="131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0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Data'!$A$2:$B$8,MATCH(WEEKDAY('SC Total Power'!A338,3),'Master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0</v>
      </c>
      <c r="P338" s="112" t="n">
        <f aca="false">D338/P$3</f>
        <v>0</v>
      </c>
      <c r="Q338" s="131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0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Data'!$A$2:$B$8,MATCH(WEEKDAY('SC Total Power'!A339,3),'Master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0</v>
      </c>
      <c r="P339" s="112" t="n">
        <f aca="false">D339/P$3</f>
        <v>0</v>
      </c>
      <c r="Q339" s="131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0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Data'!$A$2:$B$8,MATCH(WEEKDAY('SC Total Power'!A340,3),'Master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0</v>
      </c>
      <c r="P340" s="112" t="n">
        <f aca="false">D340/P$3</f>
        <v>0</v>
      </c>
      <c r="Q340" s="131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0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Data'!$A$2:$B$8,MATCH(WEEKDAY('SC Total Power'!A341,3),'Master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0</v>
      </c>
      <c r="P341" s="112" t="n">
        <f aca="false">D341/P$3</f>
        <v>0</v>
      </c>
      <c r="Q341" s="131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0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Data'!$A$2:$B$8,MATCH(WEEKDAY('SC Total Power'!A342,3),'Master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0</v>
      </c>
      <c r="P342" s="112" t="n">
        <f aca="false">D342/P$3</f>
        <v>0</v>
      </c>
      <c r="Q342" s="131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0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Data'!$A$2:$B$8,MATCH(WEEKDAY('SC Total Power'!A343,3),'Master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0</v>
      </c>
      <c r="P343" s="112" t="n">
        <f aca="false">D343/P$3</f>
        <v>0</v>
      </c>
      <c r="Q343" s="131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0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Data'!$A$2:$B$8,MATCH(WEEKDAY('SC Total Power'!A344,3),'Master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0</v>
      </c>
      <c r="P344" s="112" t="n">
        <f aca="false">D344/P$3</f>
        <v>0</v>
      </c>
      <c r="Q344" s="131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0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Data'!$A$2:$B$8,MATCH(WEEKDAY('SC Total Power'!A345,3),'Master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0</v>
      </c>
      <c r="P345" s="112" t="n">
        <f aca="false">D345/P$3</f>
        <v>0</v>
      </c>
      <c r="Q345" s="131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0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Data'!$A$2:$B$8,MATCH(WEEKDAY('SC Total Power'!A346,3),'Master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0</v>
      </c>
      <c r="P346" s="112" t="n">
        <f aca="false">D346/P$3</f>
        <v>0</v>
      </c>
      <c r="Q346" s="131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0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Data'!$A$2:$B$8,MATCH(WEEKDAY('SC Total Power'!A347,3),'Master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0</v>
      </c>
      <c r="P347" s="112" t="n">
        <f aca="false">D347/P$3</f>
        <v>0</v>
      </c>
      <c r="Q347" s="131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0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Data'!$A$2:$B$8,MATCH(WEEKDAY('SC Total Power'!A348,3),'Master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0</v>
      </c>
      <c r="P348" s="112" t="n">
        <f aca="false">D348/P$3</f>
        <v>0</v>
      </c>
      <c r="Q348" s="131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0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Data'!$A$2:$B$8,MATCH(WEEKDAY('SC Total Power'!A349,3),'Master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0</v>
      </c>
      <c r="P349" s="112" t="n">
        <f aca="false">D349/P$3</f>
        <v>0</v>
      </c>
      <c r="Q349" s="131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0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Data'!$A$2:$B$8,MATCH(WEEKDAY('SC Total Power'!A350,3),'Master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0</v>
      </c>
      <c r="P350" s="112" t="n">
        <f aca="false">D350/P$3</f>
        <v>0</v>
      </c>
      <c r="Q350" s="131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0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Data'!$A$2:$B$8,MATCH(WEEKDAY('SC Total Power'!A351,3),'Master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0</v>
      </c>
      <c r="P351" s="112" t="n">
        <f aca="false">D351/P$3</f>
        <v>0</v>
      </c>
      <c r="Q351" s="131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0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Data'!$A$2:$B$8,MATCH(WEEKDAY('SC Total Power'!A352,3),'Master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0</v>
      </c>
      <c r="P352" s="112" t="n">
        <f aca="false">D352/P$3</f>
        <v>0</v>
      </c>
      <c r="Q352" s="131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0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Data'!$A$2:$B$8,MATCH(WEEKDAY('SC Total Power'!A353,3),'Master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0</v>
      </c>
      <c r="P353" s="112" t="n">
        <f aca="false">D353/P$3</f>
        <v>0</v>
      </c>
      <c r="Q353" s="131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0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Data'!$A$2:$B$8,MATCH(WEEKDAY('SC Total Power'!A354,3),'Master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0</v>
      </c>
      <c r="P354" s="112" t="n">
        <f aca="false">D354/P$3</f>
        <v>0</v>
      </c>
      <c r="Q354" s="131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0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Data'!$A$2:$B$8,MATCH(WEEKDAY('SC Total Power'!A355,3),'Master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0</v>
      </c>
      <c r="P355" s="112" t="n">
        <f aca="false">D355/P$3</f>
        <v>0</v>
      </c>
      <c r="Q355" s="131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0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Data'!$A$2:$B$8,MATCH(WEEKDAY('SC Total Power'!A356,3),'Master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0</v>
      </c>
      <c r="P356" s="112" t="n">
        <f aca="false">D356/P$3</f>
        <v>0</v>
      </c>
      <c r="Q356" s="131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0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Data'!$A$2:$B$8,MATCH(WEEKDAY('SC Total Power'!A357,3),'Master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0</v>
      </c>
      <c r="P357" s="112" t="n">
        <f aca="false">D357/P$3</f>
        <v>0</v>
      </c>
      <c r="Q357" s="131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0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Data'!$A$2:$B$8,MATCH(WEEKDAY('SC Total Power'!A358,3),'Master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0</v>
      </c>
      <c r="P358" s="112" t="n">
        <f aca="false">D358/P$3</f>
        <v>0</v>
      </c>
      <c r="Q358" s="131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0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Data'!$A$2:$B$8,MATCH(WEEKDAY('SC Total Power'!A359,3),'Master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0</v>
      </c>
      <c r="P359" s="112" t="n">
        <f aca="false">D359/P$3</f>
        <v>0</v>
      </c>
      <c r="Q359" s="131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0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Data'!$A$2:$B$8,MATCH(WEEKDAY('SC Total Power'!A360,3),'Master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0</v>
      </c>
      <c r="P360" s="112" t="n">
        <f aca="false">D360/P$3</f>
        <v>0</v>
      </c>
      <c r="Q360" s="131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0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Data'!$A$2:$B$8,MATCH(WEEKDAY('SC Total Power'!A361,3),'Master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0</v>
      </c>
      <c r="P361" s="112" t="n">
        <f aca="false">D361/P$3</f>
        <v>0</v>
      </c>
      <c r="Q361" s="131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0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Data'!$A$2:$B$8,MATCH(WEEKDAY('SC Total Power'!A362,3),'Master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0</v>
      </c>
      <c r="P362" s="112" t="n">
        <f aca="false">D362/P$3</f>
        <v>0</v>
      </c>
      <c r="Q362" s="131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0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Data'!$A$2:$B$8,MATCH(WEEKDAY('SC Total Power'!A363,3),'Master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0</v>
      </c>
      <c r="P363" s="112" t="n">
        <f aca="false">D363/P$3</f>
        <v>0</v>
      </c>
      <c r="Q363" s="131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0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Data'!$A$2:$B$8,MATCH(WEEKDAY('SC Total Power'!A364,3),'Master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0</v>
      </c>
      <c r="P364" s="112" t="n">
        <f aca="false">D364/P$3</f>
        <v>0</v>
      </c>
      <c r="Q364" s="131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0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Data'!$A$2:$B$8,MATCH(WEEKDAY('SC Total Power'!A365,3),'Master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0</v>
      </c>
      <c r="P365" s="112" t="n">
        <f aca="false">D365/P$3</f>
        <v>0</v>
      </c>
      <c r="Q365" s="131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0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Data'!$A$2:$B$8,MATCH(WEEKDAY('SC Total Power'!A366,3),'Master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0</v>
      </c>
      <c r="P366" s="112" t="n">
        <f aca="false">D366/P$3</f>
        <v>0</v>
      </c>
      <c r="Q366" s="131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0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Data'!$A$2:$B$8,MATCH(WEEKDAY('SC Total Power'!A367,3),'Master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0</v>
      </c>
      <c r="P367" s="112" t="n">
        <f aca="false">D367/P$3</f>
        <v>0</v>
      </c>
      <c r="Q367" s="131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0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Data'!$A$2:$B$8,MATCH(WEEKDAY('SC Total Power'!A368,3),'Master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0</v>
      </c>
      <c r="P368" s="112" t="n">
        <f aca="false">D368/P$3</f>
        <v>0</v>
      </c>
      <c r="Q368" s="131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0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Data'!$A$2:$B$8,MATCH(WEEKDAY('SC Total Power'!A369,3),'Master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0</v>
      </c>
      <c r="P369" s="112" t="n">
        <f aca="false">D369/P$3</f>
        <v>0</v>
      </c>
      <c r="Q369" s="131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0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Data'!$A$2:$B$8,MATCH(WEEKDAY('SC Total Power'!A370,3),'Master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0</v>
      </c>
      <c r="P370" s="112" t="n">
        <f aca="false">D370/P$3</f>
        <v>0</v>
      </c>
      <c r="Q370" s="131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0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Data'!$A$2:$B$8,MATCH(WEEKDAY('SC Total Power'!A371,3),'Master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0</v>
      </c>
      <c r="P371" s="112" t="n">
        <f aca="false">D371/P$3</f>
        <v>0</v>
      </c>
      <c r="Q371" s="131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5" activeCellId="0" sqref="E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Data'!$A$2:$B$8,MATCH(WEEKDAY('Arg Total Power'!A6,3),'Master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31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Data'!$A$2:$B$8,MATCH(WEEKDAY('Arg Total Power'!A7,3),'Master Data'!$A$2:$A$8,0),2)</f>
        <v>T</v>
      </c>
      <c r="D7" s="112" t="n">
        <v>0</v>
      </c>
      <c r="E7" s="112" t="n">
        <v>86178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31" t="n">
        <f aca="false">E7/P$3</f>
        <v>0.086178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Data'!$A$2:$B$8,MATCH(WEEKDAY('Arg Total Power'!A8,3),'Master Data'!$A$2:$A$8,0),2)</f>
        <v>W</v>
      </c>
      <c r="D8" s="112" t="n">
        <v>0</v>
      </c>
      <c r="E8" s="112" t="n">
        <v>84042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31" t="n">
        <f aca="false">E8/P$3</f>
        <v>0.084042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Data'!$A$2:$B$8,MATCH(WEEKDAY('Arg Total Power'!A9,3),'Master Data'!$A$2:$A$8,0),2)</f>
        <v>Th</v>
      </c>
      <c r="D9" s="112" t="n">
        <v>0</v>
      </c>
      <c r="E9" s="112" t="n">
        <v>81902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31" t="n">
        <f aca="false">E9/P$3</f>
        <v>0.081902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Data'!$A$2:$B$8,MATCH(WEEKDAY('Arg Total Power'!A10,3),'Master Data'!$A$2:$A$8,0),2)</f>
        <v>F</v>
      </c>
      <c r="D10" s="112" t="n">
        <v>0</v>
      </c>
      <c r="E10" s="112" t="n">
        <v>79750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31" t="n">
        <f aca="false">E10/P$3</f>
        <v>0.07975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Data'!$A$2:$B$8,MATCH(WEEKDAY('Arg Total Power'!A11,3),'Master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31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Data'!$A$2:$B$8,MATCH(WEEKDAY('Arg Total Power'!A12,3),'Master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31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Data'!$A$2:$B$8,MATCH(WEEKDAY('Arg Total Power'!A13,3),'Master Data'!$A$2:$A$8,0),2)</f>
        <v>M</v>
      </c>
      <c r="D13" s="112" t="n">
        <v>0</v>
      </c>
      <c r="E13" s="112" t="n">
        <v>73535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31" t="n">
        <f aca="false">E13/P$3</f>
        <v>0.073535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Data'!$A$2:$B$8,MATCH(WEEKDAY('Arg Total Power'!A14,3),'Master Data'!$A$2:$A$8,0),2)</f>
        <v>T</v>
      </c>
      <c r="D14" s="112" t="n">
        <v>0</v>
      </c>
      <c r="E14" s="112" t="n">
        <v>71385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31" t="n">
        <f aca="false">E14/P$3</f>
        <v>0.071385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Data'!$A$2:$B$8,MATCH(WEEKDAY('Arg Total Power'!A15,3),'Master Data'!$A$2:$A$8,0),2)</f>
        <v>W</v>
      </c>
      <c r="D15" s="112" t="n">
        <v>0</v>
      </c>
      <c r="E15" s="112" t="n">
        <v>69222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31" t="n">
        <f aca="false">E15/P$3</f>
        <v>0.069222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Data'!$A$2:$B$8,MATCH(WEEKDAY('Arg Total Power'!A16,3),'Master Data'!$A$2:$A$8,0),2)</f>
        <v>Th</v>
      </c>
      <c r="D16" s="112" t="n">
        <v>0</v>
      </c>
      <c r="E16" s="112" t="n">
        <v>67060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31" t="n">
        <f aca="false">E16/P$3</f>
        <v>0.06706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Data'!$A$2:$B$8,MATCH(WEEKDAY('Arg Total Power'!A17,3),'Master Data'!$A$2:$A$8,0),2)</f>
        <v>F</v>
      </c>
      <c r="D17" s="112" t="n">
        <v>0</v>
      </c>
      <c r="E17" s="112" t="n">
        <v>64902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31" t="n">
        <f aca="false">E17/P$3</f>
        <v>0.064902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Data'!$A$2:$B$8,MATCH(WEEKDAY('Arg Total Power'!A18,3),'Master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31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Data'!$A$2:$B$8,MATCH(WEEKDAY('Arg Total Power'!A19,3),'Master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31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Data'!$A$2:$B$8,MATCH(WEEKDAY('Arg Total Power'!A20,3),'Master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31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Data'!$A$2:$B$8,MATCH(WEEKDAY('Arg Total Power'!A21,3),'Master Data'!$A$2:$A$8,0),2)</f>
        <v>T</v>
      </c>
      <c r="D21" s="112" t="n">
        <v>0</v>
      </c>
      <c r="E21" s="112" t="n">
        <v>56446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31" t="n">
        <f aca="false">E21/P$3</f>
        <v>0.056446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Data'!$A$2:$B$8,MATCH(WEEKDAY('Arg Total Power'!A22,3),'Master Data'!$A$2:$A$8,0),2)</f>
        <v>W</v>
      </c>
      <c r="D22" s="112" t="n">
        <v>0</v>
      </c>
      <c r="E22" s="112" t="n">
        <v>54285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31" t="n">
        <f aca="false">E22/P$3</f>
        <v>0.054285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Data'!$A$2:$B$8,MATCH(WEEKDAY('Arg Total Power'!A23,3),'Master Data'!$A$2:$A$8,0),2)</f>
        <v>Th</v>
      </c>
      <c r="D23" s="112" t="n">
        <v>0</v>
      </c>
      <c r="E23" s="112" t="n">
        <v>52126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31" t="n">
        <f aca="false">E23/P$3</f>
        <v>0.052126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Data'!$A$2:$B$8,MATCH(WEEKDAY('Arg Total Power'!A24,3),'Master Data'!$A$2:$A$8,0),2)</f>
        <v>F</v>
      </c>
      <c r="D24" s="112" t="n">
        <v>0</v>
      </c>
      <c r="E24" s="112" t="n">
        <v>49966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31" t="n">
        <f aca="false">E24/P$3</f>
        <v>0.049966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Data'!$A$2:$B$8,MATCH(WEEKDAY('Arg Total Power'!A25,3),'Master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31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Data'!$A$2:$B$8,MATCH(WEEKDAY('Arg Total Power'!A26,3),'Master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31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Data'!$A$2:$B$8,MATCH(WEEKDAY('Arg Total Power'!A27,3),'Master Data'!$A$2:$A$8,0),2)</f>
        <v>M</v>
      </c>
      <c r="D27" s="112" t="n">
        <v>0</v>
      </c>
      <c r="E27" s="112" t="n">
        <v>44381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31" t="n">
        <f aca="false">E27/P$3</f>
        <v>0.044381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Data'!$A$2:$B$8,MATCH(WEEKDAY('Arg Total Power'!A28,3),'Master Data'!$A$2:$A$8,0),2)</f>
        <v>T</v>
      </c>
      <c r="D28" s="112" t="n">
        <v>0</v>
      </c>
      <c r="E28" s="112" t="n">
        <v>41508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31" t="n">
        <f aca="false">E28/P$3</f>
        <v>0.041508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Data'!$A$2:$B$8,MATCH(WEEKDAY('Arg Total Power'!A29,3),'Master Data'!$A$2:$A$8,0),2)</f>
        <v>W</v>
      </c>
      <c r="D29" s="112" t="n">
        <v>0</v>
      </c>
      <c r="E29" s="112" t="n">
        <v>39337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31" t="n">
        <f aca="false">E29/P$3</f>
        <v>0.039337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Data'!$A$2:$B$8,MATCH(WEEKDAY('Arg Total Power'!A30,3),'Master Data'!$A$2:$A$8,0),2)</f>
        <v>Th</v>
      </c>
      <c r="D30" s="112" t="n">
        <v>0</v>
      </c>
      <c r="E30" s="112" t="n">
        <v>37167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31" t="n">
        <f aca="false">E30/P$3</f>
        <v>0.037167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Data'!$A$2:$B$8,MATCH(WEEKDAY('Arg Total Power'!A31,3),'Master Data'!$A$2:$A$8,0),2)</f>
        <v>F</v>
      </c>
      <c r="D31" s="112" t="n">
        <v>0</v>
      </c>
      <c r="E31" s="112" t="n">
        <v>34999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31" t="n">
        <f aca="false">E31/P$3</f>
        <v>0.034999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Data'!$A$2:$B$8,MATCH(WEEKDAY('Arg Total Power'!A32,3),'Master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31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Data'!$A$2:$B$8,MATCH(WEEKDAY('Arg Total Power'!A33,3),'Master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31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Data'!$A$2:$B$8,MATCH(WEEKDAY('Arg Total Power'!A34,3),'Master Data'!$A$2:$A$8,0),2)</f>
        <v>M</v>
      </c>
      <c r="D34" s="112" t="n">
        <v>0</v>
      </c>
      <c r="E34" s="112" t="n">
        <v>28683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31" t="n">
        <f aca="false">E34/P$3</f>
        <v>0.028683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Data'!$A$2:$B$8,MATCH(WEEKDAY('Arg Total Power'!A35,3),'Master Data'!$A$2:$A$8,0),2)</f>
        <v>T</v>
      </c>
      <c r="D35" s="112" t="n">
        <v>0</v>
      </c>
      <c r="E35" s="112" t="n">
        <v>26512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31" t="n">
        <f aca="false">E35/P$3</f>
        <v>0.026512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Data'!$A$2:$B$8,MATCH(WEEKDAY('Arg Total Power'!A36,3),'Master Data'!$A$2:$A$8,0),2)</f>
        <v>W</v>
      </c>
      <c r="D36" s="112" t="n">
        <v>0</v>
      </c>
      <c r="E36" s="112"/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31" t="n">
        <f aca="false">E36/P$3</f>
        <v>0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Data'!$A$2:$B$8,MATCH(WEEKDAY('Arg Total Power'!A37,3),'Master Data'!$A$2:$A$8,0),2)</f>
        <v>Th</v>
      </c>
      <c r="D37" s="112" t="n">
        <v>0</v>
      </c>
      <c r="E37" s="112"/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31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Data'!$A$2:$B$8,MATCH(WEEKDAY('Arg Total Power'!A38,3),'Master Data'!$A$2:$A$8,0),2)</f>
        <v>F</v>
      </c>
      <c r="D38" s="112" t="n">
        <v>0</v>
      </c>
      <c r="E38" s="112"/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31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Data'!$A$2:$B$8,MATCH(WEEKDAY('Arg Total Power'!A39,3),'Master Data'!$A$2:$A$8,0),2)</f>
        <v>Sa</v>
      </c>
      <c r="D39" s="112" t="n">
        <v>0</v>
      </c>
      <c r="E39" s="112"/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31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Data'!$A$2:$B$8,MATCH(WEEKDAY('Arg Total Power'!A40,3),'Master Data'!$A$2:$A$8,0),2)</f>
        <v>Su</v>
      </c>
      <c r="D40" s="112" t="n">
        <v>0</v>
      </c>
      <c r="E40" s="112"/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31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Data'!$A$2:$B$8,MATCH(WEEKDAY('Arg Total Power'!A41,3),'Master Data'!$A$2:$A$8,0),2)</f>
        <v>M</v>
      </c>
      <c r="D41" s="112" t="n">
        <v>0</v>
      </c>
      <c r="E41" s="112"/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31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Data'!$A$2:$B$8,MATCH(WEEKDAY('Arg Total Power'!A42,3),'Master Data'!$A$2:$A$8,0),2)</f>
        <v>T</v>
      </c>
      <c r="D42" s="112" t="n">
        <v>0</v>
      </c>
      <c r="E42" s="112"/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31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Data'!$A$2:$B$8,MATCH(WEEKDAY('Arg Total Power'!A43,3),'Master Data'!$A$2:$A$8,0),2)</f>
        <v>W</v>
      </c>
      <c r="D43" s="112" t="n">
        <v>0</v>
      </c>
      <c r="E43" s="112"/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31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Data'!$A$2:$B$8,MATCH(WEEKDAY('Arg Total Power'!A44,3),'Master Data'!$A$2:$A$8,0),2)</f>
        <v>Th</v>
      </c>
      <c r="D44" s="112" t="n">
        <v>0</v>
      </c>
      <c r="E44" s="112"/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31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Data'!$A$2:$B$8,MATCH(WEEKDAY('Arg Total Power'!A45,3),'Master Data'!$A$2:$A$8,0),2)</f>
        <v>F</v>
      </c>
      <c r="D45" s="112" t="n">
        <v>0</v>
      </c>
      <c r="E45" s="112"/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31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Data'!$A$2:$B$8,MATCH(WEEKDAY('Arg Total Power'!A46,3),'Master Data'!$A$2:$A$8,0),2)</f>
        <v>Sa</v>
      </c>
      <c r="D46" s="112" t="n">
        <v>0</v>
      </c>
      <c r="E46" s="112"/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31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Data'!$A$2:$B$8,MATCH(WEEKDAY('Arg Total Power'!A47,3),'Master Data'!$A$2:$A$8,0),2)</f>
        <v>Su</v>
      </c>
      <c r="D47" s="112" t="n">
        <v>0</v>
      </c>
      <c r="E47" s="112"/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31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Data'!$A$2:$B$8,MATCH(WEEKDAY('Arg Total Power'!A48,3),'Master Data'!$A$2:$A$8,0),2)</f>
        <v>M</v>
      </c>
      <c r="D48" s="112" t="n">
        <v>0</v>
      </c>
      <c r="E48" s="112"/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31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Data'!$A$2:$B$8,MATCH(WEEKDAY('Arg Total Power'!A49,3),'Master Data'!$A$2:$A$8,0),2)</f>
        <v>T</v>
      </c>
      <c r="D49" s="112" t="n">
        <v>0</v>
      </c>
      <c r="E49" s="112"/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31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Data'!$A$2:$B$8,MATCH(WEEKDAY('Arg Total Power'!A50,3),'Master Data'!$A$2:$A$8,0),2)</f>
        <v>W</v>
      </c>
      <c r="D50" s="112" t="n">
        <v>0</v>
      </c>
      <c r="E50" s="112"/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31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Data'!$A$2:$B$8,MATCH(WEEKDAY('Arg Total Power'!A51,3),'Master Data'!$A$2:$A$8,0),2)</f>
        <v>Th</v>
      </c>
      <c r="D51" s="112" t="n">
        <v>0</v>
      </c>
      <c r="E51" s="112"/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31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Data'!$A$2:$B$8,MATCH(WEEKDAY('Arg Total Power'!A52,3),'Master Data'!$A$2:$A$8,0),2)</f>
        <v>F</v>
      </c>
      <c r="D52" s="112" t="n">
        <v>0</v>
      </c>
      <c r="E52" s="112"/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31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Data'!$A$2:$B$8,MATCH(WEEKDAY('Arg Total Power'!A53,3),'Master Data'!$A$2:$A$8,0),2)</f>
        <v>Sa</v>
      </c>
      <c r="D53" s="112" t="n">
        <v>0</v>
      </c>
      <c r="E53" s="112"/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31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Data'!$A$2:$B$8,MATCH(WEEKDAY('Arg Total Power'!A54,3),'Master Data'!$A$2:$A$8,0),2)</f>
        <v>Su</v>
      </c>
      <c r="D54" s="112" t="n">
        <v>0</v>
      </c>
      <c r="E54" s="112"/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31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Data'!$A$2:$B$8,MATCH(WEEKDAY('Arg Total Power'!A55,3),'Master Data'!$A$2:$A$8,0),2)</f>
        <v>M</v>
      </c>
      <c r="D55" s="112" t="n">
        <v>0</v>
      </c>
      <c r="E55" s="112"/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31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Data'!$A$2:$B$8,MATCH(WEEKDAY('Arg Total Power'!A56,3),'Master Data'!$A$2:$A$8,0),2)</f>
        <v>T</v>
      </c>
      <c r="D56" s="112" t="n">
        <v>0</v>
      </c>
      <c r="E56" s="112"/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31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Data'!$A$2:$B$8,MATCH(WEEKDAY('Arg Total Power'!A57,3),'Master Data'!$A$2:$A$8,0),2)</f>
        <v>W</v>
      </c>
      <c r="D57" s="112" t="n">
        <v>0</v>
      </c>
      <c r="E57" s="112"/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31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Data'!$A$2:$B$8,MATCH(WEEKDAY('Arg Total Power'!A58,3),'Master Data'!$A$2:$A$8,0),2)</f>
        <v>Th</v>
      </c>
      <c r="D58" s="112" t="n">
        <v>0</v>
      </c>
      <c r="E58" s="112"/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31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Data'!$A$2:$B$8,MATCH(WEEKDAY('Arg Total Power'!A59,3),'Master Data'!$A$2:$A$8,0),2)</f>
        <v>F</v>
      </c>
      <c r="D59" s="112" t="n">
        <v>0</v>
      </c>
      <c r="E59" s="112"/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31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Data'!$A$2:$B$8,MATCH(WEEKDAY('Arg Total Power'!A60,3),'Master Data'!$A$2:$A$8,0),2)</f>
        <v>Sa</v>
      </c>
      <c r="D60" s="112" t="n">
        <v>0</v>
      </c>
      <c r="E60" s="112"/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31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Data'!$A$2:$B$8,MATCH(WEEKDAY('Arg Total Power'!A61,3),'Master Data'!$A$2:$A$8,0),2)</f>
        <v>Su</v>
      </c>
      <c r="D61" s="112" t="n">
        <v>0</v>
      </c>
      <c r="E61" s="112"/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31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Data'!$A$2:$B$8,MATCH(WEEKDAY('Arg Total Power'!A62,3),'Master Data'!$A$2:$A$8,0),2)</f>
        <v>M</v>
      </c>
      <c r="D62" s="112" t="n">
        <v>0</v>
      </c>
      <c r="E62" s="112"/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31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Data'!$A$2:$B$8,MATCH(WEEKDAY('Arg Total Power'!A63,3),'Master Data'!$A$2:$A$8,0),2)</f>
        <v>T</v>
      </c>
      <c r="D63" s="112" t="n">
        <v>0</v>
      </c>
      <c r="E63" s="112"/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31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Data'!$A$2:$B$8,MATCH(WEEKDAY('Arg Total Power'!A64,3),'Master Data'!$A$2:$A$8,0),2)</f>
        <v>W</v>
      </c>
      <c r="D64" s="112" t="n">
        <v>0</v>
      </c>
      <c r="E64" s="112"/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31" t="n">
        <f aca="false">E64/P$3</f>
        <v>0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Data'!$A$2:$B$8,MATCH(WEEKDAY('Arg Total Power'!A65,3),'Master Data'!$A$2:$A$8,0),2)</f>
        <v>Th</v>
      </c>
      <c r="D65" s="112" t="n">
        <v>0</v>
      </c>
      <c r="E65" s="112"/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31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Data'!$A$2:$B$8,MATCH(WEEKDAY('Arg Total Power'!A66,3),'Master Data'!$A$2:$A$8,0),2)</f>
        <v>F</v>
      </c>
      <c r="D66" s="112" t="n">
        <v>0</v>
      </c>
      <c r="E66" s="112"/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31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Data'!$A$2:$B$8,MATCH(WEEKDAY('Arg Total Power'!A67,3),'Master Data'!$A$2:$A$8,0),2)</f>
        <v>Sa</v>
      </c>
      <c r="D67" s="112" t="n">
        <v>0</v>
      </c>
      <c r="E67" s="112"/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31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Data'!$A$2:$B$8,MATCH(WEEKDAY('Arg Total Power'!A68,3),'Master Data'!$A$2:$A$8,0),2)</f>
        <v>Su</v>
      </c>
      <c r="D68" s="112" t="n">
        <v>0</v>
      </c>
      <c r="E68" s="112"/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31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Data'!$A$2:$B$8,MATCH(WEEKDAY('Arg Total Power'!A69,3),'Master Data'!$A$2:$A$8,0),2)</f>
        <v>M</v>
      </c>
      <c r="D69" s="112" t="n">
        <v>0</v>
      </c>
      <c r="E69" s="112"/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31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Data'!$A$2:$B$8,MATCH(WEEKDAY('Arg Total Power'!A70,3),'Master Data'!$A$2:$A$8,0),2)</f>
        <v>T</v>
      </c>
      <c r="D70" s="112" t="n">
        <v>0</v>
      </c>
      <c r="E70" s="112"/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31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Data'!$A$2:$B$8,MATCH(WEEKDAY('Arg Total Power'!A71,3),'Master Data'!$A$2:$A$8,0),2)</f>
        <v>W</v>
      </c>
      <c r="D71" s="112" t="n">
        <v>0</v>
      </c>
      <c r="E71" s="112"/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31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Data'!$A$2:$B$8,MATCH(WEEKDAY('Arg Total Power'!A72,3),'Master Data'!$A$2:$A$8,0),2)</f>
        <v>Th</v>
      </c>
      <c r="D72" s="112" t="n">
        <v>0</v>
      </c>
      <c r="E72" s="112"/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31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Data'!$A$2:$B$8,MATCH(WEEKDAY('Arg Total Power'!A73,3),'Master Data'!$A$2:$A$8,0),2)</f>
        <v>F</v>
      </c>
      <c r="D73" s="112" t="n">
        <v>0</v>
      </c>
      <c r="E73" s="112"/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31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Data'!$A$2:$B$8,MATCH(WEEKDAY('Arg Total Power'!A74,3),'Master Data'!$A$2:$A$8,0),2)</f>
        <v>Sa</v>
      </c>
      <c r="D74" s="112" t="n">
        <v>0</v>
      </c>
      <c r="E74" s="112"/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31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Data'!$A$2:$B$8,MATCH(WEEKDAY('Arg Total Power'!A75,3),'Master Data'!$A$2:$A$8,0),2)</f>
        <v>Su</v>
      </c>
      <c r="D75" s="112" t="n">
        <v>0</v>
      </c>
      <c r="E75" s="112"/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31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Data'!$A$2:$B$8,MATCH(WEEKDAY('Arg Total Power'!A76,3),'Master Data'!$A$2:$A$8,0),2)</f>
        <v>M</v>
      </c>
      <c r="D76" s="112" t="n">
        <v>0</v>
      </c>
      <c r="E76" s="112"/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31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Data'!$A$2:$B$8,MATCH(WEEKDAY('Arg Total Power'!A77,3),'Master Data'!$A$2:$A$8,0),2)</f>
        <v>T</v>
      </c>
      <c r="D77" s="112" t="n">
        <v>0</v>
      </c>
      <c r="E77" s="112"/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31" t="n">
        <f aca="false">E77/P$3</f>
        <v>0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Data'!$A$2:$B$8,MATCH(WEEKDAY('Arg Total Power'!A78,3),'Master Data'!$A$2:$A$8,0),2)</f>
        <v>W</v>
      </c>
      <c r="D78" s="112" t="n">
        <v>0</v>
      </c>
      <c r="E78" s="112"/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31" t="n">
        <f aca="false">E78/P$3</f>
        <v>0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Data'!$A$2:$B$8,MATCH(WEEKDAY('Arg Total Power'!A79,3),'Master Data'!$A$2:$A$8,0),2)</f>
        <v>Th</v>
      </c>
      <c r="D79" s="112" t="n">
        <v>0</v>
      </c>
      <c r="E79" s="112"/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31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Data'!$A$2:$B$8,MATCH(WEEKDAY('Arg Total Power'!A80,3),'Master Data'!$A$2:$A$8,0),2)</f>
        <v>F</v>
      </c>
      <c r="D80" s="112" t="n">
        <v>0</v>
      </c>
      <c r="E80" s="112"/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31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Data'!$A$2:$B$8,MATCH(WEEKDAY('Arg Total Power'!A81,3),'Master Data'!$A$2:$A$8,0),2)</f>
        <v>Sa</v>
      </c>
      <c r="D81" s="112" t="n">
        <v>0</v>
      </c>
      <c r="E81" s="112"/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31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Data'!$A$2:$B$8,MATCH(WEEKDAY('Arg Total Power'!A82,3),'Master Data'!$A$2:$A$8,0),2)</f>
        <v>Su</v>
      </c>
      <c r="D82" s="112" t="n">
        <v>0</v>
      </c>
      <c r="E82" s="112"/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31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Data'!$A$2:$B$8,MATCH(WEEKDAY('Arg Total Power'!A83,3),'Master Data'!$A$2:$A$8,0),2)</f>
        <v>M</v>
      </c>
      <c r="D83" s="112" t="n">
        <v>0</v>
      </c>
      <c r="E83" s="112"/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31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Data'!$A$2:$B$8,MATCH(WEEKDAY('Arg Total Power'!A84,3),'Master Data'!$A$2:$A$8,0),2)</f>
        <v>T</v>
      </c>
      <c r="D84" s="112" t="n">
        <v>0</v>
      </c>
      <c r="E84" s="112"/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31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Data'!$A$2:$B$8,MATCH(WEEKDAY('Arg Total Power'!A85,3),'Master Data'!$A$2:$A$8,0),2)</f>
        <v>W</v>
      </c>
      <c r="D85" s="112" t="n">
        <v>0</v>
      </c>
      <c r="E85" s="112"/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31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Data'!$A$2:$B$8,MATCH(WEEKDAY('Arg Total Power'!A86,3),'Master Data'!$A$2:$A$8,0),2)</f>
        <v>Th</v>
      </c>
      <c r="D86" s="112" t="n">
        <v>0</v>
      </c>
      <c r="E86" s="112"/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31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Data'!$A$2:$B$8,MATCH(WEEKDAY('Arg Total Power'!A87,3),'Master Data'!$A$2:$A$8,0),2)</f>
        <v>F</v>
      </c>
      <c r="D87" s="112" t="n">
        <v>0</v>
      </c>
      <c r="E87" s="112"/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31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Data'!$A$2:$B$8,MATCH(WEEKDAY('Arg Total Power'!A88,3),'Master Data'!$A$2:$A$8,0),2)</f>
        <v>Sa</v>
      </c>
      <c r="D88" s="112" t="n">
        <v>0</v>
      </c>
      <c r="E88" s="112"/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31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Data'!$A$2:$B$8,MATCH(WEEKDAY('Arg Total Power'!A89,3),'Master Data'!$A$2:$A$8,0),2)</f>
        <v>Su</v>
      </c>
      <c r="D89" s="112" t="n">
        <v>0</v>
      </c>
      <c r="E89" s="112"/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31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Data'!$A$2:$B$8,MATCH(WEEKDAY('Arg Total Power'!A90,3),'Master Data'!$A$2:$A$8,0),2)</f>
        <v>M</v>
      </c>
      <c r="D90" s="112" t="n">
        <v>0</v>
      </c>
      <c r="E90" s="112"/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31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Data'!$A$2:$B$8,MATCH(WEEKDAY('Arg Total Power'!A91,3),'Master Data'!$A$2:$A$8,0),2)</f>
        <v>T</v>
      </c>
      <c r="D91" s="112" t="n">
        <v>0</v>
      </c>
      <c r="E91" s="112"/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31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Data'!$A$2:$B$8,MATCH(WEEKDAY('Arg Total Power'!A92,3),'Master Data'!$A$2:$A$8,0),2)</f>
        <v>W</v>
      </c>
      <c r="D92" s="112" t="n">
        <v>0</v>
      </c>
      <c r="E92" s="112"/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31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Data'!$A$2:$B$8,MATCH(WEEKDAY('Arg Total Power'!A93,3),'Master Data'!$A$2:$A$8,0),2)</f>
        <v>Th</v>
      </c>
      <c r="D93" s="112" t="n">
        <v>0</v>
      </c>
      <c r="E93" s="112"/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31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Data'!$A$2:$B$8,MATCH(WEEKDAY('Arg Total Power'!A94,3),'Master Data'!$A$2:$A$8,0),2)</f>
        <v>F</v>
      </c>
      <c r="D94" s="112" t="n">
        <v>0</v>
      </c>
      <c r="E94" s="112"/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31" t="n">
        <f aca="false">E94/P$3</f>
        <v>0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Data'!$A$2:$B$8,MATCH(WEEKDAY('Arg Total Power'!A95,3),'Master Data'!$A$2:$A$8,0),2)</f>
        <v>Sa</v>
      </c>
      <c r="D95" s="112" t="n">
        <v>0</v>
      </c>
      <c r="E95" s="112"/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31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Data'!$A$2:$B$8,MATCH(WEEKDAY('Arg Total Power'!A96,3),'Master Data'!$A$2:$A$8,0),2)</f>
        <v>Su</v>
      </c>
      <c r="D96" s="112" t="n">
        <v>0</v>
      </c>
      <c r="E96" s="112"/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31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Data'!$A$2:$B$8,MATCH(WEEKDAY('Arg Total Power'!A97,3),'Master Data'!$A$2:$A$8,0),2)</f>
        <v>M</v>
      </c>
      <c r="D97" s="112" t="n">
        <v>0</v>
      </c>
      <c r="E97" s="112"/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31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Data'!$A$2:$B$8,MATCH(WEEKDAY('Arg Total Power'!A98,3),'Master Data'!$A$2:$A$8,0),2)</f>
        <v>T</v>
      </c>
      <c r="D98" s="112" t="n">
        <v>0</v>
      </c>
      <c r="E98" s="112"/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31" t="n">
        <f aca="false">E98/P$3</f>
        <v>0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Data'!$A$2:$B$8,MATCH(WEEKDAY('Arg Total Power'!A99,3),'Master Data'!$A$2:$A$8,0),2)</f>
        <v>W</v>
      </c>
      <c r="D99" s="112" t="n">
        <v>0</v>
      </c>
      <c r="E99" s="112"/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31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Data'!$A$2:$B$8,MATCH(WEEKDAY('Arg Total Power'!A100,3),'Master Data'!$A$2:$A$8,0),2)</f>
        <v>Th</v>
      </c>
      <c r="D100" s="112" t="n">
        <v>0</v>
      </c>
      <c r="E100" s="112"/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31" t="n">
        <f aca="false">E100/P$3</f>
        <v>0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Data'!$A$2:$B$8,MATCH(WEEKDAY('Arg Total Power'!A101,3),'Master Data'!$A$2:$A$8,0),2)</f>
        <v>F</v>
      </c>
      <c r="D101" s="112" t="n">
        <v>0</v>
      </c>
      <c r="E101" s="112"/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31" t="n">
        <f aca="false">E101/P$3</f>
        <v>0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Data'!$A$2:$B$8,MATCH(WEEKDAY('Arg Total Power'!A102,3),'Master Data'!$A$2:$A$8,0),2)</f>
        <v>Sa</v>
      </c>
      <c r="D102" s="112" t="n">
        <v>0</v>
      </c>
      <c r="E102" s="112"/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31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Data'!$A$2:$B$8,MATCH(WEEKDAY('Arg Total Power'!A103,3),'Master Data'!$A$2:$A$8,0),2)</f>
        <v>Su</v>
      </c>
      <c r="D103" s="112" t="n">
        <v>0</v>
      </c>
      <c r="E103" s="112"/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31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Data'!$A$2:$B$8,MATCH(WEEKDAY('Arg Total Power'!A104,3),'Master Data'!$A$2:$A$8,0),2)</f>
        <v>M</v>
      </c>
      <c r="D104" s="112" t="n">
        <v>0</v>
      </c>
      <c r="E104" s="112"/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31" t="n">
        <f aca="false">E104/P$3</f>
        <v>0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Data'!$A$2:$B$8,MATCH(WEEKDAY('Arg Total Power'!A105,3),'Master Data'!$A$2:$A$8,0),2)</f>
        <v>T</v>
      </c>
      <c r="D105" s="112" t="n">
        <v>0</v>
      </c>
      <c r="E105" s="112"/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31" t="n">
        <f aca="false">E105/P$3</f>
        <v>0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Data'!$A$2:$B$8,MATCH(WEEKDAY('Arg Total Power'!A106,3),'Master Data'!$A$2:$A$8,0),2)</f>
        <v>W</v>
      </c>
      <c r="D106" s="112" t="n">
        <v>0</v>
      </c>
      <c r="E106" s="112"/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31" t="n">
        <f aca="false">E106/P$3</f>
        <v>0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Data'!$A$2:$B$8,MATCH(WEEKDAY('Arg Total Power'!A107,3),'Master Data'!$A$2:$A$8,0),2)</f>
        <v>Th</v>
      </c>
      <c r="D107" s="112" t="n">
        <v>0</v>
      </c>
      <c r="E107" s="112"/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31" t="n">
        <f aca="false">E107/P$3</f>
        <v>0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Data'!$A$2:$B$8,MATCH(WEEKDAY('Arg Total Power'!A108,3),'Master Data'!$A$2:$A$8,0),2)</f>
        <v>F</v>
      </c>
      <c r="D108" s="112" t="n">
        <v>0</v>
      </c>
      <c r="E108" s="112"/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31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Data'!$A$2:$B$8,MATCH(WEEKDAY('Arg Total Power'!A109,3),'Master Data'!$A$2:$A$8,0),2)</f>
        <v>Sa</v>
      </c>
      <c r="D109" s="112" t="n">
        <v>0</v>
      </c>
      <c r="E109" s="112"/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31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Data'!$A$2:$B$8,MATCH(WEEKDAY('Arg Total Power'!A110,3),'Master Data'!$A$2:$A$8,0),2)</f>
        <v>Su</v>
      </c>
      <c r="D110" s="112" t="n">
        <v>0</v>
      </c>
      <c r="E110" s="112"/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31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Data'!$A$2:$B$8,MATCH(WEEKDAY('Arg Total Power'!A111,3),'Master Data'!$A$2:$A$8,0),2)</f>
        <v>M</v>
      </c>
      <c r="D111" s="112" t="n">
        <v>0</v>
      </c>
      <c r="E111" s="112"/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31" t="n">
        <f aca="false">E111/P$3</f>
        <v>0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Data'!$A$2:$B$8,MATCH(WEEKDAY('Arg Total Power'!A112,3),'Master Data'!$A$2:$A$8,0),2)</f>
        <v>T</v>
      </c>
      <c r="D112" s="112" t="n">
        <v>0</v>
      </c>
      <c r="E112" s="112"/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31" t="n">
        <f aca="false">E112/P$3</f>
        <v>0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Data'!$A$2:$B$8,MATCH(WEEKDAY('Arg Total Power'!A113,3),'Master Data'!$A$2:$A$8,0),2)</f>
        <v>W</v>
      </c>
      <c r="D113" s="112" t="n">
        <v>0</v>
      </c>
      <c r="E113" s="112"/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31" t="n">
        <f aca="false">E113/P$3</f>
        <v>0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Data'!$A$2:$B$8,MATCH(WEEKDAY('Arg Total Power'!A114,3),'Master Data'!$A$2:$A$8,0),2)</f>
        <v>Th</v>
      </c>
      <c r="D114" s="112" t="n">
        <v>0</v>
      </c>
      <c r="E114" s="112"/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31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Data'!$A$2:$B$8,MATCH(WEEKDAY('Arg Total Power'!A115,3),'Master Data'!$A$2:$A$8,0),2)</f>
        <v>F</v>
      </c>
      <c r="D115" s="112" t="n">
        <v>0</v>
      </c>
      <c r="E115" s="112"/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31" t="n">
        <f aca="false">E115/P$3</f>
        <v>0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Data'!$A$2:$B$8,MATCH(WEEKDAY('Arg Total Power'!A116,3),'Master Data'!$A$2:$A$8,0),2)</f>
        <v>Sa</v>
      </c>
      <c r="D116" s="112" t="n">
        <v>0</v>
      </c>
      <c r="E116" s="112"/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31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Data'!$A$2:$B$8,MATCH(WEEKDAY('Arg Total Power'!A117,3),'Master Data'!$A$2:$A$8,0),2)</f>
        <v>Su</v>
      </c>
      <c r="D117" s="112" t="n">
        <v>0</v>
      </c>
      <c r="E117" s="112"/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31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Data'!$A$2:$B$8,MATCH(WEEKDAY('Arg Total Power'!A118,3),'Master Data'!$A$2:$A$8,0),2)</f>
        <v>M</v>
      </c>
      <c r="D118" s="112" t="n">
        <v>0</v>
      </c>
      <c r="E118" s="112"/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31" t="n">
        <f aca="false">E118/P$3</f>
        <v>0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Data'!$A$2:$B$8,MATCH(WEEKDAY('Arg Total Power'!A119,3),'Master Data'!$A$2:$A$8,0),2)</f>
        <v>T</v>
      </c>
      <c r="D119" s="112" t="n">
        <v>0</v>
      </c>
      <c r="E119" s="112"/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31" t="n">
        <f aca="false">E119/P$3</f>
        <v>0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Data'!$A$2:$B$8,MATCH(WEEKDAY('Arg Total Power'!A120,3),'Master Data'!$A$2:$A$8,0),2)</f>
        <v>W</v>
      </c>
      <c r="D120" s="112" t="n">
        <v>0</v>
      </c>
      <c r="E120" s="112"/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31" t="n">
        <f aca="false">E120/P$3</f>
        <v>0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Data'!$A$2:$B$8,MATCH(WEEKDAY('Arg Total Power'!A121,3),'Master Data'!$A$2:$A$8,0),2)</f>
        <v>Th</v>
      </c>
      <c r="D121" s="112" t="n">
        <v>0</v>
      </c>
      <c r="E121" s="112"/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31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Data'!$A$2:$B$8,MATCH(WEEKDAY('Arg Total Power'!A122,3),'Master Data'!$A$2:$A$8,0),2)</f>
        <v>F</v>
      </c>
      <c r="D122" s="112" t="n">
        <v>0</v>
      </c>
      <c r="E122" s="112"/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31" t="n">
        <f aca="false">E122/P$3</f>
        <v>0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Data'!$A$2:$B$8,MATCH(WEEKDAY('Arg Total Power'!A123,3),'Master Data'!$A$2:$A$8,0),2)</f>
        <v>Sa</v>
      </c>
      <c r="D123" s="112" t="n">
        <v>0</v>
      </c>
      <c r="E123" s="112"/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31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Data'!$A$2:$B$8,MATCH(WEEKDAY('Arg Total Power'!A124,3),'Master Data'!$A$2:$A$8,0),2)</f>
        <v>Su</v>
      </c>
      <c r="D124" s="112" t="n">
        <v>0</v>
      </c>
      <c r="E124" s="112"/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31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Data'!$A$2:$B$8,MATCH(WEEKDAY('Arg Total Power'!A125,3),'Master Data'!$A$2:$A$8,0),2)</f>
        <v>M</v>
      </c>
      <c r="D125" s="112" t="n">
        <v>0</v>
      </c>
      <c r="E125" s="112"/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31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Data'!$A$2:$B$8,MATCH(WEEKDAY('Arg Total Power'!A126,3),'Master Data'!$A$2:$A$8,0),2)</f>
        <v>T</v>
      </c>
      <c r="D126" s="112" t="n">
        <v>0</v>
      </c>
      <c r="E126" s="112"/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31" t="n">
        <f aca="false">E126/P$3</f>
        <v>0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Data'!$A$2:$B$8,MATCH(WEEKDAY('Arg Total Power'!A127,3),'Master Data'!$A$2:$A$8,0),2)</f>
        <v>W</v>
      </c>
      <c r="D127" s="112" t="n">
        <v>0</v>
      </c>
      <c r="E127" s="112"/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31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Data'!$A$2:$B$8,MATCH(WEEKDAY('Arg Total Power'!A128,3),'Master Data'!$A$2:$A$8,0),2)</f>
        <v>Th</v>
      </c>
      <c r="D128" s="112" t="n">
        <v>0</v>
      </c>
      <c r="E128" s="112"/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31" t="n">
        <f aca="false">E128/P$3</f>
        <v>0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Data'!$A$2:$B$8,MATCH(WEEKDAY('Arg Total Power'!A129,3),'Master Data'!$A$2:$A$8,0),2)</f>
        <v>F</v>
      </c>
      <c r="D129" s="112" t="n">
        <v>0</v>
      </c>
      <c r="E129" s="112"/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31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Data'!$A$2:$B$8,MATCH(WEEKDAY('Arg Total Power'!A130,3),'Master Data'!$A$2:$A$8,0),2)</f>
        <v>Sa</v>
      </c>
      <c r="D130" s="112" t="n">
        <v>0</v>
      </c>
      <c r="E130" s="112"/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31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Data'!$A$2:$B$8,MATCH(WEEKDAY('Arg Total Power'!A131,3),'Master Data'!$A$2:$A$8,0),2)</f>
        <v>Su</v>
      </c>
      <c r="D131" s="112" t="n">
        <v>0</v>
      </c>
      <c r="E131" s="112"/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31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Data'!$A$2:$B$8,MATCH(WEEKDAY('Arg Total Power'!A132,3),'Master Data'!$A$2:$A$8,0),2)</f>
        <v>M</v>
      </c>
      <c r="D132" s="112" t="n">
        <v>0</v>
      </c>
      <c r="E132" s="112"/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31" t="n">
        <f aca="false">E132/P$3</f>
        <v>0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Data'!$A$2:$B$8,MATCH(WEEKDAY('Arg Total Power'!A133,3),'Master Data'!$A$2:$A$8,0),2)</f>
        <v>T</v>
      </c>
      <c r="D133" s="112" t="n">
        <v>0</v>
      </c>
      <c r="E133" s="112"/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31" t="n">
        <f aca="false">E133/P$3</f>
        <v>0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Data'!$A$2:$B$8,MATCH(WEEKDAY('Arg Total Power'!A134,3),'Master Data'!$A$2:$A$8,0),2)</f>
        <v>W</v>
      </c>
      <c r="D134" s="112" t="n">
        <v>0</v>
      </c>
      <c r="E134" s="112"/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31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Data'!$A$2:$B$8,MATCH(WEEKDAY('Arg Total Power'!A135,3),'Master Data'!$A$2:$A$8,0),2)</f>
        <v>Th</v>
      </c>
      <c r="D135" s="112" t="n">
        <v>0</v>
      </c>
      <c r="E135" s="112"/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31" t="n">
        <f aca="false">E135/P$3</f>
        <v>0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Data'!$A$2:$B$8,MATCH(WEEKDAY('Arg Total Power'!A136,3),'Master Data'!$A$2:$A$8,0),2)</f>
        <v>F</v>
      </c>
      <c r="D136" s="112" t="n">
        <v>0</v>
      </c>
      <c r="E136" s="112"/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31" t="n">
        <f aca="false">E136/P$3</f>
        <v>0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Data'!$A$2:$B$8,MATCH(WEEKDAY('Arg Total Power'!A137,3),'Master Data'!$A$2:$A$8,0),2)</f>
        <v>Sa</v>
      </c>
      <c r="D137" s="112" t="n">
        <v>0</v>
      </c>
      <c r="E137" s="112"/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31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Data'!$A$2:$B$8,MATCH(WEEKDAY('Arg Total Power'!A138,3),'Master Data'!$A$2:$A$8,0),2)</f>
        <v>Su</v>
      </c>
      <c r="D138" s="112" t="n">
        <v>0</v>
      </c>
      <c r="E138" s="112"/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31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Data'!$A$2:$B$8,MATCH(WEEKDAY('Arg Total Power'!A139,3),'Master Data'!$A$2:$A$8,0),2)</f>
        <v>M</v>
      </c>
      <c r="D139" s="112" t="n">
        <v>0</v>
      </c>
      <c r="E139" s="112"/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31" t="n">
        <f aca="false">E139/P$3</f>
        <v>0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Data'!$A$2:$B$8,MATCH(WEEKDAY('Arg Total Power'!A140,3),'Master Data'!$A$2:$A$8,0),2)</f>
        <v>T</v>
      </c>
      <c r="D140" s="112" t="n">
        <v>0</v>
      </c>
      <c r="E140" s="112"/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31" t="n">
        <f aca="false">E140/P$3</f>
        <v>0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Data'!$A$2:$B$8,MATCH(WEEKDAY('Arg Total Power'!A141,3),'Master Data'!$A$2:$A$8,0),2)</f>
        <v>W</v>
      </c>
      <c r="D141" s="112" t="n">
        <v>0</v>
      </c>
      <c r="E141" s="112"/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0</v>
      </c>
      <c r="Q141" s="131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Data'!$A$2:$B$8,MATCH(WEEKDAY('Arg Total Power'!A142,3),'Master Data'!$A$2:$A$8,0),2)</f>
        <v>Th</v>
      </c>
      <c r="D142" s="112" t="n">
        <v>0</v>
      </c>
      <c r="E142" s="112"/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0</v>
      </c>
      <c r="Q142" s="131" t="n">
        <f aca="false">E142/P$3</f>
        <v>0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Data'!$A$2:$B$8,MATCH(WEEKDAY('Arg Total Power'!A143,3),'Master Data'!$A$2:$A$8,0),2)</f>
        <v>F</v>
      </c>
      <c r="D143" s="112" t="n">
        <v>0</v>
      </c>
      <c r="E143" s="112"/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0</v>
      </c>
      <c r="Q143" s="131" t="n">
        <f aca="false">E143/P$3</f>
        <v>0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Data'!$A$2:$B$8,MATCH(WEEKDAY('Arg Total Power'!A144,3),'Master Data'!$A$2:$A$8,0),2)</f>
        <v>Sa</v>
      </c>
      <c r="D144" s="112" t="n">
        <v>0</v>
      </c>
      <c r="E144" s="112"/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31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Data'!$A$2:$B$8,MATCH(WEEKDAY('Arg Total Power'!A145,3),'Master Data'!$A$2:$A$8,0),2)</f>
        <v>Su</v>
      </c>
      <c r="D145" s="112" t="n">
        <v>0</v>
      </c>
      <c r="E145" s="112"/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31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Data'!$A$2:$B$8,MATCH(WEEKDAY('Arg Total Power'!A146,3),'Master Data'!$A$2:$A$8,0),2)</f>
        <v>M</v>
      </c>
      <c r="D146" s="112" t="n">
        <v>0</v>
      </c>
      <c r="E146" s="112"/>
      <c r="F146" s="112" t="n">
        <v>0</v>
      </c>
      <c r="G146" s="112" t="n">
        <v>0</v>
      </c>
      <c r="I146" s="112" t="n">
        <f aca="false">IF(MONTH($A146)=MONTH($A145),IF(G148=0,I145,G148),G148)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D148/P$3</f>
        <v>0</v>
      </c>
      <c r="Q146" s="131" t="n">
        <f aca="false">E146/P$3</f>
        <v>0</v>
      </c>
      <c r="R146" s="112" t="n">
        <f aca="false">F148/R$3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Data'!$A$2:$B$8,MATCH(WEEKDAY('Arg Total Power'!A147,3),'Master Data'!$A$2:$A$8,0),2)</f>
        <v>T</v>
      </c>
      <c r="D147" s="112" t="n">
        <v>0</v>
      </c>
      <c r="E147" s="112"/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0</v>
      </c>
      <c r="Q147" s="131" t="n">
        <f aca="false">E147/P$3</f>
        <v>0</v>
      </c>
      <c r="R147" s="112" t="n">
        <f aca="false">F149/R$3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Data'!$A$2:$B$8,MATCH(WEEKDAY('Arg Total Power'!A148,3),'Master Data'!$A$2:$A$8,0),2)</f>
        <v>W</v>
      </c>
      <c r="D148" s="112" t="n">
        <v>0</v>
      </c>
      <c r="E148" s="112"/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0</v>
      </c>
      <c r="P148" s="112" t="n">
        <f aca="false">D148/P$3</f>
        <v>0</v>
      </c>
      <c r="Q148" s="131" t="n">
        <f aca="false">E148/P$3</f>
        <v>0</v>
      </c>
      <c r="R148" s="112" t="n">
        <f aca="false">F150/R$3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0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Data'!$A$2:$B$8,MATCH(WEEKDAY('Arg Total Power'!A149,3),'Master Data'!$A$2:$A$8,0),2)</f>
        <v>Th</v>
      </c>
      <c r="D149" s="112" t="n">
        <v>0</v>
      </c>
      <c r="E149" s="112"/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0</v>
      </c>
      <c r="P149" s="112" t="n">
        <f aca="false">D149/P$3</f>
        <v>0</v>
      </c>
      <c r="Q149" s="131" t="n">
        <f aca="false">E149/P$3</f>
        <v>0</v>
      </c>
      <c r="R149" s="112" t="n">
        <f aca="false">F151/R$3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0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Data'!$A$2:$B$8,MATCH(WEEKDAY('Arg Total Power'!A150,3),'Master Data'!$A$2:$A$8,0),2)</f>
        <v>F</v>
      </c>
      <c r="D150" s="112" t="n">
        <v>0</v>
      </c>
      <c r="E150" s="112"/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0</v>
      </c>
      <c r="P150" s="112" t="n">
        <f aca="false">D150/P$3</f>
        <v>0</v>
      </c>
      <c r="Q150" s="131" t="n">
        <f aca="false">E150/P$3</f>
        <v>0</v>
      </c>
      <c r="R150" s="112" t="n">
        <f aca="false">F152/R$3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0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Data'!$A$2:$B$8,MATCH(WEEKDAY('Arg Total Power'!A151,3),'Master Data'!$A$2:$A$8,0),2)</f>
        <v>Sa</v>
      </c>
      <c r="D151" s="112" t="n">
        <v>0</v>
      </c>
      <c r="E151" s="112"/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0</v>
      </c>
      <c r="P151" s="112" t="n">
        <f aca="false">D151/P$3</f>
        <v>0</v>
      </c>
      <c r="Q151" s="131" t="n">
        <f aca="false">E151/P$3</f>
        <v>0</v>
      </c>
      <c r="R151" s="112" t="n">
        <f aca="false">F153/R$3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Data'!$A$2:$B$8,MATCH(WEEKDAY('Arg Total Power'!A152,3),'Master Data'!$A$2:$A$8,0),2)</f>
        <v>Su</v>
      </c>
      <c r="D152" s="112" t="n">
        <v>0</v>
      </c>
      <c r="E152" s="112"/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0</v>
      </c>
      <c r="P152" s="112" t="n">
        <f aca="false">D152/P$3</f>
        <v>0</v>
      </c>
      <c r="Q152" s="131" t="n">
        <f aca="false">E152/P$3</f>
        <v>0</v>
      </c>
      <c r="R152" s="112" t="n">
        <f aca="false">F154/R$3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Data'!$A$2:$B$8,MATCH(WEEKDAY('Arg Total Power'!A153,3),'Master Data'!$A$2:$A$8,0),2)</f>
        <v>M</v>
      </c>
      <c r="D153" s="112" t="n">
        <v>0</v>
      </c>
      <c r="E153" s="112"/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0</v>
      </c>
      <c r="P153" s="112" t="n">
        <f aca="false">D153/P$3</f>
        <v>0</v>
      </c>
      <c r="Q153" s="131" t="n">
        <f aca="false">E153/P$3</f>
        <v>0</v>
      </c>
      <c r="R153" s="112" t="n">
        <f aca="false">F155/R$3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Data'!$A$2:$B$8,MATCH(WEEKDAY('Arg Total Power'!A154,3),'Master Data'!$A$2:$A$8,0),2)</f>
        <v>T</v>
      </c>
      <c r="D154" s="112" t="n">
        <v>0</v>
      </c>
      <c r="E154" s="112"/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0</v>
      </c>
      <c r="P154" s="112" t="n">
        <f aca="false">D154/P$3</f>
        <v>0</v>
      </c>
      <c r="Q154" s="131" t="n">
        <f aca="false">E154/P$3</f>
        <v>0</v>
      </c>
      <c r="R154" s="112" t="n">
        <f aca="false">F156/R$3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0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Data'!$A$2:$B$8,MATCH(WEEKDAY('Arg Total Power'!A155,3),'Master Data'!$A$2:$A$8,0),2)</f>
        <v>W</v>
      </c>
      <c r="D155" s="112" t="n">
        <v>0</v>
      </c>
      <c r="E155" s="112"/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0</v>
      </c>
      <c r="P155" s="112" t="n">
        <f aca="false">D155/P$3</f>
        <v>0</v>
      </c>
      <c r="Q155" s="131" t="n">
        <f aca="false">E155/P$3</f>
        <v>0</v>
      </c>
      <c r="R155" s="112" t="n">
        <f aca="false">F157/R$3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0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Data'!$A$2:$B$8,MATCH(WEEKDAY('Arg Total Power'!A156,3),'Master Data'!$A$2:$A$8,0),2)</f>
        <v>Th</v>
      </c>
      <c r="D156" s="112" t="n">
        <v>0</v>
      </c>
      <c r="E156" s="112"/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0</v>
      </c>
      <c r="P156" s="112" t="n">
        <f aca="false">D156/P$3</f>
        <v>0</v>
      </c>
      <c r="Q156" s="131" t="n">
        <f aca="false">E156/P$3</f>
        <v>0</v>
      </c>
      <c r="R156" s="112" t="n">
        <f aca="false">F158/R$3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0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Data'!$A$2:$B$8,MATCH(WEEKDAY('Arg Total Power'!A157,3),'Master Data'!$A$2:$A$8,0),2)</f>
        <v>F</v>
      </c>
      <c r="D157" s="112" t="n">
        <v>0</v>
      </c>
      <c r="E157" s="112"/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0</v>
      </c>
      <c r="P157" s="112" t="n">
        <f aca="false">D157/P$3</f>
        <v>0</v>
      </c>
      <c r="Q157" s="131" t="n">
        <f aca="false">E157/P$3</f>
        <v>0</v>
      </c>
      <c r="R157" s="112" t="n">
        <f aca="false">F159/R$3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0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Data'!$A$2:$B$8,MATCH(WEEKDAY('Arg Total Power'!A158,3),'Master Data'!$A$2:$A$8,0),2)</f>
        <v>Sa</v>
      </c>
      <c r="D158" s="112" t="n">
        <v>0</v>
      </c>
      <c r="E158" s="112"/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0</v>
      </c>
      <c r="P158" s="112" t="n">
        <f aca="false">D158/P$3</f>
        <v>0</v>
      </c>
      <c r="Q158" s="131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0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Data'!$A$2:$B$8,MATCH(WEEKDAY('Arg Total Power'!A159,3),'Master Data'!$A$2:$A$8,0),2)</f>
        <v>Su</v>
      </c>
      <c r="D159" s="112" t="n">
        <v>0</v>
      </c>
      <c r="E159" s="112"/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0</v>
      </c>
      <c r="P159" s="112" t="n">
        <f aca="false">D159/P$3</f>
        <v>0</v>
      </c>
      <c r="Q159" s="131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0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Data'!$A$2:$B$8,MATCH(WEEKDAY('Arg Total Power'!A160,3),'Master Data'!$A$2:$A$8,0),2)</f>
        <v>M</v>
      </c>
      <c r="D160" s="112" t="n">
        <v>0</v>
      </c>
      <c r="E160" s="112"/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0</v>
      </c>
      <c r="P160" s="112" t="n">
        <f aca="false">D160/P$3</f>
        <v>0</v>
      </c>
      <c r="Q160" s="131" t="n">
        <f aca="false">E160/P$3</f>
        <v>0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0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Data'!$A$2:$B$8,MATCH(WEEKDAY('Arg Total Power'!A161,3),'Master Data'!$A$2:$A$8,0),2)</f>
        <v>T</v>
      </c>
      <c r="D161" s="112" t="n">
        <v>0</v>
      </c>
      <c r="E161" s="112"/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0</v>
      </c>
      <c r="P161" s="112" t="n">
        <f aca="false">D161/P$3</f>
        <v>0</v>
      </c>
      <c r="Q161" s="131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0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Data'!$A$2:$B$8,MATCH(WEEKDAY('Arg Total Power'!A162,3),'Master Data'!$A$2:$A$8,0),2)</f>
        <v>W</v>
      </c>
      <c r="D162" s="112" t="n">
        <v>0</v>
      </c>
      <c r="E162" s="112"/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0</v>
      </c>
      <c r="P162" s="112" t="n">
        <f aca="false">D162/P$3</f>
        <v>0</v>
      </c>
      <c r="Q162" s="131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0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Data'!$A$2:$B$8,MATCH(WEEKDAY('Arg Total Power'!A163,3),'Master Data'!$A$2:$A$8,0),2)</f>
        <v>Th</v>
      </c>
      <c r="D163" s="112" t="n">
        <v>0</v>
      </c>
      <c r="E163" s="112"/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0</v>
      </c>
      <c r="P163" s="112" t="n">
        <f aca="false">D163/P$3</f>
        <v>0</v>
      </c>
      <c r="Q163" s="131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0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Data'!$A$2:$B$8,MATCH(WEEKDAY('Arg Total Power'!A164,3),'Master Data'!$A$2:$A$8,0),2)</f>
        <v>F</v>
      </c>
      <c r="D164" s="112" t="n">
        <v>0</v>
      </c>
      <c r="E164" s="112"/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0</v>
      </c>
      <c r="P164" s="112" t="n">
        <f aca="false">D164/P$3</f>
        <v>0</v>
      </c>
      <c r="Q164" s="131" t="n">
        <f aca="false">E164/P$3</f>
        <v>0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0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Data'!$A$2:$B$8,MATCH(WEEKDAY('Arg Total Power'!A165,3),'Master Data'!$A$2:$A$8,0),2)</f>
        <v>Sa</v>
      </c>
      <c r="D165" s="112" t="n">
        <v>0</v>
      </c>
      <c r="E165" s="112"/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0</v>
      </c>
      <c r="P165" s="112" t="n">
        <f aca="false">D165/P$3</f>
        <v>0</v>
      </c>
      <c r="Q165" s="131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0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Data'!$A$2:$B$8,MATCH(WEEKDAY('Arg Total Power'!A166,3),'Master Data'!$A$2:$A$8,0),2)</f>
        <v>Su</v>
      </c>
      <c r="D166" s="112" t="n">
        <v>0</v>
      </c>
      <c r="E166" s="112"/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0</v>
      </c>
      <c r="P166" s="112" t="n">
        <f aca="false">D166/P$3</f>
        <v>0</v>
      </c>
      <c r="Q166" s="131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0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Data'!$A$2:$B$8,MATCH(WEEKDAY('Arg Total Power'!A167,3),'Master Data'!$A$2:$A$8,0),2)</f>
        <v>M</v>
      </c>
      <c r="D167" s="112" t="n">
        <v>0</v>
      </c>
      <c r="E167" s="112"/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0</v>
      </c>
      <c r="P167" s="112" t="n">
        <f aca="false">D167/P$3</f>
        <v>0</v>
      </c>
      <c r="Q167" s="131" t="n">
        <f aca="false">E167/P$3</f>
        <v>0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0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Data'!$A$2:$B$8,MATCH(WEEKDAY('Arg Total Power'!A168,3),'Master Data'!$A$2:$A$8,0),2)</f>
        <v>T</v>
      </c>
      <c r="D168" s="112" t="n">
        <v>0</v>
      </c>
      <c r="E168" s="112"/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0</v>
      </c>
      <c r="P168" s="112" t="n">
        <f aca="false">D168/P$3</f>
        <v>0</v>
      </c>
      <c r="Q168" s="131" t="n">
        <f aca="false">E168/P$3</f>
        <v>0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0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Data'!$A$2:$B$8,MATCH(WEEKDAY('Arg Total Power'!A169,3),'Master Data'!$A$2:$A$8,0),2)</f>
        <v>W</v>
      </c>
      <c r="D169" s="112" t="n">
        <v>0</v>
      </c>
      <c r="E169" s="112"/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0</v>
      </c>
      <c r="P169" s="112" t="n">
        <f aca="false">D169/P$3</f>
        <v>0</v>
      </c>
      <c r="Q169" s="131" t="n">
        <f aca="false">E169/P$3</f>
        <v>0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0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Data'!$A$2:$B$8,MATCH(WEEKDAY('Arg Total Power'!A170,3),'Master Data'!$A$2:$A$8,0),2)</f>
        <v>Th</v>
      </c>
      <c r="D170" s="112" t="n">
        <v>0</v>
      </c>
      <c r="E170" s="112"/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0</v>
      </c>
      <c r="P170" s="112" t="n">
        <f aca="false">D170/P$3</f>
        <v>0</v>
      </c>
      <c r="Q170" s="131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0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Data'!$A$2:$B$8,MATCH(WEEKDAY('Arg Total Power'!A171,3),'Master Data'!$A$2:$A$8,0),2)</f>
        <v>F</v>
      </c>
      <c r="D171" s="112" t="n">
        <v>0</v>
      </c>
      <c r="E171" s="112"/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0</v>
      </c>
      <c r="P171" s="112" t="n">
        <f aca="false">D171/P$3</f>
        <v>0</v>
      </c>
      <c r="Q171" s="131" t="n">
        <f aca="false">E171/P$3</f>
        <v>0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0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Data'!$A$2:$B$8,MATCH(WEEKDAY('Arg Total Power'!A172,3),'Master Data'!$A$2:$A$8,0),2)</f>
        <v>Sa</v>
      </c>
      <c r="D172" s="112" t="n">
        <v>0</v>
      </c>
      <c r="E172" s="112"/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0</v>
      </c>
      <c r="P172" s="112" t="n">
        <f aca="false">D172/P$3</f>
        <v>0</v>
      </c>
      <c r="Q172" s="131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0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Data'!$A$2:$B$8,MATCH(WEEKDAY('Arg Total Power'!A173,3),'Master Data'!$A$2:$A$8,0),2)</f>
        <v>Su</v>
      </c>
      <c r="D173" s="112" t="n">
        <v>0</v>
      </c>
      <c r="E173" s="112"/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0</v>
      </c>
      <c r="P173" s="112" t="n">
        <f aca="false">D173/P$3</f>
        <v>0</v>
      </c>
      <c r="Q173" s="131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0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Data'!$A$2:$B$8,MATCH(WEEKDAY('Arg Total Power'!A174,3),'Master Data'!$A$2:$A$8,0),2)</f>
        <v>M</v>
      </c>
      <c r="D174" s="112" t="n">
        <v>0</v>
      </c>
      <c r="E174" s="112"/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0</v>
      </c>
      <c r="P174" s="112" t="n">
        <f aca="false">D174/P$3</f>
        <v>0</v>
      </c>
      <c r="Q174" s="131" t="n">
        <f aca="false">E174/P$3</f>
        <v>0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0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Data'!$A$2:$B$8,MATCH(WEEKDAY('Arg Total Power'!A175,3),'Master Data'!$A$2:$A$8,0),2)</f>
        <v>T</v>
      </c>
      <c r="D175" s="112" t="n">
        <v>0</v>
      </c>
      <c r="E175" s="112"/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0</v>
      </c>
      <c r="P175" s="112" t="n">
        <f aca="false">D175/P$3</f>
        <v>0</v>
      </c>
      <c r="Q175" s="131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0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Data'!$A$2:$B$8,MATCH(WEEKDAY('Arg Total Power'!A176,3),'Master Data'!$A$2:$A$8,0),2)</f>
        <v>W</v>
      </c>
      <c r="D176" s="112" t="n">
        <v>0</v>
      </c>
      <c r="E176" s="112"/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0</v>
      </c>
      <c r="P176" s="112" t="n">
        <f aca="false">D176/P$3</f>
        <v>0</v>
      </c>
      <c r="Q176" s="131" t="n">
        <f aca="false">E176/P$3</f>
        <v>0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0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Data'!$A$2:$B$8,MATCH(WEEKDAY('Arg Total Power'!A177,3),'Master Data'!$A$2:$A$8,0),2)</f>
        <v>Th</v>
      </c>
      <c r="D177" s="112" t="n">
        <v>0</v>
      </c>
      <c r="E177" s="112"/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0</v>
      </c>
      <c r="P177" s="112" t="n">
        <f aca="false">D177/P$3</f>
        <v>0</v>
      </c>
      <c r="Q177" s="131" t="n">
        <f aca="false">E177/P$3</f>
        <v>0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0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Data'!$A$2:$B$8,MATCH(WEEKDAY('Arg Total Power'!A178,3),'Master Data'!$A$2:$A$8,0),2)</f>
        <v>F</v>
      </c>
      <c r="D178" s="112" t="n">
        <v>0</v>
      </c>
      <c r="E178" s="112"/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0</v>
      </c>
      <c r="P178" s="112" t="n">
        <f aca="false">D178/P$3</f>
        <v>0</v>
      </c>
      <c r="Q178" s="131" t="n">
        <f aca="false">E178/P$3</f>
        <v>0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0</v>
      </c>
      <c r="X178" s="132"/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Data'!$A$2:$B$8,MATCH(WEEKDAY('Arg Total Power'!A179,3),'Master Data'!$A$2:$A$8,0),2)</f>
        <v>Sa</v>
      </c>
      <c r="D179" s="112" t="n">
        <v>0</v>
      </c>
      <c r="E179" s="112"/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0</v>
      </c>
      <c r="P179" s="112" t="n">
        <f aca="false">D179/P$3</f>
        <v>0</v>
      </c>
      <c r="Q179" s="131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0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Data'!$A$2:$B$8,MATCH(WEEKDAY('Arg Total Power'!A180,3),'Master Data'!$A$2:$A$8,0),2)</f>
        <v>Su</v>
      </c>
      <c r="D180" s="112" t="n">
        <v>0</v>
      </c>
      <c r="E180" s="112"/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0</v>
      </c>
      <c r="P180" s="112" t="n">
        <f aca="false">D180/P$3</f>
        <v>0</v>
      </c>
      <c r="Q180" s="131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0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Data'!$A$2:$B$8,MATCH(WEEKDAY('Arg Total Power'!A181,3),'Master Data'!$A$2:$A$8,0),2)</f>
        <v>M</v>
      </c>
      <c r="D181" s="112" t="n">
        <v>0</v>
      </c>
      <c r="E181" s="112"/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0</v>
      </c>
      <c r="P181" s="112" t="n">
        <f aca="false">D181/P$3</f>
        <v>0</v>
      </c>
      <c r="Q181" s="131" t="n">
        <f aca="false">E181/P$3</f>
        <v>0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0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Data'!$A$2:$B$8,MATCH(WEEKDAY('Arg Total Power'!A182,3),'Master Data'!$A$2:$A$8,0),2)</f>
        <v>T</v>
      </c>
      <c r="D182" s="112" t="n">
        <v>0</v>
      </c>
      <c r="E182" s="112"/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0</v>
      </c>
      <c r="P182" s="112" t="n">
        <f aca="false">D182/P$3</f>
        <v>0</v>
      </c>
      <c r="Q182" s="131" t="n">
        <f aca="false">E182/P$3</f>
        <v>0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0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Data'!$A$2:$B$8,MATCH(WEEKDAY('Arg Total Power'!A183,3),'Master Data'!$A$2:$A$8,0),2)</f>
        <v>W</v>
      </c>
      <c r="D183" s="112" t="n">
        <v>0</v>
      </c>
      <c r="E183" s="112"/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0</v>
      </c>
      <c r="P183" s="112" t="n">
        <f aca="false">D183/P$3</f>
        <v>0</v>
      </c>
      <c r="Q183" s="131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0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Data'!$A$2:$B$8,MATCH(WEEKDAY('Arg Total Power'!A184,3),'Master Data'!$A$2:$A$8,0),2)</f>
        <v>Th</v>
      </c>
      <c r="D184" s="112" t="n">
        <v>0</v>
      </c>
      <c r="E184" s="112"/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0</v>
      </c>
      <c r="P184" s="112" t="n">
        <f aca="false">D184/P$3</f>
        <v>0</v>
      </c>
      <c r="Q184" s="131" t="n">
        <f aca="false">E184/P$3</f>
        <v>0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0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Data'!$A$2:$B$8,MATCH(WEEKDAY('Arg Total Power'!A185,3),'Master Data'!$A$2:$A$8,0),2)</f>
        <v>F</v>
      </c>
      <c r="D185" s="112" t="n">
        <v>0</v>
      </c>
      <c r="E185" s="112"/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0</v>
      </c>
      <c r="P185" s="112" t="n">
        <f aca="false">D185/P$3</f>
        <v>0</v>
      </c>
      <c r="Q185" s="131" t="n">
        <f aca="false">E185/P$3</f>
        <v>0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0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Data'!$A$2:$B$8,MATCH(WEEKDAY('Arg Total Power'!A186,3),'Master Data'!$A$2:$A$8,0),2)</f>
        <v>Sa</v>
      </c>
      <c r="D186" s="112" t="n">
        <v>0</v>
      </c>
      <c r="E186" s="112"/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0</v>
      </c>
      <c r="P186" s="112" t="n">
        <f aca="false">D186/P$3</f>
        <v>0</v>
      </c>
      <c r="Q186" s="131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0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Data'!$A$2:$B$8,MATCH(WEEKDAY('Arg Total Power'!A187,3),'Master Data'!$A$2:$A$8,0),2)</f>
        <v>Su</v>
      </c>
      <c r="D187" s="112" t="n">
        <v>0</v>
      </c>
      <c r="E187" s="112"/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0</v>
      </c>
      <c r="P187" s="112" t="n">
        <f aca="false">D187/P$3</f>
        <v>0</v>
      </c>
      <c r="Q187" s="131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0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Data'!$A$2:$B$8,MATCH(WEEKDAY('Arg Total Power'!A188,3),'Master Data'!$A$2:$A$8,0),2)</f>
        <v>M</v>
      </c>
      <c r="D188" s="112" t="n">
        <v>0</v>
      </c>
      <c r="E188" s="112"/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SUM(J$97:J188)</f>
        <v>0</v>
      </c>
      <c r="N188" s="112" t="n">
        <f aca="false">SUM(J$6:J188)</f>
        <v>0</v>
      </c>
      <c r="P188" s="112" t="n">
        <f aca="false">D188/P$3</f>
        <v>0</v>
      </c>
      <c r="Q188" s="131" t="n">
        <f aca="false">E188/P$3</f>
        <v>0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0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Data'!$A$2:$B$8,MATCH(WEEKDAY('Arg Total Power'!A189,3),'Master Data'!$A$2:$A$8,0),2)</f>
        <v>T</v>
      </c>
      <c r="D189" s="112" t="n">
        <v>0</v>
      </c>
      <c r="E189" s="112"/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SUM(J$97:J189)</f>
        <v>0</v>
      </c>
      <c r="N189" s="112" t="n">
        <f aca="false">SUM(J$6:J189)</f>
        <v>0</v>
      </c>
      <c r="P189" s="112" t="n">
        <f aca="false">D189/P$3</f>
        <v>0</v>
      </c>
      <c r="Q189" s="131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0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Data'!$A$2:$B$8,MATCH(WEEKDAY('Arg Total Power'!A190,3),'Master Data'!$A$2:$A$8,0),2)</f>
        <v>W</v>
      </c>
      <c r="D190" s="112" t="n">
        <v>0</v>
      </c>
      <c r="E190" s="112"/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SUM(J$97:J190)</f>
        <v>0</v>
      </c>
      <c r="N190" s="112" t="n">
        <f aca="false">SUM(J$6:J190)</f>
        <v>0</v>
      </c>
      <c r="P190" s="112" t="n">
        <f aca="false">D190/P$3</f>
        <v>0</v>
      </c>
      <c r="Q190" s="131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0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Data'!$A$2:$B$8,MATCH(WEEKDAY('Arg Total Power'!A191,3),'Master Data'!$A$2:$A$8,0),2)</f>
        <v>Th</v>
      </c>
      <c r="D191" s="112" t="n">
        <v>0</v>
      </c>
      <c r="E191" s="112"/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SUM(J$97:J191)</f>
        <v>0</v>
      </c>
      <c r="N191" s="112" t="n">
        <f aca="false">SUM(J$6:J191)</f>
        <v>0</v>
      </c>
      <c r="P191" s="112" t="n">
        <f aca="false">D191/P$3</f>
        <v>0</v>
      </c>
      <c r="Q191" s="131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0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Data'!$A$2:$B$8,MATCH(WEEKDAY('Arg Total Power'!A192,3),'Master Data'!$A$2:$A$8,0),2)</f>
        <v>F</v>
      </c>
      <c r="D192" s="112" t="n">
        <v>0</v>
      </c>
      <c r="E192" s="112" t="n">
        <v>399807.002223507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SUM(J$97:J192)</f>
        <v>0</v>
      </c>
      <c r="N192" s="112" t="n">
        <f aca="false">SUM(J$6:J192)</f>
        <v>0</v>
      </c>
      <c r="P192" s="112" t="n">
        <f aca="false">D192/P$3</f>
        <v>0</v>
      </c>
      <c r="Q192" s="131" t="n">
        <f aca="false">E192/P$3</f>
        <v>0.399807002223507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0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Data'!$A$2:$B$8,MATCH(WEEKDAY('Arg Total Power'!A193,3),'Master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SUM(J$97:J193)</f>
        <v>0</v>
      </c>
      <c r="N193" s="112" t="n">
        <f aca="false">SUM(J$6:J193)</f>
        <v>0</v>
      </c>
      <c r="P193" s="112" t="n">
        <f aca="false">D193/P$3</f>
        <v>0</v>
      </c>
      <c r="Q193" s="131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0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Data'!$A$2:$B$8,MATCH(WEEKDAY('Arg Total Power'!A194,3),'Master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SUM(J$97:J194)</f>
        <v>0</v>
      </c>
      <c r="N194" s="112" t="n">
        <f aca="false">SUM(J$6:J194)</f>
        <v>0</v>
      </c>
      <c r="P194" s="112" t="n">
        <f aca="false">D194/P$3</f>
        <v>0</v>
      </c>
      <c r="Q194" s="131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0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Data'!$A$2:$B$8,MATCH(WEEKDAY('Arg Total Power'!A195,3),'Master Data'!$A$2:$A$8,0),2)</f>
        <v>M</v>
      </c>
      <c r="D195" s="112" t="n">
        <v>0</v>
      </c>
      <c r="E195" s="133" t="n">
        <v>401378.968571289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SUM(J$97:J195)</f>
        <v>0</v>
      </c>
      <c r="N195" s="112" t="n">
        <f aca="false">SUM(J$6:J195)</f>
        <v>0</v>
      </c>
      <c r="P195" s="112" t="n">
        <f aca="false">D195/P$3</f>
        <v>0</v>
      </c>
      <c r="Q195" s="131" t="n">
        <f aca="false">E195/P$3</f>
        <v>0.401378968571289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0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Data'!$A$2:$B$8,MATCH(WEEKDAY('Arg Total Power'!A196,3),'Master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SUM(J$97:J196)</f>
        <v>0</v>
      </c>
      <c r="N196" s="112" t="n">
        <f aca="false">SUM(J$6:J196)</f>
        <v>0</v>
      </c>
      <c r="P196" s="112" t="n">
        <f aca="false">D196/P$3</f>
        <v>0</v>
      </c>
      <c r="Q196" s="131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0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Data'!$A$2:$B$8,MATCH(WEEKDAY('Arg Total Power'!A197,3),'Master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SUM(J$97:J197)</f>
        <v>0</v>
      </c>
      <c r="N197" s="112" t="n">
        <f aca="false">SUM(J$6:J197)</f>
        <v>0</v>
      </c>
      <c r="P197" s="112" t="n">
        <f aca="false">D197/P$3</f>
        <v>0</v>
      </c>
      <c r="Q197" s="131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0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Data'!$A$2:$B$8,MATCH(WEEKDAY('Arg Total Power'!A198,3),'Master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SUM(J$97:J198)</f>
        <v>0</v>
      </c>
      <c r="N198" s="112" t="n">
        <f aca="false">SUM(J$6:J198)</f>
        <v>0</v>
      </c>
      <c r="P198" s="112" t="n">
        <f aca="false">D198/P$3</f>
        <v>0</v>
      </c>
      <c r="Q198" s="131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0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Data'!$A$2:$B$8,MATCH(WEEKDAY('Arg Total Power'!A199,3),'Master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SUM(J$97:J199)</f>
        <v>0</v>
      </c>
      <c r="N199" s="112" t="n">
        <f aca="false">SUM(J$6:J199)</f>
        <v>0</v>
      </c>
      <c r="P199" s="112" t="n">
        <f aca="false">D199/P$3</f>
        <v>0</v>
      </c>
      <c r="Q199" s="131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0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Data'!$A$2:$B$8,MATCH(WEEKDAY('Arg Total Power'!A200,3),'Master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SUM(J$97:J200)</f>
        <v>0</v>
      </c>
      <c r="N200" s="112" t="n">
        <f aca="false">SUM(J$6:J200)</f>
        <v>0</v>
      </c>
      <c r="P200" s="112" t="n">
        <f aca="false">D200/P$3</f>
        <v>0</v>
      </c>
      <c r="Q200" s="131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0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Data'!$A$2:$B$8,MATCH(WEEKDAY('Arg Total Power'!A201,3),'Master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SUM(J$97:J201)</f>
        <v>0</v>
      </c>
      <c r="N201" s="112" t="n">
        <f aca="false">SUM(J$6:J201)</f>
        <v>0</v>
      </c>
      <c r="P201" s="112" t="n">
        <f aca="false">D201/P$3</f>
        <v>0</v>
      </c>
      <c r="Q201" s="131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0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Data'!$A$2:$B$8,MATCH(WEEKDAY('Arg Total Power'!A202,3),'Master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SUM(J$97:J202)</f>
        <v>0</v>
      </c>
      <c r="N202" s="112" t="n">
        <f aca="false">SUM(J$6:J202)</f>
        <v>0</v>
      </c>
      <c r="P202" s="112" t="n">
        <f aca="false">D202/P$3</f>
        <v>0</v>
      </c>
      <c r="Q202" s="131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0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Data'!$A$2:$B$8,MATCH(WEEKDAY('Arg Total Power'!A203,3),'Master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SUM(J$97:J203)</f>
        <v>0</v>
      </c>
      <c r="N203" s="112" t="n">
        <f aca="false">SUM(J$6:J203)</f>
        <v>0</v>
      </c>
      <c r="P203" s="112" t="n">
        <f aca="false">D203/P$3</f>
        <v>0</v>
      </c>
      <c r="Q203" s="131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0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Data'!$A$2:$B$8,MATCH(WEEKDAY('Arg Total Power'!A204,3),'Master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SUM(J$97:J204)</f>
        <v>0</v>
      </c>
      <c r="N204" s="112" t="n">
        <f aca="false">SUM(J$6:J204)</f>
        <v>0</v>
      </c>
      <c r="P204" s="112" t="n">
        <f aca="false">D204/P$3</f>
        <v>0</v>
      </c>
      <c r="Q204" s="131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0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Data'!$A$2:$B$8,MATCH(WEEKDAY('Arg Total Power'!A205,3),'Master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SUM(J$97:J205)</f>
        <v>0</v>
      </c>
      <c r="N205" s="112" t="n">
        <f aca="false">SUM(J$6:J205)</f>
        <v>0</v>
      </c>
      <c r="P205" s="112" t="n">
        <f aca="false">D205/P$3</f>
        <v>0</v>
      </c>
      <c r="Q205" s="131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0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Data'!$A$2:$B$8,MATCH(WEEKDAY('Arg Total Power'!A206,3),'Master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SUM(J$97:J206)</f>
        <v>0</v>
      </c>
      <c r="N206" s="112" t="n">
        <f aca="false">SUM(J$6:J206)</f>
        <v>0</v>
      </c>
      <c r="P206" s="112" t="n">
        <f aca="false">D206/P$3</f>
        <v>0</v>
      </c>
      <c r="Q206" s="131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0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Data'!$A$2:$B$8,MATCH(WEEKDAY('Arg Total Power'!A207,3),'Master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SUM(J$97:J207)</f>
        <v>0</v>
      </c>
      <c r="N207" s="112" t="n">
        <f aca="false">SUM(J$6:J207)</f>
        <v>0</v>
      </c>
      <c r="P207" s="112" t="n">
        <f aca="false">D207/P$3</f>
        <v>0</v>
      </c>
      <c r="Q207" s="131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0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Data'!$A$2:$B$8,MATCH(WEEKDAY('Arg Total Power'!A208,3),'Master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SUM(J$97:J208)</f>
        <v>0</v>
      </c>
      <c r="N208" s="112" t="n">
        <f aca="false">SUM(J$6:J208)</f>
        <v>0</v>
      </c>
      <c r="P208" s="112" t="n">
        <f aca="false">D208/P$3</f>
        <v>0</v>
      </c>
      <c r="Q208" s="131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0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Data'!$A$2:$B$8,MATCH(WEEKDAY('Arg Total Power'!A209,3),'Master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SUM(J$97:J209)</f>
        <v>0</v>
      </c>
      <c r="N209" s="112" t="n">
        <f aca="false">SUM(J$6:J209)</f>
        <v>0</v>
      </c>
      <c r="P209" s="112" t="n">
        <f aca="false">D209/P$3</f>
        <v>0</v>
      </c>
      <c r="Q209" s="131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0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Data'!$A$2:$B$8,MATCH(WEEKDAY('Arg Total Power'!A210,3),'Master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SUM(J$97:J210)</f>
        <v>0</v>
      </c>
      <c r="N210" s="112" t="n">
        <f aca="false">SUM(J$6:J210)</f>
        <v>0</v>
      </c>
      <c r="P210" s="112" t="n">
        <f aca="false">D210/P$3</f>
        <v>0</v>
      </c>
      <c r="Q210" s="131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0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Data'!$A$2:$B$8,MATCH(WEEKDAY('Arg Total Power'!A211,3),'Master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SUM(J$97:J211)</f>
        <v>0</v>
      </c>
      <c r="N211" s="112" t="n">
        <f aca="false">SUM(J$6:J211)</f>
        <v>0</v>
      </c>
      <c r="P211" s="112" t="n">
        <f aca="false">D211/P$3</f>
        <v>0</v>
      </c>
      <c r="Q211" s="131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0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Data'!$A$2:$B$8,MATCH(WEEKDAY('Arg Total Power'!A212,3),'Master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SUM(J$97:J212)</f>
        <v>0</v>
      </c>
      <c r="N212" s="112" t="n">
        <f aca="false">SUM(J$6:J212)</f>
        <v>0</v>
      </c>
      <c r="P212" s="112" t="n">
        <f aca="false">D212/P$3</f>
        <v>0</v>
      </c>
      <c r="Q212" s="131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0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Data'!$A$2:$B$8,MATCH(WEEKDAY('Arg Total Power'!A213,3),'Master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SUM(J$97:J213)</f>
        <v>0</v>
      </c>
      <c r="N213" s="112" t="n">
        <f aca="false">SUM(J$6:J213)</f>
        <v>0</v>
      </c>
      <c r="P213" s="112" t="n">
        <f aca="false">D213/P$3</f>
        <v>0</v>
      </c>
      <c r="Q213" s="131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0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Data'!$A$2:$B$8,MATCH(WEEKDAY('Arg Total Power'!A214,3),'Master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SUM(J$97:J214)</f>
        <v>0</v>
      </c>
      <c r="N214" s="112" t="n">
        <f aca="false">SUM(J$6:J214)</f>
        <v>0</v>
      </c>
      <c r="P214" s="112" t="n">
        <f aca="false">D214/P$3</f>
        <v>0</v>
      </c>
      <c r="Q214" s="131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0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Data'!$A$2:$B$8,MATCH(WEEKDAY('Arg Total Power'!A215,3),'Master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SUM(J$97:J215)</f>
        <v>0</v>
      </c>
      <c r="N215" s="112" t="n">
        <f aca="false">SUM(J$6:J215)</f>
        <v>0</v>
      </c>
      <c r="P215" s="112" t="n">
        <f aca="false">D215/P$3</f>
        <v>0</v>
      </c>
      <c r="Q215" s="131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0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Data'!$A$2:$B$8,MATCH(WEEKDAY('Arg Total Power'!A216,3),'Master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SUM(J$97:J216)</f>
        <v>0</v>
      </c>
      <c r="N216" s="112" t="n">
        <f aca="false">SUM(J$6:J216)</f>
        <v>0</v>
      </c>
      <c r="P216" s="112" t="n">
        <f aca="false">D216/P$3</f>
        <v>0</v>
      </c>
      <c r="Q216" s="131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0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Data'!$A$2:$B$8,MATCH(WEEKDAY('Arg Total Power'!A217,3),'Master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SUM(J$97:J217)</f>
        <v>0</v>
      </c>
      <c r="N217" s="112" t="n">
        <f aca="false">SUM(J$6:J217)</f>
        <v>0</v>
      </c>
      <c r="P217" s="112" t="n">
        <f aca="false">D217/P$3</f>
        <v>0</v>
      </c>
      <c r="Q217" s="131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0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Data'!$A$2:$B$8,MATCH(WEEKDAY('Arg Total Power'!A218,3),'Master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SUM(J$97:J218)</f>
        <v>0</v>
      </c>
      <c r="N218" s="112" t="n">
        <f aca="false">SUM(J$6:J218)</f>
        <v>0</v>
      </c>
      <c r="P218" s="112" t="n">
        <f aca="false">D218/P$3</f>
        <v>0</v>
      </c>
      <c r="Q218" s="131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0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Data'!$A$2:$B$8,MATCH(WEEKDAY('Arg Total Power'!A219,3),'Master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SUM(J$97:J219)</f>
        <v>0</v>
      </c>
      <c r="N219" s="112" t="n">
        <f aca="false">SUM(J$6:J219)</f>
        <v>0</v>
      </c>
      <c r="P219" s="112" t="n">
        <f aca="false">D219/P$3</f>
        <v>0</v>
      </c>
      <c r="Q219" s="131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0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Data'!$A$2:$B$8,MATCH(WEEKDAY('Arg Total Power'!A220,3),'Master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SUM(J$97:J220)</f>
        <v>0</v>
      </c>
      <c r="N220" s="112" t="n">
        <f aca="false">SUM(J$6:J220)</f>
        <v>0</v>
      </c>
      <c r="P220" s="112" t="n">
        <f aca="false">D220/P$3</f>
        <v>0</v>
      </c>
      <c r="Q220" s="131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0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Data'!$A$2:$B$8,MATCH(WEEKDAY('Arg Total Power'!A221,3),'Master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SUM(J$97:J221)</f>
        <v>0</v>
      </c>
      <c r="N221" s="112" t="n">
        <f aca="false">SUM(J$6:J221)</f>
        <v>0</v>
      </c>
      <c r="P221" s="112" t="n">
        <f aca="false">D221/P$3</f>
        <v>0</v>
      </c>
      <c r="Q221" s="131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0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Data'!$A$2:$B$8,MATCH(WEEKDAY('Arg Total Power'!A222,3),'Master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SUM(J$97:J222)</f>
        <v>0</v>
      </c>
      <c r="N222" s="112" t="n">
        <f aca="false">SUM(J$6:J222)</f>
        <v>0</v>
      </c>
      <c r="P222" s="112" t="n">
        <f aca="false">D222/P$3</f>
        <v>0</v>
      </c>
      <c r="Q222" s="131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0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Data'!$A$2:$B$8,MATCH(WEEKDAY('Arg Total Power'!A223,3),'Master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SUM(J$97:J223)</f>
        <v>0</v>
      </c>
      <c r="N223" s="112" t="n">
        <f aca="false">SUM(J$6:J223)</f>
        <v>0</v>
      </c>
      <c r="P223" s="112" t="n">
        <f aca="false">D223/P$3</f>
        <v>0</v>
      </c>
      <c r="Q223" s="131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0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Data'!$A$2:$B$8,MATCH(WEEKDAY('Arg Total Power'!A224,3),'Master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SUM(J$97:J224)</f>
        <v>0</v>
      </c>
      <c r="N224" s="112" t="n">
        <f aca="false">SUM(J$6:J224)</f>
        <v>0</v>
      </c>
      <c r="P224" s="112" t="n">
        <f aca="false">D224/P$3</f>
        <v>0</v>
      </c>
      <c r="Q224" s="131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0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Data'!$A$2:$B$8,MATCH(WEEKDAY('Arg Total Power'!A225,3),'Master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SUM(J$97:J225)</f>
        <v>0</v>
      </c>
      <c r="N225" s="112" t="n">
        <f aca="false">SUM(J$6:J225)</f>
        <v>0</v>
      </c>
      <c r="P225" s="112" t="n">
        <f aca="false">D225/P$3</f>
        <v>0</v>
      </c>
      <c r="Q225" s="131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0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Data'!$A$2:$B$8,MATCH(WEEKDAY('Arg Total Power'!A226,3),'Master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SUM(J$97:J226)</f>
        <v>0</v>
      </c>
      <c r="N226" s="112" t="n">
        <f aca="false">SUM(J$6:J226)</f>
        <v>0</v>
      </c>
      <c r="P226" s="112" t="n">
        <f aca="false">D226/P$3</f>
        <v>0</v>
      </c>
      <c r="Q226" s="131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0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Data'!$A$2:$B$8,MATCH(WEEKDAY('Arg Total Power'!A227,3),'Master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SUM(J$97:J227)</f>
        <v>0</v>
      </c>
      <c r="N227" s="112" t="n">
        <f aca="false">SUM(J$6:J227)</f>
        <v>0</v>
      </c>
      <c r="P227" s="112" t="n">
        <f aca="false">D227/P$3</f>
        <v>0</v>
      </c>
      <c r="Q227" s="131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0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Data'!$A$2:$B$8,MATCH(WEEKDAY('Arg Total Power'!A228,3),'Master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SUM(J$97:J228)</f>
        <v>0</v>
      </c>
      <c r="N228" s="112" t="n">
        <f aca="false">SUM(J$6:J228)</f>
        <v>0</v>
      </c>
      <c r="P228" s="112" t="n">
        <f aca="false">D228/P$3</f>
        <v>0</v>
      </c>
      <c r="Q228" s="131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0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Data'!$A$2:$B$8,MATCH(WEEKDAY('Arg Total Power'!A229,3),'Master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SUM(J$97:J229)</f>
        <v>0</v>
      </c>
      <c r="N229" s="112" t="n">
        <f aca="false">SUM(J$6:J229)</f>
        <v>0</v>
      </c>
      <c r="P229" s="112" t="n">
        <f aca="false">D229/P$3</f>
        <v>0</v>
      </c>
      <c r="Q229" s="131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0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Data'!$A$2:$B$8,MATCH(WEEKDAY('Arg Total Power'!A230,3),'Master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SUM(J$97:J230)</f>
        <v>0</v>
      </c>
      <c r="N230" s="112" t="n">
        <f aca="false">SUM(J$6:J230)</f>
        <v>0</v>
      </c>
      <c r="P230" s="112" t="n">
        <f aca="false">D230/P$3</f>
        <v>0</v>
      </c>
      <c r="Q230" s="131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0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Data'!$A$2:$B$8,MATCH(WEEKDAY('Arg Total Power'!A231,3),'Master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SUM(J$97:J231)</f>
        <v>0</v>
      </c>
      <c r="N231" s="112" t="n">
        <f aca="false">SUM(J$6:J231)</f>
        <v>0</v>
      </c>
      <c r="P231" s="112" t="n">
        <f aca="false">D231/P$3</f>
        <v>0</v>
      </c>
      <c r="Q231" s="131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0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Data'!$A$2:$B$8,MATCH(WEEKDAY('Arg Total Power'!A232,3),'Master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SUM(J$97:J232)</f>
        <v>0</v>
      </c>
      <c r="N232" s="112" t="n">
        <f aca="false">SUM(J$6:J232)</f>
        <v>0</v>
      </c>
      <c r="P232" s="112" t="n">
        <f aca="false">D232/P$3</f>
        <v>0</v>
      </c>
      <c r="Q232" s="131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0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Data'!$A$2:$B$8,MATCH(WEEKDAY('Arg Total Power'!A233,3),'Master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SUM(J$97:J233)</f>
        <v>0</v>
      </c>
      <c r="N233" s="112" t="n">
        <f aca="false">SUM(J$6:J233)</f>
        <v>0</v>
      </c>
      <c r="P233" s="112" t="n">
        <f aca="false">D233/P$3</f>
        <v>0</v>
      </c>
      <c r="Q233" s="131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0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Data'!$A$2:$B$8,MATCH(WEEKDAY('Arg Total Power'!A234,3),'Master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SUM(J$97:J234)</f>
        <v>0</v>
      </c>
      <c r="N234" s="112" t="n">
        <f aca="false">SUM(J$6:J234)</f>
        <v>0</v>
      </c>
      <c r="P234" s="112" t="n">
        <f aca="false">D234/P$3</f>
        <v>0</v>
      </c>
      <c r="Q234" s="131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0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Data'!$A$2:$B$8,MATCH(WEEKDAY('Arg Total Power'!A235,3),'Master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SUM(J$97:J235)</f>
        <v>0</v>
      </c>
      <c r="N235" s="112" t="n">
        <f aca="false">SUM(J$6:J235)</f>
        <v>0</v>
      </c>
      <c r="P235" s="112" t="n">
        <f aca="false">D235/P$3</f>
        <v>0</v>
      </c>
      <c r="Q235" s="131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0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Data'!$A$2:$B$8,MATCH(WEEKDAY('Arg Total Power'!A236,3),'Master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SUM(J$97:J236)</f>
        <v>0</v>
      </c>
      <c r="N236" s="112" t="n">
        <f aca="false">SUM(J$6:J236)</f>
        <v>0</v>
      </c>
      <c r="P236" s="112" t="n">
        <f aca="false">D236/P$3</f>
        <v>0</v>
      </c>
      <c r="Q236" s="131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0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Data'!$A$2:$B$8,MATCH(WEEKDAY('Arg Total Power'!A237,3),'Master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SUM(J$97:J237)</f>
        <v>0</v>
      </c>
      <c r="N237" s="112" t="n">
        <f aca="false">SUM(J$6:J237)</f>
        <v>0</v>
      </c>
      <c r="P237" s="112" t="n">
        <f aca="false">D237/P$3</f>
        <v>0</v>
      </c>
      <c r="Q237" s="131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0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Data'!$A$2:$B$8,MATCH(WEEKDAY('Arg Total Power'!A238,3),'Master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SUM(J$97:J238)</f>
        <v>0</v>
      </c>
      <c r="N238" s="112" t="n">
        <f aca="false">SUM(J$6:J238)</f>
        <v>0</v>
      </c>
      <c r="P238" s="112" t="n">
        <f aca="false">D238/P$3</f>
        <v>0</v>
      </c>
      <c r="Q238" s="131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0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Data'!$A$2:$B$8,MATCH(WEEKDAY('Arg Total Power'!A239,3),'Master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SUM(J$97:J239)</f>
        <v>0</v>
      </c>
      <c r="N239" s="112" t="n">
        <f aca="false">SUM(J$6:J239)</f>
        <v>0</v>
      </c>
      <c r="P239" s="112" t="n">
        <f aca="false">D239/P$3</f>
        <v>0</v>
      </c>
      <c r="Q239" s="131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0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Data'!$A$2:$B$8,MATCH(WEEKDAY('Arg Total Power'!A240,3),'Master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SUM(J$97:J240)</f>
        <v>0</v>
      </c>
      <c r="N240" s="112" t="n">
        <f aca="false">SUM(J$6:J240)</f>
        <v>0</v>
      </c>
      <c r="P240" s="112" t="n">
        <f aca="false">D240/P$3</f>
        <v>0</v>
      </c>
      <c r="Q240" s="131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0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Data'!$A$2:$B$8,MATCH(WEEKDAY('Arg Total Power'!A241,3),'Master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SUM(J$97:J241)</f>
        <v>0</v>
      </c>
      <c r="N241" s="112" t="n">
        <f aca="false">SUM(J$6:J241)</f>
        <v>0</v>
      </c>
      <c r="P241" s="112" t="n">
        <f aca="false">D241/P$3</f>
        <v>0</v>
      </c>
      <c r="Q241" s="131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0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Data'!$A$2:$B$8,MATCH(WEEKDAY('Arg Total Power'!A242,3),'Master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SUM(J$97:J242)</f>
        <v>0</v>
      </c>
      <c r="N242" s="112" t="n">
        <f aca="false">SUM(J$6:J242)</f>
        <v>0</v>
      </c>
      <c r="P242" s="112" t="n">
        <f aca="false">D242/P$3</f>
        <v>0</v>
      </c>
      <c r="Q242" s="131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0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Data'!$A$2:$B$8,MATCH(WEEKDAY('Arg Total Power'!A243,3),'Master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SUM(J$97:J243)</f>
        <v>0</v>
      </c>
      <c r="N243" s="112" t="n">
        <f aca="false">SUM(J$6:J243)</f>
        <v>0</v>
      </c>
      <c r="P243" s="112" t="n">
        <f aca="false">D243/P$3</f>
        <v>0</v>
      </c>
      <c r="Q243" s="131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0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Data'!$A$2:$B$8,MATCH(WEEKDAY('Arg Total Power'!A244,3),'Master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SUM(J$97:J244)</f>
        <v>0</v>
      </c>
      <c r="N244" s="112" t="n">
        <f aca="false">SUM(J$6:J244)</f>
        <v>0</v>
      </c>
      <c r="P244" s="112" t="n">
        <f aca="false">D244/P$3</f>
        <v>0</v>
      </c>
      <c r="Q244" s="131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0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Data'!$A$2:$B$8,MATCH(WEEKDAY('Arg Total Power'!A245,3),'Master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SUM(J$97:J245)</f>
        <v>0</v>
      </c>
      <c r="N245" s="112" t="n">
        <f aca="false">SUM(J$6:J245)</f>
        <v>0</v>
      </c>
      <c r="P245" s="112" t="n">
        <f aca="false">D245/P$3</f>
        <v>0</v>
      </c>
      <c r="Q245" s="131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0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Data'!$A$2:$B$8,MATCH(WEEKDAY('Arg Total Power'!A246,3),'Master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SUM(J$97:J246)</f>
        <v>0</v>
      </c>
      <c r="N246" s="112" t="n">
        <f aca="false">SUM(J$6:J246)</f>
        <v>0</v>
      </c>
      <c r="P246" s="112" t="n">
        <f aca="false">D246/P$3</f>
        <v>0</v>
      </c>
      <c r="Q246" s="131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0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Data'!$A$2:$B$8,MATCH(WEEKDAY('Arg Total Power'!A247,3),'Master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SUM(J$97:J247)</f>
        <v>0</v>
      </c>
      <c r="N247" s="112" t="n">
        <f aca="false">SUM(J$6:J247)</f>
        <v>0</v>
      </c>
      <c r="P247" s="112" t="n">
        <f aca="false">D247/P$3</f>
        <v>0</v>
      </c>
      <c r="Q247" s="131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0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Data'!$A$2:$B$8,MATCH(WEEKDAY('Arg Total Power'!A248,3),'Master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SUM(J$97:J248)</f>
        <v>0</v>
      </c>
      <c r="N248" s="112" t="n">
        <f aca="false">SUM(J$6:J248)</f>
        <v>0</v>
      </c>
      <c r="P248" s="112" t="n">
        <f aca="false">D248/P$3</f>
        <v>0</v>
      </c>
      <c r="Q248" s="131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0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Data'!$A$2:$B$8,MATCH(WEEKDAY('Arg Total Power'!A249,3),'Master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SUM(J$97:J249)</f>
        <v>0</v>
      </c>
      <c r="N249" s="112" t="n">
        <f aca="false">SUM(J$6:J249)</f>
        <v>0</v>
      </c>
      <c r="P249" s="112" t="n">
        <f aca="false">D249/P$3</f>
        <v>0</v>
      </c>
      <c r="Q249" s="131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0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Data'!$A$2:$B$8,MATCH(WEEKDAY('Arg Total Power'!A250,3),'Master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SUM(J$97:J250)</f>
        <v>0</v>
      </c>
      <c r="N250" s="112" t="n">
        <f aca="false">SUM(J$6:J250)</f>
        <v>0</v>
      </c>
      <c r="P250" s="112" t="n">
        <f aca="false">D250/P$3</f>
        <v>0</v>
      </c>
      <c r="Q250" s="131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0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Data'!$A$2:$B$8,MATCH(WEEKDAY('Arg Total Power'!A251,3),'Master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SUM(J$97:J251)</f>
        <v>0</v>
      </c>
      <c r="N251" s="112" t="n">
        <f aca="false">SUM(J$6:J251)</f>
        <v>0</v>
      </c>
      <c r="P251" s="112" t="n">
        <f aca="false">D251/P$3</f>
        <v>0</v>
      </c>
      <c r="Q251" s="131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0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Data'!$A$2:$B$8,MATCH(WEEKDAY('Arg Total Power'!A252,3),'Master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SUM(J$97:J252)</f>
        <v>0</v>
      </c>
      <c r="N252" s="112" t="n">
        <f aca="false">SUM(J$6:J252)</f>
        <v>0</v>
      </c>
      <c r="P252" s="112" t="n">
        <f aca="false">D252/P$3</f>
        <v>0</v>
      </c>
      <c r="Q252" s="131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0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Data'!$A$2:$B$8,MATCH(WEEKDAY('Arg Total Power'!A253,3),'Master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SUM(J$97:J253)</f>
        <v>0</v>
      </c>
      <c r="N253" s="112" t="n">
        <f aca="false">SUM(J$6:J253)</f>
        <v>0</v>
      </c>
      <c r="P253" s="112" t="n">
        <f aca="false">D253/P$3</f>
        <v>0</v>
      </c>
      <c r="Q253" s="131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0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Data'!$A$2:$B$8,MATCH(WEEKDAY('Arg Total Power'!A254,3),'Master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SUM(J$97:J254)</f>
        <v>0</v>
      </c>
      <c r="N254" s="112" t="n">
        <f aca="false">SUM(J$6:J254)</f>
        <v>0</v>
      </c>
      <c r="P254" s="112" t="n">
        <f aca="false">D254/P$3</f>
        <v>0</v>
      </c>
      <c r="Q254" s="131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0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Data'!$A$2:$B$8,MATCH(WEEKDAY('Arg Total Power'!A255,3),'Master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SUM(J$97:J255)</f>
        <v>0</v>
      </c>
      <c r="N255" s="112" t="n">
        <f aca="false">SUM(J$6:J255)</f>
        <v>0</v>
      </c>
      <c r="P255" s="112" t="n">
        <f aca="false">D255/P$3</f>
        <v>0</v>
      </c>
      <c r="Q255" s="131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0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Data'!$A$2:$B$8,MATCH(WEEKDAY('Arg Total Power'!A256,3),'Master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SUM(J$97:J256)</f>
        <v>0</v>
      </c>
      <c r="N256" s="112" t="n">
        <f aca="false">SUM(J$6:J256)</f>
        <v>0</v>
      </c>
      <c r="P256" s="112" t="n">
        <f aca="false">D256/P$3</f>
        <v>0</v>
      </c>
      <c r="Q256" s="131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0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Data'!$A$2:$B$8,MATCH(WEEKDAY('Arg Total Power'!A257,3),'Master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SUM(J$97:J257)</f>
        <v>0</v>
      </c>
      <c r="N257" s="112" t="n">
        <f aca="false">SUM(J$6:J257)</f>
        <v>0</v>
      </c>
      <c r="P257" s="112" t="n">
        <f aca="false">D257/P$3</f>
        <v>0</v>
      </c>
      <c r="Q257" s="131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0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Data'!$A$2:$B$8,MATCH(WEEKDAY('Arg Total Power'!A258,3),'Master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SUM(J$97:J258)</f>
        <v>0</v>
      </c>
      <c r="N258" s="112" t="n">
        <f aca="false">SUM(J$6:J258)</f>
        <v>0</v>
      </c>
      <c r="P258" s="112" t="n">
        <f aca="false">D258/P$3</f>
        <v>0</v>
      </c>
      <c r="Q258" s="131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0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Data'!$A$2:$B$8,MATCH(WEEKDAY('Arg Total Power'!A259,3),'Master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SUM(J$97:J259)</f>
        <v>0</v>
      </c>
      <c r="N259" s="112" t="n">
        <f aca="false">SUM(J$6:J259)</f>
        <v>0</v>
      </c>
      <c r="P259" s="112" t="n">
        <f aca="false">D259/P$3</f>
        <v>0</v>
      </c>
      <c r="Q259" s="131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0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Data'!$A$2:$B$8,MATCH(WEEKDAY('Arg Total Power'!A260,3),'Master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SUM(J$97:J260)</f>
        <v>0</v>
      </c>
      <c r="N260" s="112" t="n">
        <f aca="false">SUM(J$6:J260)</f>
        <v>0</v>
      </c>
      <c r="P260" s="112" t="n">
        <f aca="false">D260/P$3</f>
        <v>0</v>
      </c>
      <c r="Q260" s="131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0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Data'!$A$2:$B$8,MATCH(WEEKDAY('Arg Total Power'!A261,3),'Master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SUM(J$97:J261)</f>
        <v>0</v>
      </c>
      <c r="N261" s="112" t="n">
        <f aca="false">SUM(J$6:J261)</f>
        <v>0</v>
      </c>
      <c r="P261" s="112" t="n">
        <f aca="false">D261/P$3</f>
        <v>0</v>
      </c>
      <c r="Q261" s="131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0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Data'!$A$2:$B$8,MATCH(WEEKDAY('Arg Total Power'!A262,3),'Master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SUM(J$97:J262)</f>
        <v>0</v>
      </c>
      <c r="N262" s="112" t="n">
        <f aca="false">SUM(J$6:J262)</f>
        <v>0</v>
      </c>
      <c r="P262" s="112" t="n">
        <f aca="false">D262/P$3</f>
        <v>0</v>
      </c>
      <c r="Q262" s="131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0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Data'!$A$2:$B$8,MATCH(WEEKDAY('Arg Total Power'!A263,3),'Master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SUM(J$97:J263)</f>
        <v>0</v>
      </c>
      <c r="N263" s="112" t="n">
        <f aca="false">SUM(J$6:J263)</f>
        <v>0</v>
      </c>
      <c r="P263" s="112" t="n">
        <f aca="false">D263/P$3</f>
        <v>0</v>
      </c>
      <c r="Q263" s="131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0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Data'!$A$2:$B$8,MATCH(WEEKDAY('Arg Total Power'!A264,3),'Master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SUM(J$97:J264)</f>
        <v>0</v>
      </c>
      <c r="N264" s="112" t="n">
        <f aca="false">SUM(J$6:J264)</f>
        <v>0</v>
      </c>
      <c r="P264" s="112" t="n">
        <f aca="false">D264/P$3</f>
        <v>0</v>
      </c>
      <c r="Q264" s="131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0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Data'!$A$2:$B$8,MATCH(WEEKDAY('Arg Total Power'!A265,3),'Master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SUM(J$97:J265)</f>
        <v>0</v>
      </c>
      <c r="N265" s="112" t="n">
        <f aca="false">SUM(J$6:J265)</f>
        <v>0</v>
      </c>
      <c r="P265" s="112" t="n">
        <f aca="false">D265/P$3</f>
        <v>0</v>
      </c>
      <c r="Q265" s="131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0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Data'!$A$2:$B$8,MATCH(WEEKDAY('Arg Total Power'!A266,3),'Master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SUM(J$97:J266)</f>
        <v>0</v>
      </c>
      <c r="N266" s="112" t="n">
        <f aca="false">SUM(J$6:J266)</f>
        <v>0</v>
      </c>
      <c r="P266" s="112" t="n">
        <f aca="false">D266/P$3</f>
        <v>0</v>
      </c>
      <c r="Q266" s="131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0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Data'!$A$2:$B$8,MATCH(WEEKDAY('Arg Total Power'!A267,3),'Master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SUM(J$97:J267)</f>
        <v>0</v>
      </c>
      <c r="N267" s="112" t="n">
        <f aca="false">SUM(J$6:J267)</f>
        <v>0</v>
      </c>
      <c r="P267" s="112" t="n">
        <f aca="false">D267/P$3</f>
        <v>0</v>
      </c>
      <c r="Q267" s="131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0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Data'!$A$2:$B$8,MATCH(WEEKDAY('Arg Total Power'!A268,3),'Master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SUM(J$97:J268)</f>
        <v>0</v>
      </c>
      <c r="N268" s="112" t="n">
        <f aca="false">SUM(J$6:J268)</f>
        <v>0</v>
      </c>
      <c r="P268" s="112" t="n">
        <f aca="false">D268/P$3</f>
        <v>0</v>
      </c>
      <c r="Q268" s="131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0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Data'!$A$2:$B$8,MATCH(WEEKDAY('Arg Total Power'!A269,3),'Master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SUM(J$97:J269)</f>
        <v>0</v>
      </c>
      <c r="N269" s="112" t="n">
        <f aca="false">SUM(J$6:J269)</f>
        <v>0</v>
      </c>
      <c r="P269" s="112" t="n">
        <f aca="false">D269/P$3</f>
        <v>0</v>
      </c>
      <c r="Q269" s="131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0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Data'!$A$2:$B$8,MATCH(WEEKDAY('Arg Total Power'!A270,3),'Master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SUM(J$97:J270)</f>
        <v>0</v>
      </c>
      <c r="N270" s="112" t="n">
        <f aca="false">SUM(J$6:J270)</f>
        <v>0</v>
      </c>
      <c r="P270" s="112" t="n">
        <f aca="false">D270/P$3</f>
        <v>0</v>
      </c>
      <c r="Q270" s="131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0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Data'!$A$2:$B$8,MATCH(WEEKDAY('Arg Total Power'!A271,3),'Master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SUM(J$97:J271)</f>
        <v>0</v>
      </c>
      <c r="N271" s="112" t="n">
        <f aca="false">SUM(J$6:J271)</f>
        <v>0</v>
      </c>
      <c r="P271" s="112" t="n">
        <f aca="false">D271/P$3</f>
        <v>0</v>
      </c>
      <c r="Q271" s="131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0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Data'!$A$2:$B$8,MATCH(WEEKDAY('Arg Total Power'!A272,3),'Master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SUM(J$97:J272)</f>
        <v>0</v>
      </c>
      <c r="N272" s="112" t="n">
        <f aca="false">SUM(J$6:J272)</f>
        <v>0</v>
      </c>
      <c r="P272" s="112" t="n">
        <f aca="false">D272/P$3</f>
        <v>0</v>
      </c>
      <c r="Q272" s="131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0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Data'!$A$2:$B$8,MATCH(WEEKDAY('Arg Total Power'!A273,3),'Master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SUM(J$97:J273)</f>
        <v>0</v>
      </c>
      <c r="N273" s="112" t="n">
        <f aca="false">SUM(J$6:J273)</f>
        <v>0</v>
      </c>
      <c r="P273" s="112" t="n">
        <f aca="false">D273/P$3</f>
        <v>0</v>
      </c>
      <c r="Q273" s="131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0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Data'!$A$2:$B$8,MATCH(WEEKDAY('Arg Total Power'!A274,3),'Master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SUM(J$97:J274)</f>
        <v>0</v>
      </c>
      <c r="N274" s="112" t="n">
        <f aca="false">SUM(J$6:J274)</f>
        <v>0</v>
      </c>
      <c r="P274" s="112" t="n">
        <f aca="false">D274/P$3</f>
        <v>0</v>
      </c>
      <c r="Q274" s="131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0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Data'!$A$2:$B$8,MATCH(WEEKDAY('Arg Total Power'!A275,3),'Master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SUM(J$97:J275)</f>
        <v>0</v>
      </c>
      <c r="N275" s="112" t="n">
        <f aca="false">SUM(J$6:J275)</f>
        <v>0</v>
      </c>
      <c r="P275" s="112" t="n">
        <f aca="false">D275/P$3</f>
        <v>0</v>
      </c>
      <c r="Q275" s="131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0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Data'!$A$2:$B$8,MATCH(WEEKDAY('Arg Total Power'!A276,3),'Master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SUM(J$97:J276)</f>
        <v>0</v>
      </c>
      <c r="N276" s="112" t="n">
        <f aca="false">SUM(J$6:J276)</f>
        <v>0</v>
      </c>
      <c r="P276" s="112" t="n">
        <f aca="false">D276/P$3</f>
        <v>0</v>
      </c>
      <c r="Q276" s="131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0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Data'!$A$2:$B$8,MATCH(WEEKDAY('Arg Total Power'!A277,3),'Master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SUM(J$97:J277)</f>
        <v>0</v>
      </c>
      <c r="N277" s="112" t="n">
        <f aca="false">SUM(J$6:J277)</f>
        <v>0</v>
      </c>
      <c r="P277" s="112" t="n">
        <f aca="false">D277/P$3</f>
        <v>0</v>
      </c>
      <c r="Q277" s="131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0</v>
      </c>
    </row>
    <row r="278" customFormat="false" ht="14.25" hidden="false" customHeight="true" outlineLevel="0" collapsed="false">
      <c r="A278" s="108" t="n">
        <f aca="false">A277+1</f>
        <v>37164</v>
      </c>
      <c r="B278" s="119" t="str">
        <f aca="false">INDEX('Master Data'!$A$2:$B$8,MATCH(WEEKDAY('Arg Total Power'!A278,3),'Master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SUM(J$97:J278)</f>
        <v>0</v>
      </c>
      <c r="N278" s="112" t="n">
        <f aca="false">SUM(J$6:J278)</f>
        <v>0</v>
      </c>
      <c r="P278" s="112" t="n">
        <f aca="false">D278/P$3</f>
        <v>0</v>
      </c>
      <c r="Q278" s="131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0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Data'!$A$2:$B$8,MATCH(WEEKDAY('Arg Total Power'!A279,3),'Master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0</v>
      </c>
      <c r="P279" s="112" t="n">
        <f aca="false">D279/P$3</f>
        <v>0</v>
      </c>
      <c r="Q279" s="131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0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Data'!$A$2:$B$8,MATCH(WEEKDAY('Arg Total Power'!A280,3),'Master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0</v>
      </c>
      <c r="P280" s="112" t="n">
        <f aca="false">D280/P$3</f>
        <v>0</v>
      </c>
      <c r="Q280" s="131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0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Data'!$A$2:$B$8,MATCH(WEEKDAY('Arg Total Power'!A281,3),'Master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0</v>
      </c>
      <c r="P281" s="112" t="n">
        <f aca="false">D281/P$3</f>
        <v>0</v>
      </c>
      <c r="Q281" s="131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0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Data'!$A$2:$B$8,MATCH(WEEKDAY('Arg Total Power'!A282,3),'Master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0</v>
      </c>
      <c r="P282" s="112" t="n">
        <f aca="false">D282/P$3</f>
        <v>0</v>
      </c>
      <c r="Q282" s="131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0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Data'!$A$2:$B$8,MATCH(WEEKDAY('Arg Total Power'!A283,3),'Master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0</v>
      </c>
      <c r="P283" s="112" t="n">
        <f aca="false">D283/P$3</f>
        <v>0</v>
      </c>
      <c r="Q283" s="131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0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Data'!$A$2:$B$8,MATCH(WEEKDAY('Arg Total Power'!A284,3),'Master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0</v>
      </c>
      <c r="P284" s="112" t="n">
        <f aca="false">D284/P$3</f>
        <v>0</v>
      </c>
      <c r="Q284" s="131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0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Data'!$A$2:$B$8,MATCH(WEEKDAY('Arg Total Power'!A285,3),'Master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0</v>
      </c>
      <c r="P285" s="112" t="n">
        <f aca="false">D285/P$3</f>
        <v>0</v>
      </c>
      <c r="Q285" s="131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0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Data'!$A$2:$B$8,MATCH(WEEKDAY('Arg Total Power'!A286,3),'Master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0</v>
      </c>
      <c r="P286" s="112" t="n">
        <f aca="false">D286/P$3</f>
        <v>0</v>
      </c>
      <c r="Q286" s="131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0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Data'!$A$2:$B$8,MATCH(WEEKDAY('Arg Total Power'!A287,3),'Master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0</v>
      </c>
      <c r="P287" s="112" t="n">
        <f aca="false">D287/P$3</f>
        <v>0</v>
      </c>
      <c r="Q287" s="131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0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Data'!$A$2:$B$8,MATCH(WEEKDAY('Arg Total Power'!A288,3),'Master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0</v>
      </c>
      <c r="P288" s="112" t="n">
        <f aca="false">D288/P$3</f>
        <v>0</v>
      </c>
      <c r="Q288" s="131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0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Data'!$A$2:$B$8,MATCH(WEEKDAY('Arg Total Power'!A289,3),'Master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0</v>
      </c>
      <c r="P289" s="112" t="n">
        <f aca="false">D289/P$3</f>
        <v>0</v>
      </c>
      <c r="Q289" s="131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0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Data'!$A$2:$B$8,MATCH(WEEKDAY('Arg Total Power'!A290,3),'Master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0</v>
      </c>
      <c r="P290" s="112" t="n">
        <f aca="false">D290/P$3</f>
        <v>0</v>
      </c>
      <c r="Q290" s="131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0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Data'!$A$2:$B$8,MATCH(WEEKDAY('Arg Total Power'!A291,3),'Master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0</v>
      </c>
      <c r="P291" s="112" t="n">
        <f aca="false">D291/P$3</f>
        <v>0</v>
      </c>
      <c r="Q291" s="131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0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Data'!$A$2:$B$8,MATCH(WEEKDAY('Arg Total Power'!A292,3),'Master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0</v>
      </c>
      <c r="P292" s="112" t="n">
        <f aca="false">D292/P$3</f>
        <v>0</v>
      </c>
      <c r="Q292" s="131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0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Data'!$A$2:$B$8,MATCH(WEEKDAY('Arg Total Power'!A293,3),'Master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0</v>
      </c>
      <c r="P293" s="112" t="n">
        <f aca="false">D293/P$3</f>
        <v>0</v>
      </c>
      <c r="Q293" s="131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0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Data'!$A$2:$B$8,MATCH(WEEKDAY('Arg Total Power'!A294,3),'Master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0</v>
      </c>
      <c r="P294" s="112" t="n">
        <f aca="false">D294/P$3</f>
        <v>0</v>
      </c>
      <c r="Q294" s="131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0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Data'!$A$2:$B$8,MATCH(WEEKDAY('Arg Total Power'!A295,3),'Master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0</v>
      </c>
      <c r="P295" s="112" t="n">
        <f aca="false">D295/P$3</f>
        <v>0</v>
      </c>
      <c r="Q295" s="131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0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Data'!$A$2:$B$8,MATCH(WEEKDAY('Arg Total Power'!A296,3),'Master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0</v>
      </c>
      <c r="P296" s="112" t="n">
        <f aca="false">D296/P$3</f>
        <v>0</v>
      </c>
      <c r="Q296" s="131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0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Data'!$A$2:$B$8,MATCH(WEEKDAY('Arg Total Power'!A297,3),'Master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0</v>
      </c>
      <c r="P297" s="112" t="n">
        <f aca="false">D297/P$3</f>
        <v>0</v>
      </c>
      <c r="Q297" s="131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0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Data'!$A$2:$B$8,MATCH(WEEKDAY('Arg Total Power'!A298,3),'Master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0</v>
      </c>
      <c r="P298" s="112" t="n">
        <f aca="false">D298/P$3</f>
        <v>0</v>
      </c>
      <c r="Q298" s="131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0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Data'!$A$2:$B$8,MATCH(WEEKDAY('Arg Total Power'!A299,3),'Master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0</v>
      </c>
      <c r="P299" s="112" t="n">
        <f aca="false">D299/P$3</f>
        <v>0</v>
      </c>
      <c r="Q299" s="131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0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Data'!$A$2:$B$8,MATCH(WEEKDAY('Arg Total Power'!A300,3),'Master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0</v>
      </c>
      <c r="P300" s="112" t="n">
        <f aca="false">D300/P$3</f>
        <v>0</v>
      </c>
      <c r="Q300" s="131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0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Data'!$A$2:$B$8,MATCH(WEEKDAY('Arg Total Power'!A301,3),'Master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0</v>
      </c>
      <c r="P301" s="112" t="n">
        <f aca="false">D301/P$3</f>
        <v>0</v>
      </c>
      <c r="Q301" s="131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0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Data'!$A$2:$B$8,MATCH(WEEKDAY('Arg Total Power'!A302,3),'Master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0</v>
      </c>
      <c r="P302" s="112" t="n">
        <f aca="false">D302/P$3</f>
        <v>0</v>
      </c>
      <c r="Q302" s="131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0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Data'!$A$2:$B$8,MATCH(WEEKDAY('Arg Total Power'!A303,3),'Master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0</v>
      </c>
      <c r="P303" s="112" t="n">
        <f aca="false">D303/P$3</f>
        <v>0</v>
      </c>
      <c r="Q303" s="131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0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Data'!$A$2:$B$8,MATCH(WEEKDAY('Arg Total Power'!A304,3),'Master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0</v>
      </c>
      <c r="P304" s="112" t="n">
        <f aca="false">D304/P$3</f>
        <v>0</v>
      </c>
      <c r="Q304" s="131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0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Data'!$A$2:$B$8,MATCH(WEEKDAY('Arg Total Power'!A305,3),'Master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0</v>
      </c>
      <c r="P305" s="112" t="n">
        <f aca="false">D305/P$3</f>
        <v>0</v>
      </c>
      <c r="Q305" s="131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0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Data'!$A$2:$B$8,MATCH(WEEKDAY('Arg Total Power'!A306,3),'Master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0</v>
      </c>
      <c r="P306" s="112" t="n">
        <f aca="false">D306/P$3</f>
        <v>0</v>
      </c>
      <c r="Q306" s="131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0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Data'!$A$2:$B$8,MATCH(WEEKDAY('Arg Total Power'!A307,3),'Master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0</v>
      </c>
      <c r="P307" s="112" t="n">
        <f aca="false">D307/P$3</f>
        <v>0</v>
      </c>
      <c r="Q307" s="131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0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Data'!$A$2:$B$8,MATCH(WEEKDAY('Arg Total Power'!A308,3),'Master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0</v>
      </c>
      <c r="P308" s="112" t="n">
        <f aca="false">D308/P$3</f>
        <v>0</v>
      </c>
      <c r="Q308" s="131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0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Data'!$A$2:$B$8,MATCH(WEEKDAY('Arg Total Power'!A309,3),'Master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0</v>
      </c>
      <c r="P309" s="112" t="n">
        <f aca="false">D309/P$3</f>
        <v>0</v>
      </c>
      <c r="Q309" s="131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0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Data'!$A$2:$B$8,MATCH(WEEKDAY('Arg Total Power'!A310,3),'Master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0</v>
      </c>
      <c r="P310" s="112" t="n">
        <f aca="false">D310/P$3</f>
        <v>0</v>
      </c>
      <c r="Q310" s="131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0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Data'!$A$2:$B$8,MATCH(WEEKDAY('Arg Total Power'!A311,3),'Master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0</v>
      </c>
      <c r="P311" s="112" t="n">
        <f aca="false">D311/P$3</f>
        <v>0</v>
      </c>
      <c r="Q311" s="131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0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Data'!$A$2:$B$8,MATCH(WEEKDAY('Arg Total Power'!A312,3),'Master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0</v>
      </c>
      <c r="P312" s="112" t="n">
        <f aca="false">D312/P$3</f>
        <v>0</v>
      </c>
      <c r="Q312" s="131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0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Data'!$A$2:$B$8,MATCH(WEEKDAY('Arg Total Power'!A313,3),'Master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0</v>
      </c>
      <c r="P313" s="112" t="n">
        <f aca="false">D313/P$3</f>
        <v>0</v>
      </c>
      <c r="Q313" s="131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0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Data'!$A$2:$B$8,MATCH(WEEKDAY('Arg Total Power'!A314,3),'Master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0</v>
      </c>
      <c r="P314" s="112" t="n">
        <f aca="false">D314/P$3</f>
        <v>0</v>
      </c>
      <c r="Q314" s="131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0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Data'!$A$2:$B$8,MATCH(WEEKDAY('Arg Total Power'!A315,3),'Master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0</v>
      </c>
      <c r="P315" s="112" t="n">
        <f aca="false">D315/P$3</f>
        <v>0</v>
      </c>
      <c r="Q315" s="131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0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Data'!$A$2:$B$8,MATCH(WEEKDAY('Arg Total Power'!A316,3),'Master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0</v>
      </c>
      <c r="P316" s="112" t="n">
        <f aca="false">D316/P$3</f>
        <v>0</v>
      </c>
      <c r="Q316" s="131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0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Data'!$A$2:$B$8,MATCH(WEEKDAY('Arg Total Power'!A317,3),'Master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0</v>
      </c>
      <c r="P317" s="112" t="n">
        <f aca="false">D317/P$3</f>
        <v>0</v>
      </c>
      <c r="Q317" s="131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0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Data'!$A$2:$B$8,MATCH(WEEKDAY('Arg Total Power'!A318,3),'Master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0</v>
      </c>
      <c r="P318" s="112" t="n">
        <f aca="false">D318/P$3</f>
        <v>0</v>
      </c>
      <c r="Q318" s="131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0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Data'!$A$2:$B$8,MATCH(WEEKDAY('Arg Total Power'!A319,3),'Master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0</v>
      </c>
      <c r="P319" s="112" t="n">
        <f aca="false">D319/P$3</f>
        <v>0</v>
      </c>
      <c r="Q319" s="131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0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Data'!$A$2:$B$8,MATCH(WEEKDAY('Arg Total Power'!A320,3),'Master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0</v>
      </c>
      <c r="P320" s="112" t="n">
        <f aca="false">D320/P$3</f>
        <v>0</v>
      </c>
      <c r="Q320" s="131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0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Data'!$A$2:$B$8,MATCH(WEEKDAY('Arg Total Power'!A321,3),'Master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0</v>
      </c>
      <c r="P321" s="112" t="n">
        <f aca="false">D321/P$3</f>
        <v>0</v>
      </c>
      <c r="Q321" s="131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0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Data'!$A$2:$B$8,MATCH(WEEKDAY('Arg Total Power'!A322,3),'Master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0</v>
      </c>
      <c r="P322" s="112" t="n">
        <f aca="false">D322/P$3</f>
        <v>0</v>
      </c>
      <c r="Q322" s="131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0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Data'!$A$2:$B$8,MATCH(WEEKDAY('Arg Total Power'!A323,3),'Master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0</v>
      </c>
      <c r="P323" s="112" t="n">
        <f aca="false">D323/P$3</f>
        <v>0</v>
      </c>
      <c r="Q323" s="131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0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Data'!$A$2:$B$8,MATCH(WEEKDAY('Arg Total Power'!A324,3),'Master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0</v>
      </c>
      <c r="P324" s="112" t="n">
        <f aca="false">D324/P$3</f>
        <v>0</v>
      </c>
      <c r="Q324" s="131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0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Data'!$A$2:$B$8,MATCH(WEEKDAY('Arg Total Power'!A325,3),'Master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0</v>
      </c>
      <c r="P325" s="112" t="n">
        <f aca="false">D325/P$3</f>
        <v>0</v>
      </c>
      <c r="Q325" s="131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0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Data'!$A$2:$B$8,MATCH(WEEKDAY('Arg Total Power'!A326,3),'Master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0</v>
      </c>
      <c r="P326" s="112" t="n">
        <f aca="false">D326/P$3</f>
        <v>0</v>
      </c>
      <c r="Q326" s="131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0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Data'!$A$2:$B$8,MATCH(WEEKDAY('Arg Total Power'!A327,3),'Master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0</v>
      </c>
      <c r="P327" s="112" t="n">
        <f aca="false">D327/P$3</f>
        <v>0</v>
      </c>
      <c r="Q327" s="131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0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Data'!$A$2:$B$8,MATCH(WEEKDAY('Arg Total Power'!A328,3),'Master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0</v>
      </c>
      <c r="P328" s="112" t="n">
        <f aca="false">D328/P$3</f>
        <v>0</v>
      </c>
      <c r="Q328" s="131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0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Data'!$A$2:$B$8,MATCH(WEEKDAY('Arg Total Power'!A329,3),'Master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0</v>
      </c>
      <c r="P329" s="112" t="n">
        <f aca="false">D329/P$3</f>
        <v>0</v>
      </c>
      <c r="Q329" s="131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0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Data'!$A$2:$B$8,MATCH(WEEKDAY('Arg Total Power'!A330,3),'Master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0</v>
      </c>
      <c r="P330" s="112" t="n">
        <f aca="false">D330/P$3</f>
        <v>0</v>
      </c>
      <c r="Q330" s="131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0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Data'!$A$2:$B$8,MATCH(WEEKDAY('Arg Total Power'!A331,3),'Master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0</v>
      </c>
      <c r="P331" s="112" t="n">
        <f aca="false">D331/P$3</f>
        <v>0</v>
      </c>
      <c r="Q331" s="131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0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Data'!$A$2:$B$8,MATCH(WEEKDAY('Arg Total Power'!A332,3),'Master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0</v>
      </c>
      <c r="P332" s="112" t="n">
        <f aca="false">D332/P$3</f>
        <v>0</v>
      </c>
      <c r="Q332" s="131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0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Data'!$A$2:$B$8,MATCH(WEEKDAY('Arg Total Power'!A333,3),'Master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0</v>
      </c>
      <c r="P333" s="112" t="n">
        <f aca="false">D333/P$3</f>
        <v>0</v>
      </c>
      <c r="Q333" s="131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0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Data'!$A$2:$B$8,MATCH(WEEKDAY('Arg Total Power'!A334,3),'Master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0</v>
      </c>
      <c r="P334" s="112" t="n">
        <f aca="false">D334/P$3</f>
        <v>0</v>
      </c>
      <c r="Q334" s="131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0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Data'!$A$2:$B$8,MATCH(WEEKDAY('Arg Total Power'!A335,3),'Master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0</v>
      </c>
      <c r="P335" s="112" t="n">
        <f aca="false">D335/P$3</f>
        <v>0</v>
      </c>
      <c r="Q335" s="131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0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Data'!$A$2:$B$8,MATCH(WEEKDAY('Arg Total Power'!A336,3),'Master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0</v>
      </c>
      <c r="P336" s="112" t="n">
        <f aca="false">D336/P$3</f>
        <v>0</v>
      </c>
      <c r="Q336" s="131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0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Data'!$A$2:$B$8,MATCH(WEEKDAY('Arg Total Power'!A337,3),'Master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0</v>
      </c>
      <c r="P337" s="112" t="n">
        <f aca="false">D337/P$3</f>
        <v>0</v>
      </c>
      <c r="Q337" s="131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0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Data'!$A$2:$B$8,MATCH(WEEKDAY('Arg Total Power'!A338,3),'Master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0</v>
      </c>
      <c r="P338" s="112" t="n">
        <f aca="false">D338/P$3</f>
        <v>0</v>
      </c>
      <c r="Q338" s="131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0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Data'!$A$2:$B$8,MATCH(WEEKDAY('Arg Total Power'!A339,3),'Master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0</v>
      </c>
      <c r="P339" s="112" t="n">
        <f aca="false">D339/P$3</f>
        <v>0</v>
      </c>
      <c r="Q339" s="131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0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Data'!$A$2:$B$8,MATCH(WEEKDAY('Arg Total Power'!A340,3),'Master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0</v>
      </c>
      <c r="P340" s="112" t="n">
        <f aca="false">D340/P$3</f>
        <v>0</v>
      </c>
      <c r="Q340" s="131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0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Data'!$A$2:$B$8,MATCH(WEEKDAY('Arg Total Power'!A341,3),'Master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0</v>
      </c>
      <c r="P341" s="112" t="n">
        <f aca="false">D341/P$3</f>
        <v>0</v>
      </c>
      <c r="Q341" s="131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0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Data'!$A$2:$B$8,MATCH(WEEKDAY('Arg Total Power'!A342,3),'Master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0</v>
      </c>
      <c r="P342" s="112" t="n">
        <f aca="false">D342/P$3</f>
        <v>0</v>
      </c>
      <c r="Q342" s="131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0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Data'!$A$2:$B$8,MATCH(WEEKDAY('Arg Total Power'!A343,3),'Master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0</v>
      </c>
      <c r="P343" s="112" t="n">
        <f aca="false">D343/P$3</f>
        <v>0</v>
      </c>
      <c r="Q343" s="131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0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Data'!$A$2:$B$8,MATCH(WEEKDAY('Arg Total Power'!A344,3),'Master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0</v>
      </c>
      <c r="P344" s="112" t="n">
        <f aca="false">D344/P$3</f>
        <v>0</v>
      </c>
      <c r="Q344" s="131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0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Data'!$A$2:$B$8,MATCH(WEEKDAY('Arg Total Power'!A345,3),'Master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0</v>
      </c>
      <c r="P345" s="112" t="n">
        <f aca="false">D345/P$3</f>
        <v>0</v>
      </c>
      <c r="Q345" s="131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0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Data'!$A$2:$B$8,MATCH(WEEKDAY('Arg Total Power'!A346,3),'Master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0</v>
      </c>
      <c r="P346" s="112" t="n">
        <f aca="false">D346/P$3</f>
        <v>0</v>
      </c>
      <c r="Q346" s="131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0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Data'!$A$2:$B$8,MATCH(WEEKDAY('Arg Total Power'!A347,3),'Master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0</v>
      </c>
      <c r="P347" s="112" t="n">
        <f aca="false">D347/P$3</f>
        <v>0</v>
      </c>
      <c r="Q347" s="131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0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Data'!$A$2:$B$8,MATCH(WEEKDAY('Arg Total Power'!A348,3),'Master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0</v>
      </c>
      <c r="P348" s="112" t="n">
        <f aca="false">D348/P$3</f>
        <v>0</v>
      </c>
      <c r="Q348" s="131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0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Data'!$A$2:$B$8,MATCH(WEEKDAY('Arg Total Power'!A349,3),'Master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0</v>
      </c>
      <c r="P349" s="112" t="n">
        <f aca="false">D349/P$3</f>
        <v>0</v>
      </c>
      <c r="Q349" s="131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0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Data'!$A$2:$B$8,MATCH(WEEKDAY('Arg Total Power'!A350,3),'Master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0</v>
      </c>
      <c r="P350" s="112" t="n">
        <f aca="false">D350/P$3</f>
        <v>0</v>
      </c>
      <c r="Q350" s="131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0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Data'!$A$2:$B$8,MATCH(WEEKDAY('Arg Total Power'!A351,3),'Master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0</v>
      </c>
      <c r="P351" s="112" t="n">
        <f aca="false">D351/P$3</f>
        <v>0</v>
      </c>
      <c r="Q351" s="131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0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Data'!$A$2:$B$8,MATCH(WEEKDAY('Arg Total Power'!A352,3),'Master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0</v>
      </c>
      <c r="P352" s="112" t="n">
        <f aca="false">D352/P$3</f>
        <v>0</v>
      </c>
      <c r="Q352" s="131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0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Data'!$A$2:$B$8,MATCH(WEEKDAY('Arg Total Power'!A353,3),'Master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0</v>
      </c>
      <c r="P353" s="112" t="n">
        <f aca="false">D353/P$3</f>
        <v>0</v>
      </c>
      <c r="Q353" s="131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0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Data'!$A$2:$B$8,MATCH(WEEKDAY('Arg Total Power'!A354,3),'Master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0</v>
      </c>
      <c r="P354" s="112" t="n">
        <f aca="false">D354/P$3</f>
        <v>0</v>
      </c>
      <c r="Q354" s="131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0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Data'!$A$2:$B$8,MATCH(WEEKDAY('Arg Total Power'!A355,3),'Master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0</v>
      </c>
      <c r="P355" s="112" t="n">
        <f aca="false">D355/P$3</f>
        <v>0</v>
      </c>
      <c r="Q355" s="131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0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Data'!$A$2:$B$8,MATCH(WEEKDAY('Arg Total Power'!A356,3),'Master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0</v>
      </c>
      <c r="P356" s="112" t="n">
        <f aca="false">D356/P$3</f>
        <v>0</v>
      </c>
      <c r="Q356" s="131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0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Data'!$A$2:$B$8,MATCH(WEEKDAY('Arg Total Power'!A357,3),'Master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0</v>
      </c>
      <c r="P357" s="112" t="n">
        <f aca="false">D357/P$3</f>
        <v>0</v>
      </c>
      <c r="Q357" s="131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0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Data'!$A$2:$B$8,MATCH(WEEKDAY('Arg Total Power'!A358,3),'Master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0</v>
      </c>
      <c r="P358" s="112" t="n">
        <f aca="false">D358/P$3</f>
        <v>0</v>
      </c>
      <c r="Q358" s="131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0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Data'!$A$2:$B$8,MATCH(WEEKDAY('Arg Total Power'!A359,3),'Master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0</v>
      </c>
      <c r="P359" s="112" t="n">
        <f aca="false">D359/P$3</f>
        <v>0</v>
      </c>
      <c r="Q359" s="131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0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Data'!$A$2:$B$8,MATCH(WEEKDAY('Arg Total Power'!A360,3),'Master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0</v>
      </c>
      <c r="P360" s="112" t="n">
        <f aca="false">D360/P$3</f>
        <v>0</v>
      </c>
      <c r="Q360" s="131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0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Data'!$A$2:$B$8,MATCH(WEEKDAY('Arg Total Power'!A361,3),'Master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0</v>
      </c>
      <c r="P361" s="112" t="n">
        <f aca="false">D361/P$3</f>
        <v>0</v>
      </c>
      <c r="Q361" s="131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0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Data'!$A$2:$B$8,MATCH(WEEKDAY('Arg Total Power'!A362,3),'Master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0</v>
      </c>
      <c r="P362" s="112" t="n">
        <f aca="false">D362/P$3</f>
        <v>0</v>
      </c>
      <c r="Q362" s="131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0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Data'!$A$2:$B$8,MATCH(WEEKDAY('Arg Total Power'!A363,3),'Master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0</v>
      </c>
      <c r="P363" s="112" t="n">
        <f aca="false">D363/P$3</f>
        <v>0</v>
      </c>
      <c r="Q363" s="131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0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Data'!$A$2:$B$8,MATCH(WEEKDAY('Arg Total Power'!A364,3),'Master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0</v>
      </c>
      <c r="P364" s="112" t="n">
        <f aca="false">D364/P$3</f>
        <v>0</v>
      </c>
      <c r="Q364" s="131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0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Data'!$A$2:$B$8,MATCH(WEEKDAY('Arg Total Power'!A365,3),'Master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0</v>
      </c>
      <c r="P365" s="112" t="n">
        <f aca="false">D365/P$3</f>
        <v>0</v>
      </c>
      <c r="Q365" s="131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0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Data'!$A$2:$B$8,MATCH(WEEKDAY('Arg Total Power'!A366,3),'Master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0</v>
      </c>
      <c r="P366" s="112" t="n">
        <f aca="false">D366/P$3</f>
        <v>0</v>
      </c>
      <c r="Q366" s="131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0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Data'!$A$2:$B$8,MATCH(WEEKDAY('Arg Total Power'!A367,3),'Master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0</v>
      </c>
      <c r="P367" s="112" t="n">
        <f aca="false">D367/P$3</f>
        <v>0</v>
      </c>
      <c r="Q367" s="131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0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Data'!$A$2:$B$8,MATCH(WEEKDAY('Arg Total Power'!A368,3),'Master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0</v>
      </c>
      <c r="P368" s="112" t="n">
        <f aca="false">D368/P$3</f>
        <v>0</v>
      </c>
      <c r="Q368" s="131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0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Data'!$A$2:$B$8,MATCH(WEEKDAY('Arg Total Power'!A369,3),'Master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0</v>
      </c>
      <c r="P369" s="112" t="n">
        <f aca="false">D369/P$3</f>
        <v>0</v>
      </c>
      <c r="Q369" s="131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0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Data'!$A$2:$B$8,MATCH(WEEKDAY('Arg Total Power'!A370,3),'Master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0</v>
      </c>
      <c r="P370" s="112" t="n">
        <f aca="false">D370/P$3</f>
        <v>0</v>
      </c>
      <c r="Q370" s="131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0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Data'!$A$2:$B$8,MATCH(WEEKDAY('Arg Total Power'!A371,3),'Master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0</v>
      </c>
      <c r="P371" s="112" t="n">
        <f aca="false">D371/P$3</f>
        <v>0</v>
      </c>
      <c r="Q371" s="131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4" min="4" style="109" width="16.7"/>
    <col collapsed="false" customWidth="true" hidden="false" outlineLevel="0" max="5" min="5" style="109" width="16.42"/>
    <col collapsed="false" customWidth="true" hidden="false" outlineLevel="0" max="13" min="6" style="109" width="14.99"/>
    <col collapsed="false" customWidth="true" hidden="false" outlineLevel="0" max="14" min="14" style="109" width="15.7"/>
    <col collapsed="false" customWidth="true" hidden="false" outlineLevel="0" max="15" min="15" style="110" width="2.7"/>
    <col collapsed="false" customWidth="true" hidden="false" outlineLevel="0" max="16" min="16" style="109" width="16.7"/>
    <col collapsed="false" customWidth="true" hidden="false" outlineLevel="0" max="26" min="17" style="114" width="16.7"/>
    <col collapsed="false" customWidth="false" hidden="false" outlineLevel="0" max="257" min="27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09" t="n">
        <f aca="false">+G1+1</f>
        <v>8</v>
      </c>
      <c r="I1" s="109" t="n">
        <f aca="false">+H1+1</f>
        <v>9</v>
      </c>
      <c r="J1" s="109" t="n">
        <f aca="false">+I1+1</f>
        <v>10</v>
      </c>
      <c r="K1" s="109" t="n">
        <f aca="false">+J1+1</f>
        <v>11</v>
      </c>
      <c r="L1" s="109" t="n">
        <f aca="false">+K1+1</f>
        <v>12</v>
      </c>
      <c r="M1" s="109" t="n">
        <f aca="false">+L1+1</f>
        <v>13</v>
      </c>
      <c r="N1" s="109" t="n">
        <f aca="false">+M1+1</f>
        <v>14</v>
      </c>
      <c r="O1" s="109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  <c r="X1" s="109" t="n">
        <f aca="false">+W1+1</f>
        <v>24</v>
      </c>
      <c r="Y1" s="109" t="n">
        <f aca="false">+X1+1</f>
        <v>25</v>
      </c>
      <c r="Z1" s="109" t="n">
        <f aca="false">+Y1+1</f>
        <v>26</v>
      </c>
    </row>
    <row r="3" customFormat="false" ht="12.75" hidden="false" customHeight="false" outlineLevel="0" collapsed="false">
      <c r="P3" s="112" t="n">
        <v>1000</v>
      </c>
      <c r="Q3" s="109"/>
      <c r="V3" s="109"/>
    </row>
    <row r="4" customFormat="false" ht="12.75" hidden="false" customHeight="false" outlineLevel="0" collapsed="false"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P4" s="123" t="s">
        <v>56</v>
      </c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69</v>
      </c>
      <c r="E5" s="126" t="s">
        <v>70</v>
      </c>
      <c r="F5" s="126" t="s">
        <v>71</v>
      </c>
      <c r="G5" s="126" t="s">
        <v>72</v>
      </c>
      <c r="H5" s="126" t="s">
        <v>73</v>
      </c>
      <c r="I5" s="126" t="s">
        <v>74</v>
      </c>
      <c r="J5" s="126" t="s">
        <v>75</v>
      </c>
      <c r="K5" s="126" t="s">
        <v>76</v>
      </c>
      <c r="L5" s="126" t="s">
        <v>77</v>
      </c>
      <c r="M5" s="126" t="s">
        <v>78</v>
      </c>
      <c r="N5" s="126" t="s">
        <v>79</v>
      </c>
      <c r="O5" s="127"/>
      <c r="P5" s="126" t="str">
        <f aca="false">D5</f>
        <v>BOL/BRAZ-POWER</v>
      </c>
      <c r="Q5" s="126" t="str">
        <f aca="false">E5</f>
        <v>BOL/BRAZ-LIQUID</v>
      </c>
      <c r="R5" s="126" t="str">
        <f aca="false">F5</f>
        <v>BOL/BRAZ-GAS</v>
      </c>
      <c r="S5" s="126" t="str">
        <f aca="false">G5</f>
        <v>ARG-POWER</v>
      </c>
      <c r="T5" s="126" t="str">
        <f aca="false">H5</f>
        <v>ARG-GAS</v>
      </c>
      <c r="U5" s="126" t="str">
        <f aca="false">I5</f>
        <v>SC-BOL/BRAZ</v>
      </c>
      <c r="V5" s="126" t="str">
        <f aca="false">J5</f>
        <v>SC-ARG</v>
      </c>
      <c r="W5" s="126" t="str">
        <f aca="false">K5</f>
        <v>SC-POWER</v>
      </c>
      <c r="X5" s="126" t="str">
        <f aca="false">L5</f>
        <v>SC-LIQUIDS</v>
      </c>
      <c r="Y5" s="126" t="str">
        <f aca="false">M5</f>
        <v>SC-GAS</v>
      </c>
      <c r="Z5" s="126" t="str">
        <f aca="false">N5</f>
        <v>SOUTHERN-CONE</v>
      </c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Data'!$A$2:$B$8,MATCH(WEEKDAY('RAC V@r Total'!A6,3),'Master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H6" s="112" t="n">
        <v>0</v>
      </c>
      <c r="I6" s="112" t="n">
        <v>0</v>
      </c>
      <c r="J6" s="112" t="n">
        <v>0</v>
      </c>
      <c r="K6" s="112" t="n">
        <v>0</v>
      </c>
      <c r="L6" s="112" t="n">
        <v>0</v>
      </c>
      <c r="M6" s="112" t="n">
        <v>0</v>
      </c>
      <c r="N6" s="112" t="n">
        <v>0</v>
      </c>
      <c r="P6" s="112" t="n">
        <f aca="false">ABS(D6)/$P$3</f>
        <v>0</v>
      </c>
      <c r="Q6" s="112" t="n">
        <f aca="false">ABS(E6)/$P$3</f>
        <v>0</v>
      </c>
      <c r="R6" s="112" t="n">
        <f aca="false">ABS(F6)/$P$3</f>
        <v>0</v>
      </c>
      <c r="S6" s="112" t="n">
        <f aca="false">ABS(G6)/$P$3</f>
        <v>0</v>
      </c>
      <c r="T6" s="112" t="n">
        <f aca="false">ABS(H6)/$P$3</f>
        <v>0</v>
      </c>
      <c r="U6" s="112" t="n">
        <f aca="false">ABS(I6)/$P$3</f>
        <v>0</v>
      </c>
      <c r="V6" s="112" t="n">
        <f aca="false">ABS(J6)/$P$3</f>
        <v>0</v>
      </c>
      <c r="W6" s="112" t="n">
        <f aca="false">ABS(K6)/$P$3</f>
        <v>0</v>
      </c>
      <c r="X6" s="112" t="n">
        <f aca="false">ABS(L6)/$P$3</f>
        <v>0</v>
      </c>
      <c r="Y6" s="112" t="n">
        <f aca="false">ABS(M6)/$P$3</f>
        <v>0</v>
      </c>
      <c r="Z6" s="112" t="n">
        <f aca="false">ABS(N6)/$P$3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Data'!$A$2:$B$8,MATCH(WEEKDAY('RAC V@r Total'!A7,3),'Master Data'!$A$2:$A$8,0),2)</f>
        <v>T</v>
      </c>
      <c r="D7" s="112" t="n">
        <v>-323476</v>
      </c>
      <c r="E7" s="112" t="n">
        <v>0</v>
      </c>
      <c r="F7" s="112" t="n">
        <v>-430353</v>
      </c>
      <c r="G7" s="112" t="n">
        <v>-37667</v>
      </c>
      <c r="H7" s="112" t="n">
        <v>-46674</v>
      </c>
      <c r="I7" s="112" t="n">
        <v>-543452</v>
      </c>
      <c r="J7" s="112" t="n">
        <v>-59884</v>
      </c>
      <c r="K7" s="112" t="n">
        <v>-287735</v>
      </c>
      <c r="L7" s="112" t="n">
        <v>0</v>
      </c>
      <c r="M7" s="112" t="n">
        <v>-459072</v>
      </c>
      <c r="N7" s="112" t="n">
        <v>-489251</v>
      </c>
      <c r="P7" s="112" t="n">
        <f aca="false">ABS(D7)/$P$3</f>
        <v>323.476</v>
      </c>
      <c r="Q7" s="112" t="n">
        <f aca="false">ABS(E7)/$P$3</f>
        <v>0</v>
      </c>
      <c r="R7" s="112" t="n">
        <f aca="false">ABS(F7)/$P$3</f>
        <v>430.353</v>
      </c>
      <c r="S7" s="112" t="n">
        <f aca="false">ABS(G7)/$P$3</f>
        <v>37.667</v>
      </c>
      <c r="T7" s="112" t="n">
        <f aca="false">ABS(H7)/$P$3</f>
        <v>46.674</v>
      </c>
      <c r="U7" s="112" t="n">
        <f aca="false">ABS(I7)/$P$3</f>
        <v>543.452</v>
      </c>
      <c r="V7" s="112" t="n">
        <f aca="false">ABS(J7)/$P$3</f>
        <v>59.884</v>
      </c>
      <c r="W7" s="112" t="n">
        <f aca="false">ABS(K7)/$P$3</f>
        <v>287.735</v>
      </c>
      <c r="X7" s="112" t="n">
        <f aca="false">ABS(L7)/$P$3</f>
        <v>0</v>
      </c>
      <c r="Y7" s="112" t="n">
        <f aca="false">ABS(M7)/$P$3</f>
        <v>459.072</v>
      </c>
      <c r="Z7" s="112" t="n">
        <f aca="false">ABS(N7)/$P$3</f>
        <v>489.251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Data'!$A$2:$B$8,MATCH(WEEKDAY('RAC V@r Total'!A8,3),'Master Data'!$A$2:$A$8,0),2)</f>
        <v>W</v>
      </c>
      <c r="D8" s="112" t="n">
        <v>-320410</v>
      </c>
      <c r="E8" s="112" t="n">
        <v>0</v>
      </c>
      <c r="F8" s="112" t="n">
        <v>-421365</v>
      </c>
      <c r="G8" s="112" t="n">
        <v>-36733</v>
      </c>
      <c r="H8" s="112" t="n">
        <v>-46312</v>
      </c>
      <c r="I8" s="112" t="n">
        <v>-535606</v>
      </c>
      <c r="J8" s="112" t="n">
        <v>-59093</v>
      </c>
      <c r="K8" s="112" t="n">
        <v>-285774</v>
      </c>
      <c r="L8" s="112" t="n">
        <v>0</v>
      </c>
      <c r="M8" s="112" t="n">
        <v>-463325</v>
      </c>
      <c r="N8" s="112" t="n">
        <v>-478698</v>
      </c>
      <c r="P8" s="112" t="n">
        <f aca="false">ABS(D8)/$P$3</f>
        <v>320.41</v>
      </c>
      <c r="Q8" s="112" t="n">
        <f aca="false">ABS(E8)/$P$3</f>
        <v>0</v>
      </c>
      <c r="R8" s="112" t="n">
        <f aca="false">ABS(F8)/$P$3</f>
        <v>421.365</v>
      </c>
      <c r="S8" s="112" t="n">
        <f aca="false">ABS(G8)/$P$3</f>
        <v>36.733</v>
      </c>
      <c r="T8" s="112" t="n">
        <f aca="false">ABS(H8)/$P$3</f>
        <v>46.312</v>
      </c>
      <c r="U8" s="112" t="n">
        <f aca="false">ABS(I8)/$P$3</f>
        <v>535.606</v>
      </c>
      <c r="V8" s="112" t="n">
        <f aca="false">ABS(J8)/$P$3</f>
        <v>59.093</v>
      </c>
      <c r="W8" s="112" t="n">
        <f aca="false">ABS(K8)/$P$3</f>
        <v>285.774</v>
      </c>
      <c r="X8" s="112" t="n">
        <f aca="false">ABS(L8)/$P$3</f>
        <v>0</v>
      </c>
      <c r="Y8" s="112" t="n">
        <f aca="false">ABS(M8)/$P$3</f>
        <v>463.325</v>
      </c>
      <c r="Z8" s="112" t="n">
        <f aca="false">ABS(N8)/$P$3</f>
        <v>478.698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Data'!$A$2:$B$8,MATCH(WEEKDAY('RAC V@r Total'!A9,3),'Master Data'!$A$2:$A$8,0),2)</f>
        <v>Th</v>
      </c>
      <c r="D9" s="112" t="n">
        <v>-334126</v>
      </c>
      <c r="E9" s="112" t="n">
        <v>0</v>
      </c>
      <c r="F9" s="112" t="n">
        <v>-425760</v>
      </c>
      <c r="G9" s="112" t="n">
        <v>-35780</v>
      </c>
      <c r="H9" s="112" t="n">
        <v>-46659</v>
      </c>
      <c r="I9" s="112" t="n">
        <v>-544273</v>
      </c>
      <c r="J9" s="112" t="n">
        <v>-59225</v>
      </c>
      <c r="K9" s="112" t="n">
        <v>-302333</v>
      </c>
      <c r="L9" s="112" t="n">
        <v>0</v>
      </c>
      <c r="M9" s="112" t="n">
        <v>-464870</v>
      </c>
      <c r="N9" s="112" t="n">
        <v>-489360</v>
      </c>
      <c r="P9" s="112" t="n">
        <f aca="false">ABS(D9)/$P$3</f>
        <v>334.126</v>
      </c>
      <c r="Q9" s="112" t="n">
        <f aca="false">ABS(E9)/$P$3</f>
        <v>0</v>
      </c>
      <c r="R9" s="112" t="n">
        <f aca="false">ABS(F9)/$P$3</f>
        <v>425.76</v>
      </c>
      <c r="S9" s="112" t="n">
        <f aca="false">ABS(G9)/$P$3</f>
        <v>35.78</v>
      </c>
      <c r="T9" s="112" t="n">
        <f aca="false">ABS(H9)/$P$3</f>
        <v>46.659</v>
      </c>
      <c r="U9" s="112" t="n">
        <f aca="false">ABS(I9)/$P$3</f>
        <v>544.273</v>
      </c>
      <c r="V9" s="112" t="n">
        <f aca="false">ABS(J9)/$P$3</f>
        <v>59.225</v>
      </c>
      <c r="W9" s="112" t="n">
        <f aca="false">ABS(K9)/$P$3</f>
        <v>302.333</v>
      </c>
      <c r="X9" s="112" t="n">
        <f aca="false">ABS(L9)/$P$3</f>
        <v>0</v>
      </c>
      <c r="Y9" s="112" t="n">
        <f aca="false">ABS(M9)/$P$3</f>
        <v>464.87</v>
      </c>
      <c r="Z9" s="112" t="n">
        <f aca="false">ABS(N9)/$P$3</f>
        <v>489.36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Data'!$A$2:$B$8,MATCH(WEEKDAY('RAC V@r Total'!A10,3),'Master Data'!$A$2:$A$8,0),2)</f>
        <v>F</v>
      </c>
      <c r="D10" s="112" t="n">
        <v>-338521</v>
      </c>
      <c r="E10" s="112" t="n">
        <v>0</v>
      </c>
      <c r="F10" s="112" t="n">
        <v>-409408</v>
      </c>
      <c r="G10" s="112" t="n">
        <v>-34859</v>
      </c>
      <c r="H10" s="112" t="n">
        <v>-46995</v>
      </c>
      <c r="I10" s="112" t="n">
        <v>-527440</v>
      </c>
      <c r="J10" s="112" t="n">
        <v>-59109</v>
      </c>
      <c r="K10" s="112" t="n">
        <v>-306691</v>
      </c>
      <c r="L10" s="112" t="n">
        <v>0</v>
      </c>
      <c r="M10" s="112" t="n">
        <v>-441326</v>
      </c>
      <c r="N10" s="112" t="n">
        <v>-483914</v>
      </c>
      <c r="P10" s="112" t="n">
        <f aca="false">ABS(D10)/$P$3</f>
        <v>338.521</v>
      </c>
      <c r="Q10" s="112" t="n">
        <f aca="false">ABS(E10)/$P$3</f>
        <v>0</v>
      </c>
      <c r="R10" s="112" t="n">
        <f aca="false">ABS(F10)/$P$3</f>
        <v>409.408</v>
      </c>
      <c r="S10" s="112" t="n">
        <f aca="false">ABS(G10)/$P$3</f>
        <v>34.859</v>
      </c>
      <c r="T10" s="112" t="n">
        <f aca="false">ABS(H10)/$P$3</f>
        <v>46.995</v>
      </c>
      <c r="U10" s="112" t="n">
        <f aca="false">ABS(I10)/$P$3</f>
        <v>527.44</v>
      </c>
      <c r="V10" s="112" t="n">
        <f aca="false">ABS(J10)/$P$3</f>
        <v>59.109</v>
      </c>
      <c r="W10" s="112" t="n">
        <f aca="false">ABS(K10)/$P$3</f>
        <v>306.691</v>
      </c>
      <c r="X10" s="112" t="n">
        <f aca="false">ABS(L10)/$P$3</f>
        <v>0</v>
      </c>
      <c r="Y10" s="112" t="n">
        <f aca="false">ABS(M10)/$P$3</f>
        <v>441.326</v>
      </c>
      <c r="Z10" s="112" t="n">
        <f aca="false">ABS(N10)/$P$3</f>
        <v>483.914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Data'!$A$2:$B$8,MATCH(WEEKDAY('RAC V@r Total'!A11,3),'Master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H11" s="112" t="n">
        <v>0</v>
      </c>
      <c r="I11" s="112" t="n">
        <v>0</v>
      </c>
      <c r="J11" s="112" t="n">
        <v>0</v>
      </c>
      <c r="K11" s="112" t="n">
        <v>0</v>
      </c>
      <c r="L11" s="112" t="n">
        <v>0</v>
      </c>
      <c r="M11" s="112" t="n">
        <v>0</v>
      </c>
      <c r="N11" s="112" t="n">
        <v>0</v>
      </c>
      <c r="P11" s="112" t="n">
        <f aca="false">ABS(D11)/$P$3</f>
        <v>0</v>
      </c>
      <c r="Q11" s="112" t="n">
        <f aca="false">ABS(E11)/$P$3</f>
        <v>0</v>
      </c>
      <c r="R11" s="112" t="n">
        <f aca="false">ABS(F11)/$P$3</f>
        <v>0</v>
      </c>
      <c r="S11" s="112" t="n">
        <f aca="false">ABS(G11)/$P$3</f>
        <v>0</v>
      </c>
      <c r="T11" s="112" t="n">
        <f aca="false">ABS(H11)/$P$3</f>
        <v>0</v>
      </c>
      <c r="U11" s="112" t="n">
        <f aca="false">ABS(I11)/$P$3</f>
        <v>0</v>
      </c>
      <c r="V11" s="112" t="n">
        <f aca="false">ABS(J11)/$P$3</f>
        <v>0</v>
      </c>
      <c r="W11" s="112" t="n">
        <f aca="false">ABS(K11)/$P$3</f>
        <v>0</v>
      </c>
      <c r="X11" s="112" t="n">
        <f aca="false">ABS(L11)/$P$3</f>
        <v>0</v>
      </c>
      <c r="Y11" s="112" t="n">
        <f aca="false">ABS(M11)/$P$3</f>
        <v>0</v>
      </c>
      <c r="Z11" s="112" t="n">
        <f aca="false">ABS(N11)/$P$3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Data'!$A$2:$B$8,MATCH(WEEKDAY('RAC V@r Total'!A12,3),'Master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H12" s="112" t="n">
        <v>0</v>
      </c>
      <c r="I12" s="112" t="n">
        <v>0</v>
      </c>
      <c r="J12" s="112" t="n">
        <v>0</v>
      </c>
      <c r="K12" s="112" t="n">
        <v>0</v>
      </c>
      <c r="L12" s="112" t="n">
        <v>0</v>
      </c>
      <c r="M12" s="112" t="n">
        <v>0</v>
      </c>
      <c r="N12" s="112" t="n">
        <v>0</v>
      </c>
      <c r="P12" s="112" t="n">
        <f aca="false">ABS(D12)/$P$3</f>
        <v>0</v>
      </c>
      <c r="Q12" s="112" t="n">
        <f aca="false">ABS(E12)/$P$3</f>
        <v>0</v>
      </c>
      <c r="R12" s="112" t="n">
        <f aca="false">ABS(F12)/$P$3</f>
        <v>0</v>
      </c>
      <c r="S12" s="112" t="n">
        <f aca="false">ABS(G12)/$P$3</f>
        <v>0</v>
      </c>
      <c r="T12" s="112" t="n">
        <f aca="false">ABS(H12)/$P$3</f>
        <v>0</v>
      </c>
      <c r="U12" s="112" t="n">
        <f aca="false">ABS(I12)/$P$3</f>
        <v>0</v>
      </c>
      <c r="V12" s="112" t="n">
        <f aca="false">ABS(J12)/$P$3</f>
        <v>0</v>
      </c>
      <c r="W12" s="112" t="n">
        <f aca="false">ABS(K12)/$P$3</f>
        <v>0</v>
      </c>
      <c r="X12" s="112" t="n">
        <f aca="false">ABS(L12)/$P$3</f>
        <v>0</v>
      </c>
      <c r="Y12" s="112" t="n">
        <f aca="false">ABS(M12)/$P$3</f>
        <v>0</v>
      </c>
      <c r="Z12" s="112" t="n">
        <f aca="false">ABS(N12)/$P$3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Data'!$A$2:$B$8,MATCH(WEEKDAY('RAC V@r Total'!A13,3),'Master Data'!$A$2:$A$8,0),2)</f>
        <v>M</v>
      </c>
      <c r="D13" s="112" t="n">
        <v>-339036</v>
      </c>
      <c r="E13" s="112" t="n">
        <v>0</v>
      </c>
      <c r="F13" s="112" t="n">
        <v>-412812</v>
      </c>
      <c r="G13" s="112" t="n">
        <v>-32286</v>
      </c>
      <c r="H13" s="112" t="n">
        <v>-47199</v>
      </c>
      <c r="I13" s="112" t="n">
        <v>-532321</v>
      </c>
      <c r="J13" s="112" t="n">
        <v>-57944</v>
      </c>
      <c r="K13" s="112" t="n">
        <v>-310071</v>
      </c>
      <c r="L13" s="112" t="n">
        <v>0</v>
      </c>
      <c r="M13" s="112" t="n">
        <v>-427667</v>
      </c>
      <c r="N13" s="112" t="n">
        <v>-486109</v>
      </c>
      <c r="P13" s="112" t="n">
        <f aca="false">ABS(D13)/$P$3</f>
        <v>339.036</v>
      </c>
      <c r="Q13" s="112" t="n">
        <f aca="false">ABS(E13)/$P$3</f>
        <v>0</v>
      </c>
      <c r="R13" s="112" t="n">
        <f aca="false">ABS(F13)/$P$3</f>
        <v>412.812</v>
      </c>
      <c r="S13" s="112" t="n">
        <f aca="false">ABS(G13)/$P$3</f>
        <v>32.286</v>
      </c>
      <c r="T13" s="112" t="n">
        <f aca="false">ABS(H13)/$P$3</f>
        <v>47.199</v>
      </c>
      <c r="U13" s="112" t="n">
        <f aca="false">ABS(I13)/$P$3</f>
        <v>532.321</v>
      </c>
      <c r="V13" s="112" t="n">
        <f aca="false">ABS(J13)/$P$3</f>
        <v>57.944</v>
      </c>
      <c r="W13" s="112" t="n">
        <f aca="false">ABS(K13)/$P$3</f>
        <v>310.071</v>
      </c>
      <c r="X13" s="112" t="n">
        <f aca="false">ABS(L13)/$P$3</f>
        <v>0</v>
      </c>
      <c r="Y13" s="112" t="n">
        <f aca="false">ABS(M13)/$P$3</f>
        <v>427.667</v>
      </c>
      <c r="Z13" s="112" t="n">
        <f aca="false">ABS(N13)/$P$3</f>
        <v>486.109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Data'!$A$2:$B$8,MATCH(WEEKDAY('RAC V@r Total'!A14,3),'Master Data'!$A$2:$A$8,0),2)</f>
        <v>T</v>
      </c>
      <c r="D14" s="112" t="n">
        <v>-337230</v>
      </c>
      <c r="E14" s="112" t="n">
        <v>0</v>
      </c>
      <c r="F14" s="112" t="n">
        <v>-410593</v>
      </c>
      <c r="G14" s="112" t="n">
        <v>-31433</v>
      </c>
      <c r="H14" s="112" t="n">
        <v>-47044</v>
      </c>
      <c r="I14" s="112" t="n">
        <v>-529419</v>
      </c>
      <c r="J14" s="112" t="n">
        <v>-57386</v>
      </c>
      <c r="K14" s="112" t="n">
        <v>-308559</v>
      </c>
      <c r="L14" s="112" t="n">
        <v>0</v>
      </c>
      <c r="M14" s="112" t="n">
        <v>-437662</v>
      </c>
      <c r="N14" s="112" t="n">
        <v>-483640</v>
      </c>
      <c r="P14" s="112" t="n">
        <f aca="false">ABS(D14)/$P$3</f>
        <v>337.23</v>
      </c>
      <c r="Q14" s="112" t="n">
        <f aca="false">ABS(E14)/$P$3</f>
        <v>0</v>
      </c>
      <c r="R14" s="112" t="n">
        <f aca="false">ABS(F14)/$P$3</f>
        <v>410.593</v>
      </c>
      <c r="S14" s="112" t="n">
        <f aca="false">ABS(G14)/$P$3</f>
        <v>31.433</v>
      </c>
      <c r="T14" s="112" t="n">
        <f aca="false">ABS(H14)/$P$3</f>
        <v>47.044</v>
      </c>
      <c r="U14" s="112" t="n">
        <f aca="false">ABS(I14)/$P$3</f>
        <v>529.419</v>
      </c>
      <c r="V14" s="112" t="n">
        <f aca="false">ABS(J14)/$P$3</f>
        <v>57.386</v>
      </c>
      <c r="W14" s="112" t="n">
        <f aca="false">ABS(K14)/$P$3</f>
        <v>308.559</v>
      </c>
      <c r="X14" s="112" t="n">
        <f aca="false">ABS(L14)/$P$3</f>
        <v>0</v>
      </c>
      <c r="Y14" s="112" t="n">
        <f aca="false">ABS(M14)/$P$3</f>
        <v>437.662</v>
      </c>
      <c r="Z14" s="112" t="n">
        <f aca="false">ABS(N14)/$P$3</f>
        <v>483.64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Data'!$A$2:$B$8,MATCH(WEEKDAY('RAC V@r Total'!A15,3),'Master Data'!$A$2:$A$8,0),2)</f>
        <v>W</v>
      </c>
      <c r="D15" s="112" t="n">
        <v>-337401</v>
      </c>
      <c r="E15" s="112" t="n">
        <v>0</v>
      </c>
      <c r="F15" s="112" t="n">
        <v>-406675</v>
      </c>
      <c r="G15" s="112" t="n">
        <v>-30580</v>
      </c>
      <c r="H15" s="112" t="n">
        <v>-46727</v>
      </c>
      <c r="I15" s="112" t="n">
        <v>-524580</v>
      </c>
      <c r="J15" s="112" t="n">
        <v>-56662</v>
      </c>
      <c r="K15" s="112" t="n">
        <v>-308919</v>
      </c>
      <c r="L15" s="112" t="n">
        <v>0</v>
      </c>
      <c r="M15" s="112" t="n">
        <v>-457372</v>
      </c>
      <c r="N15" s="112" t="n">
        <v>-482910</v>
      </c>
      <c r="P15" s="112" t="n">
        <f aca="false">ABS(D15)/$P$3</f>
        <v>337.401</v>
      </c>
      <c r="Q15" s="112" t="n">
        <f aca="false">ABS(E15)/$P$3</f>
        <v>0</v>
      </c>
      <c r="R15" s="112" t="n">
        <f aca="false">ABS(F15)/$P$3</f>
        <v>406.675</v>
      </c>
      <c r="S15" s="112" t="n">
        <f aca="false">ABS(G15)/$P$3</f>
        <v>30.58</v>
      </c>
      <c r="T15" s="112" t="n">
        <f aca="false">ABS(H15)/$P$3</f>
        <v>46.727</v>
      </c>
      <c r="U15" s="112" t="n">
        <f aca="false">ABS(I15)/$P$3</f>
        <v>524.58</v>
      </c>
      <c r="V15" s="112" t="n">
        <f aca="false">ABS(J15)/$P$3</f>
        <v>56.662</v>
      </c>
      <c r="W15" s="112" t="n">
        <f aca="false">ABS(K15)/$P$3</f>
        <v>308.919</v>
      </c>
      <c r="X15" s="112" t="n">
        <f aca="false">ABS(L15)/$P$3</f>
        <v>0</v>
      </c>
      <c r="Y15" s="112" t="n">
        <f aca="false">ABS(M15)/$P$3</f>
        <v>457.372</v>
      </c>
      <c r="Z15" s="112" t="n">
        <f aca="false">ABS(N15)/$P$3</f>
        <v>482.91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Data'!$A$2:$B$8,MATCH(WEEKDAY('RAC V@r Total'!A16,3),'Master Data'!$A$2:$A$8,0),2)</f>
        <v>Th</v>
      </c>
      <c r="D16" s="112" t="n">
        <v>-339570</v>
      </c>
      <c r="E16" s="112" t="n">
        <v>0</v>
      </c>
      <c r="F16" s="112" t="n">
        <v>-403977</v>
      </c>
      <c r="G16" s="112" t="n">
        <v>-29727</v>
      </c>
      <c r="H16" s="112" t="n">
        <v>-46500</v>
      </c>
      <c r="I16" s="112" t="n">
        <v>-523827</v>
      </c>
      <c r="J16" s="112" t="n">
        <v>-56154</v>
      </c>
      <c r="K16" s="112" t="n">
        <v>-312032</v>
      </c>
      <c r="L16" s="112" t="n">
        <v>0</v>
      </c>
      <c r="M16" s="112" t="n">
        <v>-453367</v>
      </c>
      <c r="N16" s="112" t="n">
        <v>-479905</v>
      </c>
      <c r="P16" s="112" t="n">
        <f aca="false">ABS(D16)/$P$3</f>
        <v>339.57</v>
      </c>
      <c r="Q16" s="112" t="n">
        <f aca="false">ABS(E16)/$P$3</f>
        <v>0</v>
      </c>
      <c r="R16" s="112" t="n">
        <f aca="false">ABS(F16)/$P$3</f>
        <v>403.977</v>
      </c>
      <c r="S16" s="112" t="n">
        <f aca="false">ABS(G16)/$P$3</f>
        <v>29.727</v>
      </c>
      <c r="T16" s="112" t="n">
        <f aca="false">ABS(H16)/$P$3</f>
        <v>46.5</v>
      </c>
      <c r="U16" s="112" t="n">
        <f aca="false">ABS(I16)/$P$3</f>
        <v>523.827</v>
      </c>
      <c r="V16" s="112" t="n">
        <f aca="false">ABS(J16)/$P$3</f>
        <v>56.154</v>
      </c>
      <c r="W16" s="112" t="n">
        <f aca="false">ABS(K16)/$P$3</f>
        <v>312.032</v>
      </c>
      <c r="X16" s="112" t="n">
        <f aca="false">ABS(L16)/$P$3</f>
        <v>0</v>
      </c>
      <c r="Y16" s="112" t="n">
        <f aca="false">ABS(M16)/$P$3</f>
        <v>453.367</v>
      </c>
      <c r="Z16" s="112" t="n">
        <f aca="false">ABS(N16)/$P$3</f>
        <v>479.905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Data'!$A$2:$B$8,MATCH(WEEKDAY('RAC V@r Total'!A17,3),'Master Data'!$A$2:$A$8,0),2)</f>
        <v>F</v>
      </c>
      <c r="D17" s="112" t="n">
        <v>-330933</v>
      </c>
      <c r="E17" s="112" t="n">
        <v>0</v>
      </c>
      <c r="F17" s="112" t="n">
        <v>-395095</v>
      </c>
      <c r="G17" s="112" t="n">
        <v>-29424</v>
      </c>
      <c r="H17" s="112" t="n">
        <v>-47150</v>
      </c>
      <c r="I17" s="112" t="n">
        <v>-544259</v>
      </c>
      <c r="J17" s="112" t="n">
        <v>-52418</v>
      </c>
      <c r="K17" s="112" t="n">
        <v>-312167</v>
      </c>
      <c r="L17" s="112" t="n">
        <v>0</v>
      </c>
      <c r="M17" s="112" t="n">
        <v>-408622</v>
      </c>
      <c r="N17" s="112" t="n">
        <v>-497122</v>
      </c>
      <c r="P17" s="112" t="n">
        <f aca="false">ABS(D17)/$P$3</f>
        <v>330.933</v>
      </c>
      <c r="Q17" s="112" t="n">
        <f aca="false">ABS(E17)/$P$3</f>
        <v>0</v>
      </c>
      <c r="R17" s="112" t="n">
        <f aca="false">ABS(F17)/$P$3</f>
        <v>395.095</v>
      </c>
      <c r="S17" s="112" t="n">
        <f aca="false">ABS(G17)/$P$3</f>
        <v>29.424</v>
      </c>
      <c r="T17" s="112" t="n">
        <f aca="false">ABS(H17)/$P$3</f>
        <v>47.15</v>
      </c>
      <c r="U17" s="112" t="n">
        <f aca="false">ABS(I17)/$P$3</f>
        <v>544.259</v>
      </c>
      <c r="V17" s="112" t="n">
        <f aca="false">ABS(J17)/$P$3</f>
        <v>52.418</v>
      </c>
      <c r="W17" s="112" t="n">
        <f aca="false">ABS(K17)/$P$3</f>
        <v>312.167</v>
      </c>
      <c r="X17" s="112" t="n">
        <f aca="false">ABS(L17)/$P$3</f>
        <v>0</v>
      </c>
      <c r="Y17" s="112" t="n">
        <f aca="false">ABS(M17)/$P$3</f>
        <v>408.622</v>
      </c>
      <c r="Z17" s="112" t="n">
        <f aca="false">ABS(N17)/$P$3</f>
        <v>497.122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Data'!$A$2:$B$8,MATCH(WEEKDAY('RAC V@r Total'!A18,3),'Master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H18" s="112" t="n">
        <v>0</v>
      </c>
      <c r="I18" s="112" t="n">
        <v>0</v>
      </c>
      <c r="J18" s="112" t="n">
        <v>0</v>
      </c>
      <c r="K18" s="112" t="n">
        <v>0</v>
      </c>
      <c r="L18" s="112" t="n">
        <v>0</v>
      </c>
      <c r="M18" s="112" t="n">
        <v>0</v>
      </c>
      <c r="N18" s="112" t="n">
        <v>0</v>
      </c>
      <c r="P18" s="112" t="n">
        <f aca="false">ABS(D18)/$P$3</f>
        <v>0</v>
      </c>
      <c r="Q18" s="112" t="n">
        <f aca="false">ABS(E18)/$P$3</f>
        <v>0</v>
      </c>
      <c r="R18" s="112" t="n">
        <f aca="false">ABS(F18)/$P$3</f>
        <v>0</v>
      </c>
      <c r="S18" s="112" t="n">
        <f aca="false">ABS(G18)/$P$3</f>
        <v>0</v>
      </c>
      <c r="T18" s="112" t="n">
        <f aca="false">ABS(H18)/$P$3</f>
        <v>0</v>
      </c>
      <c r="U18" s="112" t="n">
        <f aca="false">ABS(I18)/$P$3</f>
        <v>0</v>
      </c>
      <c r="V18" s="112" t="n">
        <f aca="false">ABS(J18)/$P$3</f>
        <v>0</v>
      </c>
      <c r="W18" s="112" t="n">
        <f aca="false">ABS(K18)/$P$3</f>
        <v>0</v>
      </c>
      <c r="X18" s="112" t="n">
        <f aca="false">ABS(L18)/$P$3</f>
        <v>0</v>
      </c>
      <c r="Y18" s="112" t="n">
        <f aca="false">ABS(M18)/$P$3</f>
        <v>0</v>
      </c>
      <c r="Z18" s="112" t="n">
        <f aca="false">ABS(N18)/$P$3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Data'!$A$2:$B$8,MATCH(WEEKDAY('RAC V@r Total'!A19,3),'Master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H19" s="112" t="n">
        <v>0</v>
      </c>
      <c r="I19" s="112" t="n">
        <v>0</v>
      </c>
      <c r="J19" s="112" t="n">
        <v>0</v>
      </c>
      <c r="K19" s="112" t="n">
        <v>0</v>
      </c>
      <c r="L19" s="112" t="n">
        <v>0</v>
      </c>
      <c r="M19" s="112" t="n">
        <v>0</v>
      </c>
      <c r="N19" s="112" t="n">
        <v>0</v>
      </c>
      <c r="P19" s="112" t="n">
        <f aca="false">ABS(D19)/$P$3</f>
        <v>0</v>
      </c>
      <c r="Q19" s="112" t="n">
        <f aca="false">ABS(E19)/$P$3</f>
        <v>0</v>
      </c>
      <c r="R19" s="112" t="n">
        <f aca="false">ABS(F19)/$P$3</f>
        <v>0</v>
      </c>
      <c r="S19" s="112" t="n">
        <f aca="false">ABS(G19)/$P$3</f>
        <v>0</v>
      </c>
      <c r="T19" s="112" t="n">
        <f aca="false">ABS(H19)/$P$3</f>
        <v>0</v>
      </c>
      <c r="U19" s="112" t="n">
        <f aca="false">ABS(I19)/$P$3</f>
        <v>0</v>
      </c>
      <c r="V19" s="112" t="n">
        <f aca="false">ABS(J19)/$P$3</f>
        <v>0</v>
      </c>
      <c r="W19" s="112" t="n">
        <f aca="false">ABS(K19)/$P$3</f>
        <v>0</v>
      </c>
      <c r="X19" s="112" t="n">
        <f aca="false">ABS(L19)/$P$3</f>
        <v>0</v>
      </c>
      <c r="Y19" s="112" t="n">
        <f aca="false">ABS(M19)/$P$3</f>
        <v>0</v>
      </c>
      <c r="Z19" s="112" t="n">
        <f aca="false">ABS(N19)/$P$3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Data'!$A$2:$B$8,MATCH(WEEKDAY('RAC V@r Total'!A20,3),'Master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H20" s="112" t="n">
        <v>0</v>
      </c>
      <c r="I20" s="112" t="n">
        <v>0</v>
      </c>
      <c r="J20" s="112" t="n">
        <v>0</v>
      </c>
      <c r="K20" s="112" t="n">
        <v>0</v>
      </c>
      <c r="L20" s="112" t="n">
        <v>0</v>
      </c>
      <c r="M20" s="112" t="n">
        <v>0</v>
      </c>
      <c r="N20" s="112" t="n">
        <v>0</v>
      </c>
      <c r="P20" s="112" t="n">
        <f aca="false">ABS(D20)/$P$3</f>
        <v>0</v>
      </c>
      <c r="Q20" s="112" t="n">
        <f aca="false">ABS(E20)/$P$3</f>
        <v>0</v>
      </c>
      <c r="R20" s="112" t="n">
        <f aca="false">ABS(F20)/$P$3</f>
        <v>0</v>
      </c>
      <c r="S20" s="112" t="n">
        <f aca="false">ABS(G20)/$P$3</f>
        <v>0</v>
      </c>
      <c r="T20" s="112" t="n">
        <f aca="false">ABS(H20)/$P$3</f>
        <v>0</v>
      </c>
      <c r="U20" s="112" t="n">
        <f aca="false">ABS(I20)/$P$3</f>
        <v>0</v>
      </c>
      <c r="V20" s="112" t="n">
        <f aca="false">ABS(J20)/$P$3</f>
        <v>0</v>
      </c>
      <c r="W20" s="112" t="n">
        <f aca="false">ABS(K20)/$P$3</f>
        <v>0</v>
      </c>
      <c r="X20" s="112" t="n">
        <f aca="false">ABS(L20)/$P$3</f>
        <v>0</v>
      </c>
      <c r="Y20" s="112" t="n">
        <f aca="false">ABS(M20)/$P$3</f>
        <v>0</v>
      </c>
      <c r="Z20" s="112" t="n">
        <f aca="false">ABS(N20)/$P$3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Data'!$A$2:$B$8,MATCH(WEEKDAY('RAC V@r Total'!A21,3),'Master Data'!$A$2:$A$8,0),2)</f>
        <v>T</v>
      </c>
      <c r="D21" s="112" t="n">
        <v>-169622</v>
      </c>
      <c r="E21" s="112" t="n">
        <v>0</v>
      </c>
      <c r="F21" s="112" t="n">
        <v>-396408</v>
      </c>
      <c r="G21" s="112" t="n">
        <v>-25017</v>
      </c>
      <c r="H21" s="112" t="n">
        <v>-47184</v>
      </c>
      <c r="I21" s="112" t="n">
        <v>-429522</v>
      </c>
      <c r="J21" s="112" t="n">
        <v>-50607</v>
      </c>
      <c r="K21" s="112" t="n">
        <v>-154765</v>
      </c>
      <c r="L21" s="112" t="n">
        <v>0</v>
      </c>
      <c r="M21" s="112" t="n">
        <v>-410100</v>
      </c>
      <c r="N21" s="112" t="n">
        <v>-388825</v>
      </c>
      <c r="P21" s="112" t="n">
        <f aca="false">ABS(D21)/$P$3</f>
        <v>169.622</v>
      </c>
      <c r="Q21" s="112" t="n">
        <f aca="false">ABS(E21)/$P$3</f>
        <v>0</v>
      </c>
      <c r="R21" s="112" t="n">
        <f aca="false">ABS(F21)/$P$3</f>
        <v>396.408</v>
      </c>
      <c r="S21" s="112" t="n">
        <f aca="false">ABS(G21)/$P$3</f>
        <v>25.017</v>
      </c>
      <c r="T21" s="112" t="n">
        <f aca="false">ABS(H21)/$P$3</f>
        <v>47.184</v>
      </c>
      <c r="U21" s="112" t="n">
        <f aca="false">ABS(I21)/$P$3</f>
        <v>429.522</v>
      </c>
      <c r="V21" s="112" t="n">
        <f aca="false">ABS(J21)/$P$3</f>
        <v>50.607</v>
      </c>
      <c r="W21" s="112" t="n">
        <f aca="false">ABS(K21)/$P$3</f>
        <v>154.765</v>
      </c>
      <c r="X21" s="112" t="n">
        <f aca="false">ABS(L21)/$P$3</f>
        <v>0</v>
      </c>
      <c r="Y21" s="112" t="n">
        <f aca="false">ABS(M21)/$P$3</f>
        <v>410.1</v>
      </c>
      <c r="Z21" s="112" t="n">
        <f aca="false">ABS(N21)/$P$3</f>
        <v>388.825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Data'!$A$2:$B$8,MATCH(WEEKDAY('RAC V@r Total'!A22,3),'Master Data'!$A$2:$A$8,0),2)</f>
        <v>W</v>
      </c>
      <c r="D22" s="112" t="n">
        <v>-313773</v>
      </c>
      <c r="E22" s="112" t="n">
        <v>0</v>
      </c>
      <c r="F22" s="112" t="n">
        <v>-400860</v>
      </c>
      <c r="G22" s="112" t="n">
        <v>-24120</v>
      </c>
      <c r="H22" s="112" t="n">
        <v>-47443</v>
      </c>
      <c r="I22" s="112" t="n">
        <v>-526143</v>
      </c>
      <c r="J22" s="112" t="n">
        <v>-50662</v>
      </c>
      <c r="K22" s="112" t="n">
        <v>-296727</v>
      </c>
      <c r="L22" s="112" t="n">
        <v>0</v>
      </c>
      <c r="M22" s="112" t="n">
        <v>-403282</v>
      </c>
      <c r="N22" s="112" t="n">
        <v>-481369</v>
      </c>
      <c r="P22" s="112" t="n">
        <f aca="false">ABS(D22)/$P$3</f>
        <v>313.773</v>
      </c>
      <c r="Q22" s="112" t="n">
        <f aca="false">ABS(E22)/$P$3</f>
        <v>0</v>
      </c>
      <c r="R22" s="112" t="n">
        <f aca="false">ABS(F22)/$P$3</f>
        <v>400.86</v>
      </c>
      <c r="S22" s="112" t="n">
        <f aca="false">ABS(G22)/$P$3</f>
        <v>24.12</v>
      </c>
      <c r="T22" s="112" t="n">
        <f aca="false">ABS(H22)/$P$3</f>
        <v>47.443</v>
      </c>
      <c r="U22" s="112" t="n">
        <f aca="false">ABS(I22)/$P$3</f>
        <v>526.143</v>
      </c>
      <c r="V22" s="112" t="n">
        <f aca="false">ABS(J22)/$P$3</f>
        <v>50.662</v>
      </c>
      <c r="W22" s="112" t="n">
        <f aca="false">ABS(K22)/$P$3</f>
        <v>296.727</v>
      </c>
      <c r="X22" s="112" t="n">
        <f aca="false">ABS(L22)/$P$3</f>
        <v>0</v>
      </c>
      <c r="Y22" s="112" t="n">
        <f aca="false">ABS(M22)/$P$3</f>
        <v>403.282</v>
      </c>
      <c r="Z22" s="112" t="n">
        <f aca="false">ABS(N22)/$P$3</f>
        <v>481.369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Data'!$A$2:$B$8,MATCH(WEEKDAY('RAC V@r Total'!A23,3),'Master Data'!$A$2:$A$8,0),2)</f>
        <v>Th</v>
      </c>
      <c r="D23" s="112" t="n">
        <v>-313935</v>
      </c>
      <c r="E23" s="112" t="n">
        <v>0</v>
      </c>
      <c r="F23" s="112" t="n">
        <v>-401306</v>
      </c>
      <c r="G23" s="112" t="n">
        <v>-23251</v>
      </c>
      <c r="H23" s="112" t="n">
        <v>-47456</v>
      </c>
      <c r="I23" s="112" t="n">
        <v>-526708</v>
      </c>
      <c r="J23" s="112" t="n">
        <v>-50270</v>
      </c>
      <c r="K23" s="112" t="n">
        <v>-296788</v>
      </c>
      <c r="L23" s="112" t="n">
        <v>0</v>
      </c>
      <c r="M23" s="112" t="n">
        <v>-404656</v>
      </c>
      <c r="N23" s="112" t="n">
        <v>-481970</v>
      </c>
      <c r="P23" s="112" t="n">
        <f aca="false">ABS(D23)/$P$3</f>
        <v>313.935</v>
      </c>
      <c r="Q23" s="112" t="n">
        <f aca="false">ABS(E23)/$P$3</f>
        <v>0</v>
      </c>
      <c r="R23" s="112" t="n">
        <f aca="false">ABS(F23)/$P$3</f>
        <v>401.306</v>
      </c>
      <c r="S23" s="112" t="n">
        <f aca="false">ABS(G23)/$P$3</f>
        <v>23.251</v>
      </c>
      <c r="T23" s="112" t="n">
        <f aca="false">ABS(H23)/$P$3</f>
        <v>47.456</v>
      </c>
      <c r="U23" s="112" t="n">
        <f aca="false">ABS(I23)/$P$3</f>
        <v>526.708</v>
      </c>
      <c r="V23" s="112" t="n">
        <f aca="false">ABS(J23)/$P$3</f>
        <v>50.27</v>
      </c>
      <c r="W23" s="112" t="n">
        <f aca="false">ABS(K23)/$P$3</f>
        <v>296.788</v>
      </c>
      <c r="X23" s="112" t="n">
        <f aca="false">ABS(L23)/$P$3</f>
        <v>0</v>
      </c>
      <c r="Y23" s="112" t="n">
        <f aca="false">ABS(M23)/$P$3</f>
        <v>404.656</v>
      </c>
      <c r="Z23" s="112" t="n">
        <f aca="false">ABS(N23)/$P$3</f>
        <v>481.97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Data'!$A$2:$B$8,MATCH(WEEKDAY('RAC V@r Total'!A24,3),'Master Data'!$A$2:$A$8,0),2)</f>
        <v>F</v>
      </c>
      <c r="D24" s="112" t="n">
        <v>-314257</v>
      </c>
      <c r="E24" s="112" t="n">
        <v>0</v>
      </c>
      <c r="F24" s="112" t="n">
        <v>-401719</v>
      </c>
      <c r="G24" s="112" t="n">
        <v>-22445</v>
      </c>
      <c r="H24" s="112" t="n">
        <v>-47469</v>
      </c>
      <c r="I24" s="112" t="n">
        <v>-527270</v>
      </c>
      <c r="J24" s="112" t="n">
        <v>-50159</v>
      </c>
      <c r="K24" s="112" t="n">
        <v>-297002</v>
      </c>
      <c r="L24" s="112" t="n">
        <v>0</v>
      </c>
      <c r="M24" s="112" t="n">
        <v>-418619</v>
      </c>
      <c r="N24" s="112" t="n">
        <v>-482692</v>
      </c>
      <c r="P24" s="112" t="n">
        <f aca="false">ABS(D24)/$P$3</f>
        <v>314.257</v>
      </c>
      <c r="Q24" s="112" t="n">
        <f aca="false">ABS(E24)/$P$3</f>
        <v>0</v>
      </c>
      <c r="R24" s="112" t="n">
        <f aca="false">ABS(F24)/$P$3</f>
        <v>401.719</v>
      </c>
      <c r="S24" s="112" t="n">
        <f aca="false">ABS(G24)/$P$3</f>
        <v>22.445</v>
      </c>
      <c r="T24" s="112" t="n">
        <f aca="false">ABS(H24)/$P$3</f>
        <v>47.469</v>
      </c>
      <c r="U24" s="112" t="n">
        <f aca="false">ABS(I24)/$P$3</f>
        <v>527.27</v>
      </c>
      <c r="V24" s="112" t="n">
        <f aca="false">ABS(J24)/$P$3</f>
        <v>50.159</v>
      </c>
      <c r="W24" s="112" t="n">
        <f aca="false">ABS(K24)/$P$3</f>
        <v>297.002</v>
      </c>
      <c r="X24" s="112" t="n">
        <f aca="false">ABS(L24)/$P$3</f>
        <v>0</v>
      </c>
      <c r="Y24" s="112" t="n">
        <f aca="false">ABS(M24)/$P$3</f>
        <v>418.619</v>
      </c>
      <c r="Z24" s="112" t="n">
        <f aca="false">ABS(N24)/$P$3</f>
        <v>482.692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Data'!$A$2:$B$8,MATCH(WEEKDAY('RAC V@r Total'!A25,3),'Master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H25" s="112" t="n">
        <v>0</v>
      </c>
      <c r="I25" s="112" t="n">
        <v>0</v>
      </c>
      <c r="J25" s="112" t="n">
        <v>0</v>
      </c>
      <c r="K25" s="112" t="n">
        <v>0</v>
      </c>
      <c r="L25" s="112" t="n">
        <v>0</v>
      </c>
      <c r="M25" s="112" t="n">
        <v>0</v>
      </c>
      <c r="N25" s="112" t="n">
        <v>0</v>
      </c>
      <c r="P25" s="112" t="n">
        <f aca="false">ABS(D25)/$P$3</f>
        <v>0</v>
      </c>
      <c r="Q25" s="112" t="n">
        <f aca="false">ABS(E25)/$P$3</f>
        <v>0</v>
      </c>
      <c r="R25" s="112" t="n">
        <f aca="false">ABS(F25)/$P$3</f>
        <v>0</v>
      </c>
      <c r="S25" s="112" t="n">
        <f aca="false">ABS(G25)/$P$3</f>
        <v>0</v>
      </c>
      <c r="T25" s="112" t="n">
        <f aca="false">ABS(H25)/$P$3</f>
        <v>0</v>
      </c>
      <c r="U25" s="112" t="n">
        <f aca="false">ABS(I25)/$P$3</f>
        <v>0</v>
      </c>
      <c r="V25" s="112" t="n">
        <f aca="false">ABS(J25)/$P$3</f>
        <v>0</v>
      </c>
      <c r="W25" s="112" t="n">
        <f aca="false">ABS(K25)/$P$3</f>
        <v>0</v>
      </c>
      <c r="X25" s="112" t="n">
        <f aca="false">ABS(L25)/$P$3</f>
        <v>0</v>
      </c>
      <c r="Y25" s="112" t="n">
        <f aca="false">ABS(M25)/$P$3</f>
        <v>0</v>
      </c>
      <c r="Z25" s="112" t="n">
        <f aca="false">ABS(N25)/$P$3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Data'!$A$2:$B$8,MATCH(WEEKDAY('RAC V@r Total'!A26,3),'Master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H26" s="112" t="n">
        <v>0</v>
      </c>
      <c r="I26" s="112" t="n">
        <v>0</v>
      </c>
      <c r="J26" s="112" t="n">
        <v>0</v>
      </c>
      <c r="K26" s="112" t="n">
        <v>0</v>
      </c>
      <c r="L26" s="112" t="n">
        <v>0</v>
      </c>
      <c r="M26" s="112" t="n">
        <v>0</v>
      </c>
      <c r="N26" s="112" t="n">
        <v>0</v>
      </c>
      <c r="P26" s="112" t="n">
        <f aca="false">ABS(D26)/$P$3</f>
        <v>0</v>
      </c>
      <c r="Q26" s="112" t="n">
        <f aca="false">ABS(E26)/$P$3</f>
        <v>0</v>
      </c>
      <c r="R26" s="112" t="n">
        <f aca="false">ABS(F26)/$P$3</f>
        <v>0</v>
      </c>
      <c r="S26" s="112" t="n">
        <f aca="false">ABS(G26)/$P$3</f>
        <v>0</v>
      </c>
      <c r="T26" s="112" t="n">
        <f aca="false">ABS(H26)/$P$3</f>
        <v>0</v>
      </c>
      <c r="U26" s="112" t="n">
        <f aca="false">ABS(I26)/$P$3</f>
        <v>0</v>
      </c>
      <c r="V26" s="112" t="n">
        <f aca="false">ABS(J26)/$P$3</f>
        <v>0</v>
      </c>
      <c r="W26" s="112" t="n">
        <f aca="false">ABS(K26)/$P$3</f>
        <v>0</v>
      </c>
      <c r="X26" s="112" t="n">
        <f aca="false">ABS(L26)/$P$3</f>
        <v>0</v>
      </c>
      <c r="Y26" s="112" t="n">
        <f aca="false">ABS(M26)/$P$3</f>
        <v>0</v>
      </c>
      <c r="Z26" s="112" t="n">
        <f aca="false">ABS(N26)/$P$3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Data'!$A$2:$B$8,MATCH(WEEKDAY('RAC V@r Total'!A27,3),'Master Data'!$A$2:$A$8,0),2)</f>
        <v>M</v>
      </c>
      <c r="D27" s="112" t="n">
        <v>-314743</v>
      </c>
      <c r="E27" s="112" t="n">
        <v>0</v>
      </c>
      <c r="F27" s="112" t="n">
        <v>-400569</v>
      </c>
      <c r="G27" s="112" t="n">
        <v>-19840</v>
      </c>
      <c r="H27" s="112" t="n">
        <v>-47362</v>
      </c>
      <c r="I27" s="112" t="n">
        <v>-526004</v>
      </c>
      <c r="J27" s="112" t="n">
        <v>-49569</v>
      </c>
      <c r="K27" s="112" t="n">
        <v>-299563</v>
      </c>
      <c r="L27" s="112" t="n">
        <v>0</v>
      </c>
      <c r="M27" s="112" t="n">
        <v>-409944</v>
      </c>
      <c r="N27" s="112" t="n">
        <v>-482746</v>
      </c>
      <c r="P27" s="112" t="n">
        <f aca="false">ABS(D27)/$P$3</f>
        <v>314.743</v>
      </c>
      <c r="Q27" s="112" t="n">
        <f aca="false">ABS(E27)/$P$3</f>
        <v>0</v>
      </c>
      <c r="R27" s="112" t="n">
        <f aca="false">ABS(F27)/$P$3</f>
        <v>400.569</v>
      </c>
      <c r="S27" s="112" t="n">
        <f aca="false">ABS(G27)/$P$3</f>
        <v>19.84</v>
      </c>
      <c r="T27" s="112" t="n">
        <f aca="false">ABS(H27)/$P$3</f>
        <v>47.362</v>
      </c>
      <c r="U27" s="112" t="n">
        <f aca="false">ABS(I27)/$P$3</f>
        <v>526.004</v>
      </c>
      <c r="V27" s="112" t="n">
        <f aca="false">ABS(J27)/$P$3</f>
        <v>49.569</v>
      </c>
      <c r="W27" s="112" t="n">
        <f aca="false">ABS(K27)/$P$3</f>
        <v>299.563</v>
      </c>
      <c r="X27" s="112" t="n">
        <f aca="false">ABS(L27)/$P$3</f>
        <v>0</v>
      </c>
      <c r="Y27" s="112" t="n">
        <f aca="false">ABS(M27)/$P$3</f>
        <v>409.944</v>
      </c>
      <c r="Z27" s="112" t="n">
        <f aca="false">ABS(N27)/$P$3</f>
        <v>482.746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Data'!$A$2:$B$8,MATCH(WEEKDAY('RAC V@r Total'!A28,3),'Master Data'!$A$2:$A$8,0),2)</f>
        <v>T</v>
      </c>
      <c r="D28" s="112" t="n">
        <v>-315549</v>
      </c>
      <c r="E28" s="112" t="n">
        <v>0</v>
      </c>
      <c r="F28" s="112" t="n">
        <v>-397658</v>
      </c>
      <c r="G28" s="112" t="n">
        <v>-18926</v>
      </c>
      <c r="H28" s="112" t="n">
        <v>-47223</v>
      </c>
      <c r="I28" s="112" t="n">
        <v>-524726</v>
      </c>
      <c r="J28" s="112" t="n">
        <v>-49118</v>
      </c>
      <c r="K28" s="112" t="n">
        <v>-301071</v>
      </c>
      <c r="L28" s="112" t="n">
        <v>0</v>
      </c>
      <c r="M28" s="112" t="n">
        <v>-410093</v>
      </c>
      <c r="N28" s="112" t="n">
        <v>-482102</v>
      </c>
      <c r="P28" s="112" t="n">
        <f aca="false">ABS(D28)/$P$3</f>
        <v>315.549</v>
      </c>
      <c r="Q28" s="112" t="n">
        <f aca="false">ABS(E28)/$P$3</f>
        <v>0</v>
      </c>
      <c r="R28" s="112" t="n">
        <f aca="false">ABS(F28)/$P$3</f>
        <v>397.658</v>
      </c>
      <c r="S28" s="112" t="n">
        <f aca="false">ABS(G28)/$P$3</f>
        <v>18.926</v>
      </c>
      <c r="T28" s="112" t="n">
        <f aca="false">ABS(H28)/$P$3</f>
        <v>47.223</v>
      </c>
      <c r="U28" s="112" t="n">
        <f aca="false">ABS(I28)/$P$3</f>
        <v>524.726</v>
      </c>
      <c r="V28" s="112" t="n">
        <f aca="false">ABS(J28)/$P$3</f>
        <v>49.118</v>
      </c>
      <c r="W28" s="112" t="n">
        <f aca="false">ABS(K28)/$P$3</f>
        <v>301.071</v>
      </c>
      <c r="X28" s="112" t="n">
        <f aca="false">ABS(L28)/$P$3</f>
        <v>0</v>
      </c>
      <c r="Y28" s="112" t="n">
        <f aca="false">ABS(M28)/$P$3</f>
        <v>410.093</v>
      </c>
      <c r="Z28" s="112" t="n">
        <f aca="false">ABS(N28)/$P$3</f>
        <v>482.102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Data'!$A$2:$B$8,MATCH(WEEKDAY('RAC V@r Total'!A29,3),'Master Data'!$A$2:$A$8,0),2)</f>
        <v>W</v>
      </c>
      <c r="D29" s="112" t="n">
        <v>-316999</v>
      </c>
      <c r="E29" s="112" t="n">
        <v>0</v>
      </c>
      <c r="F29" s="112" t="n">
        <v>-397760</v>
      </c>
      <c r="G29" s="112" t="n">
        <v>-18008</v>
      </c>
      <c r="H29" s="112" t="n">
        <v>-47218</v>
      </c>
      <c r="I29" s="112" t="n">
        <v>-526685</v>
      </c>
      <c r="J29" s="112" t="n">
        <v>-48855</v>
      </c>
      <c r="K29" s="112" t="n">
        <v>-302631</v>
      </c>
      <c r="L29" s="112" t="n">
        <v>0</v>
      </c>
      <c r="M29" s="112" t="n">
        <v>-406098</v>
      </c>
      <c r="N29" s="112" t="n">
        <v>-485643</v>
      </c>
      <c r="P29" s="112" t="n">
        <f aca="false">ABS(D29)/$P$3</f>
        <v>316.999</v>
      </c>
      <c r="Q29" s="112" t="n">
        <f aca="false">ABS(E29)/$P$3</f>
        <v>0</v>
      </c>
      <c r="R29" s="112" t="n">
        <f aca="false">ABS(F29)/$P$3</f>
        <v>397.76</v>
      </c>
      <c r="S29" s="112" t="n">
        <f aca="false">ABS(G29)/$P$3</f>
        <v>18.008</v>
      </c>
      <c r="T29" s="112" t="n">
        <f aca="false">ABS(H29)/$P$3</f>
        <v>47.218</v>
      </c>
      <c r="U29" s="112" t="n">
        <f aca="false">ABS(I29)/$P$3</f>
        <v>526.685</v>
      </c>
      <c r="V29" s="112" t="n">
        <f aca="false">ABS(J29)/$P$3</f>
        <v>48.855</v>
      </c>
      <c r="W29" s="112" t="n">
        <f aca="false">ABS(K29)/$P$3</f>
        <v>302.631</v>
      </c>
      <c r="X29" s="112" t="n">
        <f aca="false">ABS(L29)/$P$3</f>
        <v>0</v>
      </c>
      <c r="Y29" s="112" t="n">
        <f aca="false">ABS(M29)/$P$3</f>
        <v>406.098</v>
      </c>
      <c r="Z29" s="112" t="n">
        <f aca="false">ABS(N29)/$P$3</f>
        <v>485.643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Data'!$A$2:$B$8,MATCH(WEEKDAY('RAC V@r Total'!A30,3),'Master Data'!$A$2:$A$8,0),2)</f>
        <v>Th</v>
      </c>
      <c r="D30" s="112" t="n">
        <v>-317162</v>
      </c>
      <c r="E30" s="112" t="n">
        <v>0</v>
      </c>
      <c r="F30" s="112" t="n">
        <v>-400911</v>
      </c>
      <c r="G30" s="112" t="n">
        <v>-17091</v>
      </c>
      <c r="H30" s="112" t="n">
        <v>-47376</v>
      </c>
      <c r="I30" s="112" t="n">
        <v>-527870</v>
      </c>
      <c r="J30" s="112" t="n">
        <v>-48847</v>
      </c>
      <c r="K30" s="112" t="n">
        <v>-302933</v>
      </c>
      <c r="L30" s="112" t="n">
        <v>0</v>
      </c>
      <c r="M30" s="112" t="n">
        <v>-411374</v>
      </c>
      <c r="N30" s="112" t="n">
        <v>-487234</v>
      </c>
      <c r="P30" s="112" t="n">
        <f aca="false">ABS(D30)/$P$3</f>
        <v>317.162</v>
      </c>
      <c r="Q30" s="112" t="n">
        <f aca="false">ABS(E30)/$P$3</f>
        <v>0</v>
      </c>
      <c r="R30" s="112" t="n">
        <f aca="false">ABS(F30)/$P$3</f>
        <v>400.911</v>
      </c>
      <c r="S30" s="112" t="n">
        <f aca="false">ABS(G30)/$P$3</f>
        <v>17.091</v>
      </c>
      <c r="T30" s="112" t="n">
        <f aca="false">ABS(H30)/$P$3</f>
        <v>47.376</v>
      </c>
      <c r="U30" s="112" t="n">
        <f aca="false">ABS(I30)/$P$3</f>
        <v>527.87</v>
      </c>
      <c r="V30" s="112" t="n">
        <f aca="false">ABS(J30)/$P$3</f>
        <v>48.847</v>
      </c>
      <c r="W30" s="112" t="n">
        <f aca="false">ABS(K30)/$P$3</f>
        <v>302.933</v>
      </c>
      <c r="X30" s="112" t="n">
        <f aca="false">ABS(L30)/$P$3</f>
        <v>0</v>
      </c>
      <c r="Y30" s="112" t="n">
        <f aca="false">ABS(M30)/$P$3</f>
        <v>411.374</v>
      </c>
      <c r="Z30" s="112" t="n">
        <f aca="false">ABS(N30)/$P$3</f>
        <v>487.234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Data'!$A$2:$B$8,MATCH(WEEKDAY('RAC V@r Total'!A31,3),'Master Data'!$A$2:$A$8,0),2)</f>
        <v>F</v>
      </c>
      <c r="D31" s="112" t="n">
        <v>-318051</v>
      </c>
      <c r="E31" s="112" t="n">
        <v>0</v>
      </c>
      <c r="F31" s="112" t="n">
        <v>-401044</v>
      </c>
      <c r="G31" s="112" t="n">
        <v>-16272</v>
      </c>
      <c r="H31" s="112" t="n">
        <v>-47374</v>
      </c>
      <c r="I31" s="112" t="n">
        <v>-529089</v>
      </c>
      <c r="J31" s="112" t="n">
        <v>-48705</v>
      </c>
      <c r="K31" s="112" t="n">
        <v>-304457</v>
      </c>
      <c r="L31" s="112" t="n">
        <v>0</v>
      </c>
      <c r="M31" s="112" t="n">
        <v>-412923</v>
      </c>
      <c r="N31" s="112" t="n">
        <v>-489865</v>
      </c>
      <c r="P31" s="112" t="n">
        <f aca="false">ABS(D31)/$P$3</f>
        <v>318.051</v>
      </c>
      <c r="Q31" s="112" t="n">
        <f aca="false">ABS(E31)/$P$3</f>
        <v>0</v>
      </c>
      <c r="R31" s="112" t="n">
        <f aca="false">ABS(F31)/$P$3</f>
        <v>401.044</v>
      </c>
      <c r="S31" s="112" t="n">
        <f aca="false">ABS(G31)/$P$3</f>
        <v>16.272</v>
      </c>
      <c r="T31" s="112" t="n">
        <f aca="false">ABS(H31)/$P$3</f>
        <v>47.374</v>
      </c>
      <c r="U31" s="112" t="n">
        <f aca="false">ABS(I31)/$P$3</f>
        <v>529.089</v>
      </c>
      <c r="V31" s="112" t="n">
        <f aca="false">ABS(J31)/$P$3</f>
        <v>48.705</v>
      </c>
      <c r="W31" s="112" t="n">
        <f aca="false">ABS(K31)/$P$3</f>
        <v>304.457</v>
      </c>
      <c r="X31" s="112" t="n">
        <f aca="false">ABS(L31)/$P$3</f>
        <v>0</v>
      </c>
      <c r="Y31" s="112" t="n">
        <f aca="false">ABS(M31)/$P$3</f>
        <v>412.923</v>
      </c>
      <c r="Z31" s="112" t="n">
        <f aca="false">ABS(N31)/$P$3</f>
        <v>489.865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Data'!$A$2:$B$8,MATCH(WEEKDAY('RAC V@r Total'!A32,3),'Master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H32" s="112" t="n">
        <v>0</v>
      </c>
      <c r="I32" s="112" t="n">
        <v>0</v>
      </c>
      <c r="J32" s="112" t="n">
        <v>0</v>
      </c>
      <c r="K32" s="112" t="n">
        <v>0</v>
      </c>
      <c r="L32" s="112" t="n">
        <v>0</v>
      </c>
      <c r="M32" s="112" t="n">
        <v>0</v>
      </c>
      <c r="N32" s="112" t="n">
        <v>0</v>
      </c>
      <c r="P32" s="112" t="n">
        <f aca="false">ABS(D32)/$P$3</f>
        <v>0</v>
      </c>
      <c r="Q32" s="112" t="n">
        <f aca="false">ABS(E32)/$P$3</f>
        <v>0</v>
      </c>
      <c r="R32" s="112" t="n">
        <f aca="false">ABS(F32)/$P$3</f>
        <v>0</v>
      </c>
      <c r="S32" s="112" t="n">
        <f aca="false">ABS(G32)/$P$3</f>
        <v>0</v>
      </c>
      <c r="T32" s="112" t="n">
        <f aca="false">ABS(H32)/$P$3</f>
        <v>0</v>
      </c>
      <c r="U32" s="112" t="n">
        <f aca="false">ABS(I32)/$P$3</f>
        <v>0</v>
      </c>
      <c r="V32" s="112" t="n">
        <f aca="false">ABS(J32)/$P$3</f>
        <v>0</v>
      </c>
      <c r="W32" s="112" t="n">
        <f aca="false">ABS(K32)/$P$3</f>
        <v>0</v>
      </c>
      <c r="X32" s="112" t="n">
        <f aca="false">ABS(L32)/$P$3</f>
        <v>0</v>
      </c>
      <c r="Y32" s="112" t="n">
        <f aca="false">ABS(M32)/$P$3</f>
        <v>0</v>
      </c>
      <c r="Z32" s="112" t="n">
        <f aca="false">ABS(N32)/$P$3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Data'!$A$2:$B$8,MATCH(WEEKDAY('RAC V@r Total'!A33,3),'Master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H33" s="112" t="n">
        <v>0</v>
      </c>
      <c r="I33" s="112" t="n">
        <v>0</v>
      </c>
      <c r="J33" s="112" t="n">
        <v>0</v>
      </c>
      <c r="K33" s="112" t="n">
        <v>0</v>
      </c>
      <c r="L33" s="112" t="n">
        <v>0</v>
      </c>
      <c r="M33" s="112" t="n">
        <v>0</v>
      </c>
      <c r="N33" s="112" t="n">
        <v>0</v>
      </c>
      <c r="P33" s="112" t="n">
        <f aca="false">ABS(D33)/$P$3</f>
        <v>0</v>
      </c>
      <c r="Q33" s="112" t="n">
        <f aca="false">ABS(E33)/$P$3</f>
        <v>0</v>
      </c>
      <c r="R33" s="112" t="n">
        <f aca="false">ABS(F33)/$P$3</f>
        <v>0</v>
      </c>
      <c r="S33" s="112" t="n">
        <f aca="false">ABS(G33)/$P$3</f>
        <v>0</v>
      </c>
      <c r="T33" s="112" t="n">
        <f aca="false">ABS(H33)/$P$3</f>
        <v>0</v>
      </c>
      <c r="U33" s="112" t="n">
        <f aca="false">ABS(I33)/$P$3</f>
        <v>0</v>
      </c>
      <c r="V33" s="112" t="n">
        <f aca="false">ABS(J33)/$P$3</f>
        <v>0</v>
      </c>
      <c r="W33" s="112" t="n">
        <f aca="false">ABS(K33)/$P$3</f>
        <v>0</v>
      </c>
      <c r="X33" s="112" t="n">
        <f aca="false">ABS(L33)/$P$3</f>
        <v>0</v>
      </c>
      <c r="Y33" s="112" t="n">
        <f aca="false">ABS(M33)/$P$3</f>
        <v>0</v>
      </c>
      <c r="Z33" s="112" t="n">
        <f aca="false">ABS(N33)/$P$3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Data'!$A$2:$B$8,MATCH(WEEKDAY('RAC V@r Total'!A34,3),'Master Data'!$A$2:$A$8,0),2)</f>
        <v>M</v>
      </c>
      <c r="D34" s="112" t="n">
        <v>-318542</v>
      </c>
      <c r="E34" s="112" t="n">
        <v>0</v>
      </c>
      <c r="F34" s="112" t="n">
        <v>-401405</v>
      </c>
      <c r="G34" s="112" t="n">
        <v>-13931</v>
      </c>
      <c r="H34" s="112" t="n">
        <v>-47356</v>
      </c>
      <c r="I34" s="112" t="n">
        <v>-529837</v>
      </c>
      <c r="J34" s="112" t="n">
        <v>-47494</v>
      </c>
      <c r="K34" s="112" t="n">
        <v>-307411</v>
      </c>
      <c r="L34" s="112" t="n">
        <v>0</v>
      </c>
      <c r="M34" s="112" t="n">
        <v>-405725</v>
      </c>
      <c r="N34" s="112" t="n">
        <v>-494235</v>
      </c>
      <c r="P34" s="112" t="n">
        <f aca="false">ABS(D34)/$P$3</f>
        <v>318.542</v>
      </c>
      <c r="Q34" s="112" t="n">
        <f aca="false">ABS(E34)/$P$3</f>
        <v>0</v>
      </c>
      <c r="R34" s="112" t="n">
        <f aca="false">ABS(F34)/$P$3</f>
        <v>401.405</v>
      </c>
      <c r="S34" s="112" t="n">
        <f aca="false">ABS(G34)/$P$3</f>
        <v>13.931</v>
      </c>
      <c r="T34" s="112" t="n">
        <f aca="false">ABS(H34)/$P$3</f>
        <v>47.356</v>
      </c>
      <c r="U34" s="112" t="n">
        <f aca="false">ABS(I34)/$P$3</f>
        <v>529.837</v>
      </c>
      <c r="V34" s="112" t="n">
        <f aca="false">ABS(J34)/$P$3</f>
        <v>47.494</v>
      </c>
      <c r="W34" s="112" t="n">
        <f aca="false">ABS(K34)/$P$3</f>
        <v>307.411</v>
      </c>
      <c r="X34" s="112" t="n">
        <f aca="false">ABS(L34)/$P$3</f>
        <v>0</v>
      </c>
      <c r="Y34" s="112" t="n">
        <f aca="false">ABS(M34)/$P$3</f>
        <v>405.725</v>
      </c>
      <c r="Z34" s="112" t="n">
        <f aca="false">ABS(N34)/$P$3</f>
        <v>494.235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Data'!$A$2:$B$8,MATCH(WEEKDAY('RAC V@r Total'!A35,3),'Master Data'!$A$2:$A$8,0),2)</f>
        <v>T</v>
      </c>
      <c r="D35" s="112" t="n">
        <v>-317253</v>
      </c>
      <c r="E35" s="112" t="n">
        <v>0</v>
      </c>
      <c r="F35" s="112" t="n">
        <v>-406758</v>
      </c>
      <c r="G35" s="112" t="n">
        <v>-12991</v>
      </c>
      <c r="H35" s="112" t="n">
        <v>-47632</v>
      </c>
      <c r="I35" s="112" t="n">
        <v>-533541</v>
      </c>
      <c r="J35" s="112" t="n">
        <v>-47748</v>
      </c>
      <c r="K35" s="112" t="n">
        <v>-306225</v>
      </c>
      <c r="L35" s="112" t="n">
        <v>0</v>
      </c>
      <c r="M35" s="112" t="n">
        <v>-409300</v>
      </c>
      <c r="N35" s="112" t="n">
        <v>-493785</v>
      </c>
      <c r="P35" s="112" t="n">
        <f aca="false">ABS(D35)/$P$3</f>
        <v>317.253</v>
      </c>
      <c r="Q35" s="112" t="n">
        <f aca="false">ABS(E35)/$P$3</f>
        <v>0</v>
      </c>
      <c r="R35" s="112" t="n">
        <f aca="false">ABS(F35)/$P$3</f>
        <v>406.758</v>
      </c>
      <c r="S35" s="112" t="n">
        <f aca="false">ABS(G35)/$P$3</f>
        <v>12.991</v>
      </c>
      <c r="T35" s="112" t="n">
        <f aca="false">ABS(H35)/$P$3</f>
        <v>47.632</v>
      </c>
      <c r="U35" s="112" t="n">
        <f aca="false">ABS(I35)/$P$3</f>
        <v>533.541</v>
      </c>
      <c r="V35" s="112" t="n">
        <f aca="false">ABS(J35)/$P$3</f>
        <v>47.748</v>
      </c>
      <c r="W35" s="112" t="n">
        <f aca="false">ABS(K35)/$P$3</f>
        <v>306.225</v>
      </c>
      <c r="X35" s="112" t="n">
        <f aca="false">ABS(L35)/$P$3</f>
        <v>0</v>
      </c>
      <c r="Y35" s="112" t="n">
        <f aca="false">ABS(M35)/$P$3</f>
        <v>409.3</v>
      </c>
      <c r="Z35" s="112" t="n">
        <f aca="false">ABS(N35)/$P$3</f>
        <v>493.785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Data'!$A$2:$B$8,MATCH(WEEKDAY('RAC V@r Total'!A36,3),'Master Data'!$A$2:$A$8,0),2)</f>
        <v>W</v>
      </c>
      <c r="D36" s="112" t="n">
        <v>-317416</v>
      </c>
      <c r="E36" s="112" t="n">
        <v>0</v>
      </c>
      <c r="F36" s="112" t="n">
        <v>-413552</v>
      </c>
      <c r="G36" s="112" t="n">
        <v>-12158</v>
      </c>
      <c r="H36" s="112" t="n">
        <v>-46629</v>
      </c>
      <c r="I36" s="112" t="n">
        <v>-536653</v>
      </c>
      <c r="J36" s="112" t="n">
        <v>-45922</v>
      </c>
      <c r="K36" s="112" t="n">
        <v>-306459</v>
      </c>
      <c r="L36" s="112" t="n">
        <v>0</v>
      </c>
      <c r="M36" s="112" t="n">
        <v>-410004</v>
      </c>
      <c r="N36" s="112" t="n">
        <v>-495223</v>
      </c>
      <c r="P36" s="112" t="n">
        <f aca="false">ABS(D36)/$P$3</f>
        <v>317.416</v>
      </c>
      <c r="Q36" s="112" t="n">
        <f aca="false">ABS(E36)/$P$3</f>
        <v>0</v>
      </c>
      <c r="R36" s="112" t="n">
        <f aca="false">ABS(F36)/$P$3</f>
        <v>413.552</v>
      </c>
      <c r="S36" s="112" t="n">
        <f aca="false">ABS(G36)/$P$3</f>
        <v>12.158</v>
      </c>
      <c r="T36" s="112" t="n">
        <f aca="false">ABS(H36)/$P$3</f>
        <v>46.629</v>
      </c>
      <c r="U36" s="112" t="n">
        <f aca="false">ABS(I36)/$P$3</f>
        <v>536.653</v>
      </c>
      <c r="V36" s="112" t="n">
        <f aca="false">ABS(J36)/$P$3</f>
        <v>45.922</v>
      </c>
      <c r="W36" s="112" t="n">
        <f aca="false">ABS(K36)/$P$3</f>
        <v>306.459</v>
      </c>
      <c r="X36" s="112" t="n">
        <f aca="false">ABS(L36)/$P$3</f>
        <v>0</v>
      </c>
      <c r="Y36" s="112" t="n">
        <f aca="false">ABS(M36)/$P$3</f>
        <v>410.004</v>
      </c>
      <c r="Z36" s="112" t="n">
        <f aca="false">ABS(N36)/$P$3</f>
        <v>495.223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Data'!$A$2:$B$8,MATCH(WEEKDAY('RAC V@r Total'!A37,3),'Master Data'!$A$2:$A$8,0),2)</f>
        <v>Th</v>
      </c>
      <c r="D37" s="112" t="n">
        <v>-330919</v>
      </c>
      <c r="E37" s="112" t="n">
        <v>0</v>
      </c>
      <c r="F37" s="112" t="n">
        <v>-413490</v>
      </c>
      <c r="G37" s="112" t="n">
        <v>-12076</v>
      </c>
      <c r="H37" s="112" t="n">
        <v>-46301</v>
      </c>
      <c r="I37" s="112" t="n">
        <v>-548445</v>
      </c>
      <c r="J37" s="112" t="n">
        <v>-46605</v>
      </c>
      <c r="K37" s="112" t="n">
        <v>-321281</v>
      </c>
      <c r="L37" s="112" t="n">
        <v>0</v>
      </c>
      <c r="M37" s="112" t="n">
        <v>-424060</v>
      </c>
      <c r="N37" s="112" t="n">
        <v>-516463</v>
      </c>
      <c r="P37" s="112" t="n">
        <f aca="false">ABS(D37)/$P$3</f>
        <v>330.919</v>
      </c>
      <c r="Q37" s="112" t="n">
        <f aca="false">ABS(E37)/$P$3</f>
        <v>0</v>
      </c>
      <c r="R37" s="112" t="n">
        <f aca="false">ABS(F37)/$P$3</f>
        <v>413.49</v>
      </c>
      <c r="S37" s="112" t="n">
        <f aca="false">ABS(G37)/$P$3</f>
        <v>12.076</v>
      </c>
      <c r="T37" s="112" t="n">
        <f aca="false">ABS(H37)/$P$3</f>
        <v>46.301</v>
      </c>
      <c r="U37" s="112" t="n">
        <f aca="false">ABS(I37)/$P$3</f>
        <v>548.445</v>
      </c>
      <c r="V37" s="112" t="n">
        <f aca="false">ABS(J37)/$P$3</f>
        <v>46.605</v>
      </c>
      <c r="W37" s="112" t="n">
        <f aca="false">ABS(K37)/$P$3</f>
        <v>321.281</v>
      </c>
      <c r="X37" s="112" t="n">
        <f aca="false">ABS(L37)/$P$3</f>
        <v>0</v>
      </c>
      <c r="Y37" s="112" t="n">
        <f aca="false">ABS(M37)/$P$3</f>
        <v>424.06</v>
      </c>
      <c r="Z37" s="112" t="n">
        <f aca="false">ABS(N37)/$P$3</f>
        <v>516.463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Data'!$A$2:$B$8,MATCH(WEEKDAY('RAC V@r Total'!A38,3),'Master Data'!$A$2:$A$8,0),2)</f>
        <v>F</v>
      </c>
      <c r="D38" s="112" t="n">
        <v>-334423</v>
      </c>
      <c r="E38" s="112" t="n">
        <v>0</v>
      </c>
      <c r="F38" s="112" t="n">
        <v>-613823</v>
      </c>
      <c r="G38" s="112" t="n">
        <v>-12017</v>
      </c>
      <c r="H38" s="112" t="n">
        <v>-46043</v>
      </c>
      <c r="I38" s="112" t="n">
        <v>-720969</v>
      </c>
      <c r="J38" s="112" t="n">
        <v>-46361</v>
      </c>
      <c r="K38" s="112" t="n">
        <v>-325346</v>
      </c>
      <c r="L38" s="112" t="n">
        <v>0</v>
      </c>
      <c r="M38" s="112" t="n">
        <v>-421119</v>
      </c>
      <c r="N38" s="112" t="n">
        <f aca="false">-683512+182978</f>
        <v>-500534</v>
      </c>
      <c r="P38" s="112" t="n">
        <f aca="false">ABS(D38)/$P$3</f>
        <v>334.423</v>
      </c>
      <c r="Q38" s="112" t="n">
        <f aca="false">ABS(E38)/$P$3</f>
        <v>0</v>
      </c>
      <c r="R38" s="112" t="n">
        <f aca="false">ABS(F38)/$P$3</f>
        <v>613.823</v>
      </c>
      <c r="S38" s="112" t="n">
        <f aca="false">ABS(G38)/$P$3</f>
        <v>12.017</v>
      </c>
      <c r="T38" s="112" t="n">
        <f aca="false">ABS(H38)/$P$3</f>
        <v>46.043</v>
      </c>
      <c r="U38" s="112" t="n">
        <f aca="false">ABS(I38)/$P$3</f>
        <v>720.969</v>
      </c>
      <c r="V38" s="112" t="n">
        <f aca="false">ABS(J38)/$P$3</f>
        <v>46.361</v>
      </c>
      <c r="W38" s="112" t="n">
        <f aca="false">ABS(K38)/$P$3</f>
        <v>325.346</v>
      </c>
      <c r="X38" s="112" t="n">
        <f aca="false">ABS(L38)/$P$3</f>
        <v>0</v>
      </c>
      <c r="Y38" s="112" t="n">
        <f aca="false">ABS(M38)/$P$3</f>
        <v>421.119</v>
      </c>
      <c r="Z38" s="112" t="n">
        <f aca="false">ABS(N38)/$P$3</f>
        <v>500.534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Data'!$A$2:$B$8,MATCH(WEEKDAY('RAC V@r Total'!A39,3),'Master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H39" s="112" t="n">
        <v>0</v>
      </c>
      <c r="I39" s="112" t="n">
        <v>0</v>
      </c>
      <c r="J39" s="112" t="n">
        <v>0</v>
      </c>
      <c r="K39" s="112" t="n">
        <v>0</v>
      </c>
      <c r="L39" s="112" t="n">
        <v>0</v>
      </c>
      <c r="M39" s="112" t="n">
        <v>0</v>
      </c>
      <c r="N39" s="112" t="n">
        <v>0</v>
      </c>
      <c r="P39" s="112" t="n">
        <f aca="false">ABS(D39)/$P$3</f>
        <v>0</v>
      </c>
      <c r="Q39" s="112" t="n">
        <f aca="false">ABS(E39)/$P$3</f>
        <v>0</v>
      </c>
      <c r="R39" s="112" t="n">
        <f aca="false">ABS(F39)/$P$3</f>
        <v>0</v>
      </c>
      <c r="S39" s="112" t="n">
        <f aca="false">ABS(G39)/$P$3</f>
        <v>0</v>
      </c>
      <c r="T39" s="112" t="n">
        <f aca="false">ABS(H39)/$P$3</f>
        <v>0</v>
      </c>
      <c r="U39" s="112" t="n">
        <f aca="false">ABS(I39)/$P$3</f>
        <v>0</v>
      </c>
      <c r="V39" s="112" t="n">
        <f aca="false">ABS(J39)/$P$3</f>
        <v>0</v>
      </c>
      <c r="W39" s="112" t="n">
        <f aca="false">ABS(K39)/$P$3</f>
        <v>0</v>
      </c>
      <c r="X39" s="112" t="n">
        <f aca="false">ABS(L39)/$P$3</f>
        <v>0</v>
      </c>
      <c r="Y39" s="112" t="n">
        <f aca="false">ABS(M39)/$P$3</f>
        <v>0</v>
      </c>
      <c r="Z39" s="112" t="n">
        <f aca="false">ABS(N39)/$P$3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Data'!$A$2:$B$8,MATCH(WEEKDAY('RAC V@r Total'!A40,3),'Master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H40" s="112" t="n">
        <v>0</v>
      </c>
      <c r="I40" s="112" t="n">
        <v>0</v>
      </c>
      <c r="J40" s="112" t="n">
        <v>0</v>
      </c>
      <c r="K40" s="112" t="n">
        <v>0</v>
      </c>
      <c r="L40" s="112" t="n">
        <v>0</v>
      </c>
      <c r="M40" s="112" t="n">
        <v>0</v>
      </c>
      <c r="N40" s="112" t="n">
        <v>0</v>
      </c>
      <c r="P40" s="112" t="n">
        <f aca="false">ABS(D40)/$P$3</f>
        <v>0</v>
      </c>
      <c r="Q40" s="112" t="n">
        <f aca="false">ABS(E40)/$P$3</f>
        <v>0</v>
      </c>
      <c r="R40" s="112" t="n">
        <f aca="false">ABS(F40)/$P$3</f>
        <v>0</v>
      </c>
      <c r="S40" s="112" t="n">
        <f aca="false">ABS(G40)/$P$3</f>
        <v>0</v>
      </c>
      <c r="T40" s="112" t="n">
        <f aca="false">ABS(H40)/$P$3</f>
        <v>0</v>
      </c>
      <c r="U40" s="112" t="n">
        <f aca="false">ABS(I40)/$P$3</f>
        <v>0</v>
      </c>
      <c r="V40" s="112" t="n">
        <f aca="false">ABS(J40)/$P$3</f>
        <v>0</v>
      </c>
      <c r="W40" s="112" t="n">
        <f aca="false">ABS(K40)/$P$3</f>
        <v>0</v>
      </c>
      <c r="X40" s="112" t="n">
        <f aca="false">ABS(L40)/$P$3</f>
        <v>0</v>
      </c>
      <c r="Y40" s="112" t="n">
        <f aca="false">ABS(M40)/$P$3</f>
        <v>0</v>
      </c>
      <c r="Z40" s="112" t="n">
        <f aca="false">ABS(N40)/$P$3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Data'!$A$2:$B$8,MATCH(WEEKDAY('RAC V@r Total'!A41,3),'Master Data'!$A$2:$A$8,0),2)</f>
        <v>M</v>
      </c>
      <c r="D41" s="112" t="n">
        <v>-334423</v>
      </c>
      <c r="E41" s="112" t="n">
        <v>0</v>
      </c>
      <c r="F41" s="112" t="n">
        <v>-409275</v>
      </c>
      <c r="G41" s="112" t="n">
        <v>-11903</v>
      </c>
      <c r="H41" s="112" t="n">
        <v>-46005</v>
      </c>
      <c r="I41" s="112" t="n">
        <v>-447208</v>
      </c>
      <c r="J41" s="112" t="n">
        <v>-46406</v>
      </c>
      <c r="K41" s="112" t="n">
        <v>-325346</v>
      </c>
      <c r="L41" s="112" t="n">
        <v>0</v>
      </c>
      <c r="M41" s="112" t="n">
        <v>-421108</v>
      </c>
      <c r="N41" s="112" t="n">
        <v>-413692</v>
      </c>
      <c r="P41" s="112" t="n">
        <f aca="false">ABS(D41)/$P$3</f>
        <v>334.423</v>
      </c>
      <c r="Q41" s="112" t="n">
        <f aca="false">ABS(E41)/$P$3</f>
        <v>0</v>
      </c>
      <c r="R41" s="112" t="n">
        <f aca="false">ABS(F41)/$P$3</f>
        <v>409.275</v>
      </c>
      <c r="S41" s="112" t="n">
        <f aca="false">ABS(G41)/$P$3</f>
        <v>11.903</v>
      </c>
      <c r="T41" s="112" t="n">
        <f aca="false">ABS(H41)/$P$3</f>
        <v>46.005</v>
      </c>
      <c r="U41" s="112" t="n">
        <f aca="false">ABS(I41)/$P$3</f>
        <v>447.208</v>
      </c>
      <c r="V41" s="112" t="n">
        <f aca="false">ABS(J41)/$P$3</f>
        <v>46.406</v>
      </c>
      <c r="W41" s="112" t="n">
        <f aca="false">ABS(K41)/$P$3</f>
        <v>325.346</v>
      </c>
      <c r="X41" s="112" t="n">
        <f aca="false">ABS(L41)/$P$3</f>
        <v>0</v>
      </c>
      <c r="Y41" s="112" t="n">
        <f aca="false">ABS(M41)/$P$3</f>
        <v>421.108</v>
      </c>
      <c r="Z41" s="112" t="n">
        <f aca="false">ABS(N41)/$P$3</f>
        <v>413.692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Data'!$A$2:$B$8,MATCH(WEEKDAY('RAC V@r Total'!A42,3),'Master Data'!$A$2:$A$8,0),2)</f>
        <v>T</v>
      </c>
      <c r="D42" s="112" t="n">
        <v>-336724</v>
      </c>
      <c r="E42" s="112" t="n">
        <v>0</v>
      </c>
      <c r="F42" s="112" t="n">
        <v>-407280</v>
      </c>
      <c r="G42" s="112" t="n">
        <v>-11844</v>
      </c>
      <c r="H42" s="112" t="n">
        <v>-46011</v>
      </c>
      <c r="I42" s="112" t="n">
        <v>-551181</v>
      </c>
      <c r="J42" s="112" t="n">
        <v>-46553</v>
      </c>
      <c r="K42" s="112" t="n">
        <v>-327630</v>
      </c>
      <c r="L42" s="112" t="n">
        <v>0</v>
      </c>
      <c r="M42" s="112" t="n">
        <v>-419122</v>
      </c>
      <c r="N42" s="112" t="n">
        <v>-513581</v>
      </c>
      <c r="P42" s="112" t="n">
        <f aca="false">ABS(D42)/$P$3</f>
        <v>336.724</v>
      </c>
      <c r="Q42" s="112" t="n">
        <f aca="false">ABS(E42)/$P$3</f>
        <v>0</v>
      </c>
      <c r="R42" s="112" t="n">
        <f aca="false">ABS(F42)/$P$3</f>
        <v>407.28</v>
      </c>
      <c r="S42" s="112" t="n">
        <f aca="false">ABS(G42)/$P$3</f>
        <v>11.844</v>
      </c>
      <c r="T42" s="112" t="n">
        <f aca="false">ABS(H42)/$P$3</f>
        <v>46.011</v>
      </c>
      <c r="U42" s="112" t="n">
        <f aca="false">ABS(I42)/$P$3</f>
        <v>551.181</v>
      </c>
      <c r="V42" s="112" t="n">
        <f aca="false">ABS(J42)/$P$3</f>
        <v>46.553</v>
      </c>
      <c r="W42" s="112" t="n">
        <f aca="false">ABS(K42)/$P$3</f>
        <v>327.63</v>
      </c>
      <c r="X42" s="112" t="n">
        <f aca="false">ABS(L42)/$P$3</f>
        <v>0</v>
      </c>
      <c r="Y42" s="112" t="n">
        <f aca="false">ABS(M42)/$P$3</f>
        <v>419.122</v>
      </c>
      <c r="Z42" s="112" t="n">
        <f aca="false">ABS(N42)/$P$3</f>
        <v>513.581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Data'!$A$2:$B$8,MATCH(WEEKDAY('RAC V@r Total'!A43,3),'Master Data'!$A$2:$A$8,0),2)</f>
        <v>W</v>
      </c>
      <c r="D43" s="112" t="n">
        <v>-336338</v>
      </c>
      <c r="E43" s="112" t="n">
        <v>0</v>
      </c>
      <c r="F43" s="112" t="n">
        <v>-409549</v>
      </c>
      <c r="G43" s="112" t="n">
        <v>-11794</v>
      </c>
      <c r="H43" s="112" t="n">
        <v>-46225</v>
      </c>
      <c r="I43" s="112" t="n">
        <v>-551373</v>
      </c>
      <c r="J43" s="112" t="n">
        <v>-46818</v>
      </c>
      <c r="K43" s="112" t="n">
        <v>-327252</v>
      </c>
      <c r="L43" s="112" t="n">
        <v>0</v>
      </c>
      <c r="M43" s="112" t="n">
        <v>-428771</v>
      </c>
      <c r="N43" s="112" t="n">
        <v>-515743</v>
      </c>
      <c r="P43" s="112" t="n">
        <f aca="false">ABS(D43)/$P$3</f>
        <v>336.338</v>
      </c>
      <c r="Q43" s="112" t="n">
        <f aca="false">ABS(E43)/$P$3</f>
        <v>0</v>
      </c>
      <c r="R43" s="112" t="n">
        <f aca="false">ABS(F43)/$P$3</f>
        <v>409.549</v>
      </c>
      <c r="S43" s="112" t="n">
        <f aca="false">ABS(G43)/$P$3</f>
        <v>11.794</v>
      </c>
      <c r="T43" s="112" t="n">
        <f aca="false">ABS(H43)/$P$3</f>
        <v>46.225</v>
      </c>
      <c r="U43" s="112" t="n">
        <f aca="false">ABS(I43)/$P$3</f>
        <v>551.373</v>
      </c>
      <c r="V43" s="112" t="n">
        <f aca="false">ABS(J43)/$P$3</f>
        <v>46.818</v>
      </c>
      <c r="W43" s="112" t="n">
        <f aca="false">ABS(K43)/$P$3</f>
        <v>327.252</v>
      </c>
      <c r="X43" s="112" t="n">
        <f aca="false">ABS(L43)/$P$3</f>
        <v>0</v>
      </c>
      <c r="Y43" s="112" t="n">
        <f aca="false">ABS(M43)/$P$3</f>
        <v>428.771</v>
      </c>
      <c r="Z43" s="112" t="n">
        <f aca="false">ABS(N43)/$P$3</f>
        <v>515.743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Data'!$A$2:$B$8,MATCH(WEEKDAY('RAC V@r Total'!A44,3),'Master Data'!$A$2:$A$8,0),2)</f>
        <v>Th</v>
      </c>
      <c r="D44" s="112" t="n">
        <v>-336528</v>
      </c>
      <c r="E44" s="112" t="n">
        <v>0</v>
      </c>
      <c r="F44" s="112" t="n">
        <v>-409856</v>
      </c>
      <c r="G44" s="112" t="n">
        <v>-11745</v>
      </c>
      <c r="H44" s="112" t="n">
        <v>-46175</v>
      </c>
      <c r="I44" s="112" t="n">
        <v>-551682</v>
      </c>
      <c r="J44" s="112" t="n">
        <v>-46793</v>
      </c>
      <c r="K44" s="112" t="n">
        <v>-327442</v>
      </c>
      <c r="L44" s="112" t="n">
        <v>0</v>
      </c>
      <c r="M44" s="112" t="n">
        <v>-429553</v>
      </c>
      <c r="N44" s="112" t="n">
        <v>-516081</v>
      </c>
      <c r="P44" s="112" t="n">
        <f aca="false">ABS(D44)/$P$3</f>
        <v>336.528</v>
      </c>
      <c r="Q44" s="112" t="n">
        <f aca="false">ABS(E44)/$P$3</f>
        <v>0</v>
      </c>
      <c r="R44" s="112" t="n">
        <f aca="false">ABS(F44)/$P$3</f>
        <v>409.856</v>
      </c>
      <c r="S44" s="112" t="n">
        <f aca="false">ABS(G44)/$P$3</f>
        <v>11.745</v>
      </c>
      <c r="T44" s="112" t="n">
        <f aca="false">ABS(H44)/$P$3</f>
        <v>46.175</v>
      </c>
      <c r="U44" s="112" t="n">
        <f aca="false">ABS(I44)/$P$3</f>
        <v>551.682</v>
      </c>
      <c r="V44" s="112" t="n">
        <f aca="false">ABS(J44)/$P$3</f>
        <v>46.793</v>
      </c>
      <c r="W44" s="112" t="n">
        <f aca="false">ABS(K44)/$P$3</f>
        <v>327.442</v>
      </c>
      <c r="X44" s="112" t="n">
        <f aca="false">ABS(L44)/$P$3</f>
        <v>0</v>
      </c>
      <c r="Y44" s="112" t="n">
        <f aca="false">ABS(M44)/$P$3</f>
        <v>429.553</v>
      </c>
      <c r="Z44" s="112" t="n">
        <f aca="false">ABS(N44)/$P$3</f>
        <v>516.081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Data'!$A$2:$B$8,MATCH(WEEKDAY('RAC V@r Total'!A45,3),'Master Data'!$A$2:$A$8,0),2)</f>
        <v>F</v>
      </c>
      <c r="D45" s="112" t="n">
        <v>-1998304</v>
      </c>
      <c r="E45" s="112" t="n">
        <v>0</v>
      </c>
      <c r="F45" s="112" t="n">
        <v>-413241</v>
      </c>
      <c r="G45" s="112" t="n">
        <v>-11631</v>
      </c>
      <c r="H45" s="112" t="n">
        <v>-46352</v>
      </c>
      <c r="I45" s="112" t="n">
        <v>-2037856</v>
      </c>
      <c r="J45" s="112" t="n">
        <v>-46875</v>
      </c>
      <c r="K45" s="112" t="n">
        <v>-1991088</v>
      </c>
      <c r="L45" s="112" t="n">
        <v>0</v>
      </c>
      <c r="M45" s="112" t="n">
        <v>-431069</v>
      </c>
      <c r="N45" s="112" t="n">
        <v>-2026168</v>
      </c>
      <c r="P45" s="112" t="n">
        <f aca="false">ABS(D45)/$P$3</f>
        <v>1998.304</v>
      </c>
      <c r="Q45" s="112" t="n">
        <f aca="false">ABS(E45)/$P$3</f>
        <v>0</v>
      </c>
      <c r="R45" s="112" t="n">
        <f aca="false">ABS(F45)/$P$3</f>
        <v>413.241</v>
      </c>
      <c r="S45" s="112" t="n">
        <f aca="false">ABS(G45)/$P$3</f>
        <v>11.631</v>
      </c>
      <c r="T45" s="112" t="n">
        <f aca="false">ABS(H45)/$P$3</f>
        <v>46.352</v>
      </c>
      <c r="U45" s="112" t="n">
        <f aca="false">ABS(I45)/$P$3</f>
        <v>2037.856</v>
      </c>
      <c r="V45" s="112" t="n">
        <f aca="false">ABS(J45)/$P$3</f>
        <v>46.875</v>
      </c>
      <c r="W45" s="112" t="n">
        <f aca="false">ABS(K45)/$P$3</f>
        <v>1991.088</v>
      </c>
      <c r="X45" s="112" t="n">
        <f aca="false">ABS(L45)/$P$3</f>
        <v>0</v>
      </c>
      <c r="Y45" s="112" t="n">
        <f aca="false">ABS(M45)/$P$3</f>
        <v>431.069</v>
      </c>
      <c r="Z45" s="112" t="n">
        <f aca="false">ABS(N45)/$P$3</f>
        <v>2026.168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Data'!$A$2:$B$8,MATCH(WEEKDAY('RAC V@r Total'!A46,3),'Master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H46" s="112" t="n">
        <v>0</v>
      </c>
      <c r="I46" s="112" t="n">
        <v>0</v>
      </c>
      <c r="J46" s="112" t="n">
        <v>0</v>
      </c>
      <c r="K46" s="112" t="n">
        <v>0</v>
      </c>
      <c r="L46" s="112" t="n">
        <v>0</v>
      </c>
      <c r="M46" s="112" t="n">
        <v>0</v>
      </c>
      <c r="N46" s="112" t="n">
        <v>0</v>
      </c>
      <c r="P46" s="112" t="n">
        <f aca="false">ABS(D46)/$P$3</f>
        <v>0</v>
      </c>
      <c r="Q46" s="112" t="n">
        <f aca="false">ABS(E46)/$P$3</f>
        <v>0</v>
      </c>
      <c r="R46" s="112" t="n">
        <f aca="false">ABS(F46)/$P$3</f>
        <v>0</v>
      </c>
      <c r="S46" s="112" t="n">
        <f aca="false">ABS(G46)/$P$3</f>
        <v>0</v>
      </c>
      <c r="T46" s="112" t="n">
        <f aca="false">ABS(H46)/$P$3</f>
        <v>0</v>
      </c>
      <c r="U46" s="112" t="n">
        <f aca="false">ABS(I46)/$P$3</f>
        <v>0</v>
      </c>
      <c r="V46" s="112" t="n">
        <f aca="false">ABS(J46)/$P$3</f>
        <v>0</v>
      </c>
      <c r="W46" s="112" t="n">
        <f aca="false">ABS(K46)/$P$3</f>
        <v>0</v>
      </c>
      <c r="X46" s="112" t="n">
        <f aca="false">ABS(L46)/$P$3</f>
        <v>0</v>
      </c>
      <c r="Y46" s="112" t="n">
        <f aca="false">ABS(M46)/$P$3</f>
        <v>0</v>
      </c>
      <c r="Z46" s="112" t="n">
        <f aca="false">ABS(N46)/$P$3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Data'!$A$2:$B$8,MATCH(WEEKDAY('RAC V@r Total'!A47,3),'Master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H47" s="112" t="n">
        <v>0</v>
      </c>
      <c r="I47" s="112" t="n">
        <v>0</v>
      </c>
      <c r="J47" s="112" t="n">
        <v>0</v>
      </c>
      <c r="K47" s="112" t="n">
        <v>0</v>
      </c>
      <c r="L47" s="112" t="n">
        <v>0</v>
      </c>
      <c r="M47" s="112" t="n">
        <v>0</v>
      </c>
      <c r="N47" s="112" t="n">
        <v>0</v>
      </c>
      <c r="P47" s="112" t="n">
        <f aca="false">ABS(D47)/$P$3</f>
        <v>0</v>
      </c>
      <c r="Q47" s="112" t="n">
        <f aca="false">ABS(E47)/$P$3</f>
        <v>0</v>
      </c>
      <c r="R47" s="112" t="n">
        <f aca="false">ABS(F47)/$P$3</f>
        <v>0</v>
      </c>
      <c r="S47" s="112" t="n">
        <f aca="false">ABS(G47)/$P$3</f>
        <v>0</v>
      </c>
      <c r="T47" s="112" t="n">
        <f aca="false">ABS(H47)/$P$3</f>
        <v>0</v>
      </c>
      <c r="U47" s="112" t="n">
        <f aca="false">ABS(I47)/$P$3</f>
        <v>0</v>
      </c>
      <c r="V47" s="112" t="n">
        <f aca="false">ABS(J47)/$P$3</f>
        <v>0</v>
      </c>
      <c r="W47" s="112" t="n">
        <f aca="false">ABS(K47)/$P$3</f>
        <v>0</v>
      </c>
      <c r="X47" s="112" t="n">
        <f aca="false">ABS(L47)/$P$3</f>
        <v>0</v>
      </c>
      <c r="Y47" s="112" t="n">
        <f aca="false">ABS(M47)/$P$3</f>
        <v>0</v>
      </c>
      <c r="Z47" s="112" t="n">
        <f aca="false">ABS(N47)/$P$3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Data'!$A$2:$B$8,MATCH(WEEKDAY('RAC V@r Total'!A48,3),'Master Data'!$A$2:$A$8,0),2)</f>
        <v>M</v>
      </c>
      <c r="D48" s="112" t="n">
        <v>-2001504</v>
      </c>
      <c r="E48" s="112" t="n">
        <v>0</v>
      </c>
      <c r="F48" s="112" t="n">
        <v>-413800</v>
      </c>
      <c r="G48" s="112" t="n">
        <v>-11545</v>
      </c>
      <c r="H48" s="112" t="n">
        <v>-46193</v>
      </c>
      <c r="I48" s="112" t="n">
        <v>-2041358</v>
      </c>
      <c r="J48" s="112" t="n">
        <v>-46670</v>
      </c>
      <c r="K48" s="112" t="n">
        <v>-1994319</v>
      </c>
      <c r="L48" s="112" t="n">
        <v>0</v>
      </c>
      <c r="M48" s="112" t="n">
        <v>-433116</v>
      </c>
      <c r="N48" s="112" t="n">
        <v>-2029265</v>
      </c>
      <c r="P48" s="112" t="n">
        <f aca="false">ABS(D48)/$P$3</f>
        <v>2001.504</v>
      </c>
      <c r="Q48" s="112" t="n">
        <f aca="false">ABS(E48)/$P$3</f>
        <v>0</v>
      </c>
      <c r="R48" s="112" t="n">
        <f aca="false">ABS(F48)/$P$3</f>
        <v>413.8</v>
      </c>
      <c r="S48" s="112" t="n">
        <f aca="false">ABS(G48)/$P$3</f>
        <v>11.545</v>
      </c>
      <c r="T48" s="112" t="n">
        <f aca="false">ABS(H48)/$P$3</f>
        <v>46.193</v>
      </c>
      <c r="U48" s="112" t="n">
        <f aca="false">ABS(I48)/$P$3</f>
        <v>2041.358</v>
      </c>
      <c r="V48" s="112" t="n">
        <f aca="false">ABS(J48)/$P$3</f>
        <v>46.67</v>
      </c>
      <c r="W48" s="112" t="n">
        <f aca="false">ABS(K48)/$P$3</f>
        <v>1994.319</v>
      </c>
      <c r="X48" s="112" t="n">
        <f aca="false">ABS(L48)/$P$3</f>
        <v>0</v>
      </c>
      <c r="Y48" s="112" t="n">
        <f aca="false">ABS(M48)/$P$3</f>
        <v>433.116</v>
      </c>
      <c r="Z48" s="112" t="n">
        <f aca="false">ABS(N48)/$P$3</f>
        <v>2029.265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Data'!$A$2:$B$8,MATCH(WEEKDAY('RAC V@r Total'!A49,3),'Master Data'!$A$2:$A$8,0),2)</f>
        <v>T</v>
      </c>
      <c r="D49" s="112" t="n">
        <v>-2005044</v>
      </c>
      <c r="E49" s="112" t="n">
        <v>0</v>
      </c>
      <c r="F49" s="112" t="n">
        <v>-413172</v>
      </c>
      <c r="G49" s="112" t="n">
        <v>-11500</v>
      </c>
      <c r="H49" s="112" t="n">
        <v>-46269</v>
      </c>
      <c r="I49" s="112" t="n">
        <v>-2046200</v>
      </c>
      <c r="J49" s="112" t="n">
        <v>-46465</v>
      </c>
      <c r="K49" s="112" t="n">
        <v>-1997876</v>
      </c>
      <c r="L49" s="112" t="n">
        <v>0</v>
      </c>
      <c r="M49" s="112" t="n">
        <v>-430553</v>
      </c>
      <c r="N49" s="112" t="n">
        <v>-2032697</v>
      </c>
      <c r="P49" s="112" t="n">
        <f aca="false">ABS(D49)/$P$3</f>
        <v>2005.044</v>
      </c>
      <c r="Q49" s="112" t="n">
        <f aca="false">ABS(E49)/$P$3</f>
        <v>0</v>
      </c>
      <c r="R49" s="112" t="n">
        <f aca="false">ABS(F49)/$P$3</f>
        <v>413.172</v>
      </c>
      <c r="S49" s="112" t="n">
        <f aca="false">ABS(G49)/$P$3</f>
        <v>11.5</v>
      </c>
      <c r="T49" s="112" t="n">
        <f aca="false">ABS(H49)/$P$3</f>
        <v>46.269</v>
      </c>
      <c r="U49" s="112" t="n">
        <f aca="false">ABS(I49)/$P$3</f>
        <v>2046.2</v>
      </c>
      <c r="V49" s="112" t="n">
        <f aca="false">ABS(J49)/$P$3</f>
        <v>46.465</v>
      </c>
      <c r="W49" s="112" t="n">
        <f aca="false">ABS(K49)/$P$3</f>
        <v>1997.876</v>
      </c>
      <c r="X49" s="112" t="n">
        <f aca="false">ABS(L49)/$P$3</f>
        <v>0</v>
      </c>
      <c r="Y49" s="112" t="n">
        <f aca="false">ABS(M49)/$P$3</f>
        <v>430.553</v>
      </c>
      <c r="Z49" s="112" t="n">
        <f aca="false">ABS(N49)/$P$3</f>
        <v>2032.697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Data'!$A$2:$B$8,MATCH(WEEKDAY('RAC V@r Total'!A50,3),'Master Data'!$A$2:$A$8,0),2)</f>
        <v>W</v>
      </c>
      <c r="D50" s="112" t="n">
        <v>-2005044</v>
      </c>
      <c r="E50" s="112" t="n">
        <v>0</v>
      </c>
      <c r="F50" s="112" t="n">
        <v>-409082</v>
      </c>
      <c r="G50" s="112" t="n">
        <v>-11742</v>
      </c>
      <c r="H50" s="112" t="n">
        <v>-46005</v>
      </c>
      <c r="I50" s="112" t="n">
        <v>-2046200</v>
      </c>
      <c r="J50" s="112" t="n">
        <v>-46582</v>
      </c>
      <c r="K50" s="112" t="n">
        <v>-1997876</v>
      </c>
      <c r="L50" s="112" t="n">
        <v>0</v>
      </c>
      <c r="M50" s="112" t="n">
        <v>-410595</v>
      </c>
      <c r="N50" s="112" t="n">
        <v>-2032697</v>
      </c>
      <c r="P50" s="112" t="n">
        <f aca="false">ABS(D50)/$P$3</f>
        <v>2005.044</v>
      </c>
      <c r="Q50" s="112" t="n">
        <f aca="false">ABS(E50)/$P$3</f>
        <v>0</v>
      </c>
      <c r="R50" s="112" t="n">
        <f aca="false">ABS(F50)/$P$3</f>
        <v>409.082</v>
      </c>
      <c r="S50" s="112" t="n">
        <f aca="false">ABS(G50)/$P$3</f>
        <v>11.742</v>
      </c>
      <c r="T50" s="112" t="n">
        <f aca="false">ABS(H50)/$P$3</f>
        <v>46.005</v>
      </c>
      <c r="U50" s="112" t="n">
        <f aca="false">ABS(I50)/$P$3</f>
        <v>2046.2</v>
      </c>
      <c r="V50" s="112" t="n">
        <f aca="false">ABS(J50)/$P$3</f>
        <v>46.582</v>
      </c>
      <c r="W50" s="112" t="n">
        <f aca="false">ABS(K50)/$P$3</f>
        <v>1997.876</v>
      </c>
      <c r="X50" s="112" t="n">
        <f aca="false">ABS(L50)/$P$3</f>
        <v>0</v>
      </c>
      <c r="Y50" s="112" t="n">
        <f aca="false">ABS(M50)/$P$3</f>
        <v>410.595</v>
      </c>
      <c r="Z50" s="112" t="n">
        <f aca="false">ABS(N50)/$P$3</f>
        <v>2032.697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Data'!$A$2:$B$8,MATCH(WEEKDAY('RAC V@r Total'!A51,3),'Master Data'!$A$2:$A$8,0),2)</f>
        <v>Th</v>
      </c>
      <c r="D51" s="112" t="n">
        <v>-2005044</v>
      </c>
      <c r="E51" s="112" t="n">
        <v>0</v>
      </c>
      <c r="F51" s="112" t="n">
        <v>-409082</v>
      </c>
      <c r="G51" s="112" t="n">
        <v>-11742</v>
      </c>
      <c r="H51" s="112" t="n">
        <v>-57596</v>
      </c>
      <c r="I51" s="112" t="n">
        <v>-2046200</v>
      </c>
      <c r="J51" s="112" t="n">
        <v>-57596</v>
      </c>
      <c r="K51" s="112" t="n">
        <v>-1997876</v>
      </c>
      <c r="L51" s="112" t="n">
        <v>0</v>
      </c>
      <c r="M51" s="112" t="n">
        <v>-401519</v>
      </c>
      <c r="N51" s="112" t="n">
        <v>-2032697</v>
      </c>
      <c r="P51" s="112" t="n">
        <f aca="false">ABS(D51)/$P$3</f>
        <v>2005.044</v>
      </c>
      <c r="Q51" s="112" t="n">
        <f aca="false">ABS(E51)/$P$3</f>
        <v>0</v>
      </c>
      <c r="R51" s="112" t="n">
        <f aca="false">ABS(F51)/$P$3</f>
        <v>409.082</v>
      </c>
      <c r="S51" s="112" t="n">
        <f aca="false">ABS(G51)/$P$3</f>
        <v>11.742</v>
      </c>
      <c r="T51" s="112" t="n">
        <f aca="false">ABS(H51)/$P$3</f>
        <v>57.596</v>
      </c>
      <c r="U51" s="112" t="n">
        <f aca="false">ABS(I51)/$P$3</f>
        <v>2046.2</v>
      </c>
      <c r="V51" s="112" t="n">
        <f aca="false">ABS(J51)/$P$3</f>
        <v>57.596</v>
      </c>
      <c r="W51" s="112" t="n">
        <f aca="false">ABS(K51)/$P$3</f>
        <v>1997.876</v>
      </c>
      <c r="X51" s="112" t="n">
        <f aca="false">ABS(L51)/$P$3</f>
        <v>0</v>
      </c>
      <c r="Y51" s="112" t="n">
        <f aca="false">ABS(M51)/$P$3</f>
        <v>401.519</v>
      </c>
      <c r="Z51" s="112" t="n">
        <f aca="false">ABS(N51)/$P$3</f>
        <v>2032.697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Data'!$A$2:$B$8,MATCH(WEEKDAY('RAC V@r Total'!A52,3),'Master Data'!$A$2:$A$8,0),2)</f>
        <v>F</v>
      </c>
      <c r="D52" s="113" t="n">
        <v>-2005044</v>
      </c>
      <c r="E52" s="112" t="n">
        <v>0</v>
      </c>
      <c r="F52" s="112" t="n">
        <v>-412135</v>
      </c>
      <c r="G52" s="112" t="n">
        <v>-11597</v>
      </c>
      <c r="H52" s="112" t="n">
        <v>-57794</v>
      </c>
      <c r="I52" s="113" t="n">
        <v>-2046200</v>
      </c>
      <c r="J52" s="112" t="n">
        <v>-57221</v>
      </c>
      <c r="K52" s="113" t="n">
        <v>-1997876</v>
      </c>
      <c r="L52" s="112" t="n">
        <v>0</v>
      </c>
      <c r="M52" s="112" t="n">
        <v>-406760</v>
      </c>
      <c r="N52" s="113" t="n">
        <v>-2032697</v>
      </c>
      <c r="P52" s="112" t="n">
        <f aca="false">ABS(D52)/$P$3</f>
        <v>2005.044</v>
      </c>
      <c r="Q52" s="112" t="n">
        <f aca="false">ABS(E52)/$P$3</f>
        <v>0</v>
      </c>
      <c r="R52" s="112" t="n">
        <f aca="false">ABS(F52)/$P$3</f>
        <v>412.135</v>
      </c>
      <c r="S52" s="112" t="n">
        <f aca="false">ABS(G52)/$P$3</f>
        <v>11.597</v>
      </c>
      <c r="T52" s="112" t="n">
        <f aca="false">ABS(H52)/$P$3</f>
        <v>57.794</v>
      </c>
      <c r="U52" s="112" t="n">
        <f aca="false">ABS(I52)/$P$3</f>
        <v>2046.2</v>
      </c>
      <c r="V52" s="112" t="n">
        <f aca="false">ABS(J52)/$P$3</f>
        <v>57.221</v>
      </c>
      <c r="W52" s="112" t="n">
        <f aca="false">ABS(K52)/$P$3</f>
        <v>1997.876</v>
      </c>
      <c r="X52" s="112" t="n">
        <f aca="false">ABS(L52)/$P$3</f>
        <v>0</v>
      </c>
      <c r="Y52" s="112" t="n">
        <f aca="false">ABS(M52)/$P$3</f>
        <v>406.76</v>
      </c>
      <c r="Z52" s="112" t="n">
        <f aca="false">ABS(N52)/$P$3</f>
        <v>2032.697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Data'!$A$2:$B$8,MATCH(WEEKDAY('RAC V@r Total'!A53,3),'Master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H53" s="112" t="n">
        <v>0</v>
      </c>
      <c r="I53" s="112" t="n">
        <v>0</v>
      </c>
      <c r="J53" s="112" t="n">
        <v>0</v>
      </c>
      <c r="K53" s="112" t="n">
        <v>0</v>
      </c>
      <c r="L53" s="112" t="n">
        <v>0</v>
      </c>
      <c r="M53" s="112" t="n">
        <v>0</v>
      </c>
      <c r="N53" s="112" t="n">
        <v>0</v>
      </c>
      <c r="P53" s="112" t="n">
        <f aca="false">ABS(D53)/$P$3</f>
        <v>0</v>
      </c>
      <c r="Q53" s="112" t="n">
        <f aca="false">ABS(E53)/$P$3</f>
        <v>0</v>
      </c>
      <c r="R53" s="112" t="n">
        <f aca="false">ABS(F53)/$P$3</f>
        <v>0</v>
      </c>
      <c r="S53" s="112" t="n">
        <f aca="false">ABS(G53)/$P$3</f>
        <v>0</v>
      </c>
      <c r="T53" s="112" t="n">
        <f aca="false">ABS(H53)/$P$3</f>
        <v>0</v>
      </c>
      <c r="U53" s="112" t="n">
        <f aca="false">ABS(I53)/$P$3</f>
        <v>0</v>
      </c>
      <c r="V53" s="112" t="n">
        <f aca="false">ABS(J53)/$P$3</f>
        <v>0</v>
      </c>
      <c r="W53" s="112" t="n">
        <f aca="false">ABS(K53)/$P$3</f>
        <v>0</v>
      </c>
      <c r="X53" s="112" t="n">
        <f aca="false">ABS(L53)/$P$3</f>
        <v>0</v>
      </c>
      <c r="Y53" s="112" t="n">
        <f aca="false">ABS(M53)/$P$3</f>
        <v>0</v>
      </c>
      <c r="Z53" s="112" t="n">
        <f aca="false">ABS(N53)/$P$3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Data'!$A$2:$B$8,MATCH(WEEKDAY('RAC V@r Total'!A54,3),'Master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H54" s="112" t="n">
        <v>0</v>
      </c>
      <c r="I54" s="112" t="n">
        <v>0</v>
      </c>
      <c r="J54" s="112" t="n">
        <v>0</v>
      </c>
      <c r="K54" s="112" t="n">
        <v>0</v>
      </c>
      <c r="L54" s="112" t="n">
        <v>0</v>
      </c>
      <c r="M54" s="112" t="n">
        <v>0</v>
      </c>
      <c r="N54" s="112" t="n">
        <v>0</v>
      </c>
      <c r="P54" s="112" t="n">
        <f aca="false">ABS(D54)/$P$3</f>
        <v>0</v>
      </c>
      <c r="Q54" s="112" t="n">
        <f aca="false">ABS(E54)/$P$3</f>
        <v>0</v>
      </c>
      <c r="R54" s="112" t="n">
        <f aca="false">ABS(F54)/$P$3</f>
        <v>0</v>
      </c>
      <c r="S54" s="112" t="n">
        <f aca="false">ABS(G54)/$P$3</f>
        <v>0</v>
      </c>
      <c r="T54" s="112" t="n">
        <f aca="false">ABS(H54)/$P$3</f>
        <v>0</v>
      </c>
      <c r="U54" s="112" t="n">
        <f aca="false">ABS(I54)/$P$3</f>
        <v>0</v>
      </c>
      <c r="V54" s="112" t="n">
        <f aca="false">ABS(J54)/$P$3</f>
        <v>0</v>
      </c>
      <c r="W54" s="112" t="n">
        <f aca="false">ABS(K54)/$P$3</f>
        <v>0</v>
      </c>
      <c r="X54" s="112" t="n">
        <f aca="false">ABS(L54)/$P$3</f>
        <v>0</v>
      </c>
      <c r="Y54" s="112" t="n">
        <f aca="false">ABS(M54)/$P$3</f>
        <v>0</v>
      </c>
      <c r="Z54" s="112" t="n">
        <f aca="false">ABS(N54)/$P$3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Data'!$A$2:$B$8,MATCH(WEEKDAY('RAC V@r Total'!A55,3),'Master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H55" s="112" t="n">
        <v>0</v>
      </c>
      <c r="I55" s="112" t="n">
        <v>0</v>
      </c>
      <c r="J55" s="112" t="n">
        <v>0</v>
      </c>
      <c r="K55" s="112" t="n">
        <v>0</v>
      </c>
      <c r="L55" s="112" t="n">
        <v>0</v>
      </c>
      <c r="M55" s="112" t="n">
        <v>0</v>
      </c>
      <c r="N55" s="112" t="n">
        <v>0</v>
      </c>
      <c r="P55" s="112" t="n">
        <f aca="false">ABS(D55)/$P$3</f>
        <v>0</v>
      </c>
      <c r="Q55" s="112" t="n">
        <f aca="false">ABS(E55)/$P$3</f>
        <v>0</v>
      </c>
      <c r="R55" s="112" t="n">
        <f aca="false">ABS(F55)/$P$3</f>
        <v>0</v>
      </c>
      <c r="S55" s="112" t="n">
        <f aca="false">ABS(G55)/$P$3</f>
        <v>0</v>
      </c>
      <c r="T55" s="112" t="n">
        <f aca="false">ABS(H55)/$P$3</f>
        <v>0</v>
      </c>
      <c r="U55" s="112" t="n">
        <f aca="false">ABS(I55)/$P$3</f>
        <v>0</v>
      </c>
      <c r="V55" s="112" t="n">
        <f aca="false">ABS(J55)/$P$3</f>
        <v>0</v>
      </c>
      <c r="W55" s="112" t="n">
        <f aca="false">ABS(K55)/$P$3</f>
        <v>0</v>
      </c>
      <c r="X55" s="112" t="n">
        <f aca="false">ABS(L55)/$P$3</f>
        <v>0</v>
      </c>
      <c r="Y55" s="112" t="n">
        <f aca="false">ABS(M55)/$P$3</f>
        <v>0</v>
      </c>
      <c r="Z55" s="112" t="n">
        <f aca="false">ABS(N55)/$P$3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Data'!$A$2:$B$8,MATCH(WEEKDAY('RAC V@r Total'!A56,3),'Master Data'!$A$2:$A$8,0),2)</f>
        <v>T</v>
      </c>
      <c r="D56" s="113" t="n">
        <v>-2005044</v>
      </c>
      <c r="E56" s="112" t="n">
        <v>0</v>
      </c>
      <c r="F56" s="112" t="n">
        <v>-414238</v>
      </c>
      <c r="G56" s="112" t="n">
        <v>-17003</v>
      </c>
      <c r="H56" s="112" t="n">
        <v>-57787</v>
      </c>
      <c r="I56" s="113" t="n">
        <v>-2046200</v>
      </c>
      <c r="J56" s="112" t="n">
        <v>-57940</v>
      </c>
      <c r="K56" s="113" t="n">
        <v>-1997876</v>
      </c>
      <c r="L56" s="112" t="n">
        <v>0</v>
      </c>
      <c r="M56" s="112" t="n">
        <v>-408769</v>
      </c>
      <c r="N56" s="113" t="n">
        <v>-2032697</v>
      </c>
      <c r="P56" s="112" t="n">
        <f aca="false">ABS(D56)/$P$3</f>
        <v>2005.044</v>
      </c>
      <c r="Q56" s="112" t="n">
        <f aca="false">ABS(E56)/$P$3</f>
        <v>0</v>
      </c>
      <c r="R56" s="112" t="n">
        <f aca="false">ABS(F56)/$P$3</f>
        <v>414.238</v>
      </c>
      <c r="S56" s="112" t="n">
        <f aca="false">ABS(G56)/$P$3</f>
        <v>17.003</v>
      </c>
      <c r="T56" s="112" t="n">
        <f aca="false">ABS(H56)/$P$3</f>
        <v>57.787</v>
      </c>
      <c r="U56" s="112" t="n">
        <f aca="false">ABS(I56)/$P$3</f>
        <v>2046.2</v>
      </c>
      <c r="V56" s="112" t="n">
        <f aca="false">ABS(J56)/$P$3</f>
        <v>57.94</v>
      </c>
      <c r="W56" s="112" t="n">
        <f aca="false">ABS(K56)/$P$3</f>
        <v>1997.876</v>
      </c>
      <c r="X56" s="112" t="n">
        <f aca="false">ABS(L56)/$P$3</f>
        <v>0</v>
      </c>
      <c r="Y56" s="112" t="n">
        <f aca="false">ABS(M56)/$P$3</f>
        <v>408.769</v>
      </c>
      <c r="Z56" s="112" t="n">
        <f aca="false">ABS(N56)/$P$3</f>
        <v>2032.697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Data'!$A$2:$B$8,MATCH(WEEKDAY('RAC V@r Total'!A57,3),'Master Data'!$A$2:$A$8,0),2)</f>
        <v>W</v>
      </c>
      <c r="D57" s="112" t="n">
        <v>-3596056</v>
      </c>
      <c r="E57" s="112" t="n">
        <v>0</v>
      </c>
      <c r="F57" s="112" t="n">
        <v>-377866</v>
      </c>
      <c r="G57" s="112" t="n">
        <v>-15809</v>
      </c>
      <c r="H57" s="112" t="n">
        <v>-53743</v>
      </c>
      <c r="I57" s="112" t="n">
        <v>-3588289</v>
      </c>
      <c r="J57" s="112" t="n">
        <v>-56379</v>
      </c>
      <c r="K57" s="112" t="n">
        <v>-3583239</v>
      </c>
      <c r="L57" s="112" t="n">
        <v>0</v>
      </c>
      <c r="M57" s="112" t="n">
        <v>-440898</v>
      </c>
      <c r="N57" s="112" t="n">
        <v>-3604626</v>
      </c>
      <c r="P57" s="112" t="n">
        <f aca="false">ABS(D57)/$P$3</f>
        <v>3596.056</v>
      </c>
      <c r="Q57" s="112" t="n">
        <f aca="false">ABS(E57)/$P$3</f>
        <v>0</v>
      </c>
      <c r="R57" s="112" t="n">
        <f aca="false">ABS(F57)/$P$3</f>
        <v>377.866</v>
      </c>
      <c r="S57" s="112" t="n">
        <f aca="false">ABS(G57)/$P$3</f>
        <v>15.809</v>
      </c>
      <c r="T57" s="112" t="n">
        <f aca="false">ABS(H57)/$P$3</f>
        <v>53.743</v>
      </c>
      <c r="U57" s="112" t="n">
        <f aca="false">ABS(I57)/$P$3</f>
        <v>3588.289</v>
      </c>
      <c r="V57" s="112" t="n">
        <f aca="false">ABS(J57)/$P$3</f>
        <v>56.379</v>
      </c>
      <c r="W57" s="112" t="n">
        <f aca="false">ABS(K57)/$P$3</f>
        <v>3583.239</v>
      </c>
      <c r="X57" s="112" t="n">
        <f aca="false">ABS(L57)/$P$3</f>
        <v>0</v>
      </c>
      <c r="Y57" s="112" t="n">
        <f aca="false">ABS(M57)/$P$3</f>
        <v>440.898</v>
      </c>
      <c r="Z57" s="112" t="n">
        <f aca="false">ABS(N57)/$P$3</f>
        <v>3604.626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Data'!$A$2:$B$8,MATCH(WEEKDAY('RAC V@r Total'!A58,3),'Master Data'!$A$2:$A$8,0),2)</f>
        <v>Th</v>
      </c>
      <c r="D58" s="112" t="n">
        <v>-3558042</v>
      </c>
      <c r="E58" s="112" t="n">
        <v>0</v>
      </c>
      <c r="F58" s="112" t="n">
        <v>-376577</v>
      </c>
      <c r="G58" s="112" t="n">
        <v>-15315</v>
      </c>
      <c r="H58" s="112" t="n">
        <v>-53805</v>
      </c>
      <c r="I58" s="112" t="n">
        <v>-3547003</v>
      </c>
      <c r="J58" s="112" t="n">
        <v>-55980</v>
      </c>
      <c r="K58" s="112" t="n">
        <v>-3545555</v>
      </c>
      <c r="L58" s="112" t="n">
        <v>0</v>
      </c>
      <c r="M58" s="112" t="n">
        <v>-441699</v>
      </c>
      <c r="N58" s="112" t="n">
        <v>-3555708</v>
      </c>
      <c r="P58" s="112" t="n">
        <f aca="false">ABS(D58)/$P$3</f>
        <v>3558.042</v>
      </c>
      <c r="Q58" s="112" t="n">
        <f aca="false">ABS(E58)/$P$3</f>
        <v>0</v>
      </c>
      <c r="R58" s="112" t="n">
        <f aca="false">ABS(F58)/$P$3</f>
        <v>376.577</v>
      </c>
      <c r="S58" s="112" t="n">
        <f aca="false">ABS(G58)/$P$3</f>
        <v>15.315</v>
      </c>
      <c r="T58" s="112" t="n">
        <f aca="false">ABS(H58)/$P$3</f>
        <v>53.805</v>
      </c>
      <c r="U58" s="112" t="n">
        <f aca="false">ABS(I58)/$P$3</f>
        <v>3547.003</v>
      </c>
      <c r="V58" s="112" t="n">
        <f aca="false">ABS(J58)/$P$3</f>
        <v>55.98</v>
      </c>
      <c r="W58" s="112" t="n">
        <f aca="false">ABS(K58)/$P$3</f>
        <v>3545.555</v>
      </c>
      <c r="X58" s="112" t="n">
        <f aca="false">ABS(L58)/$P$3</f>
        <v>0</v>
      </c>
      <c r="Y58" s="112" t="n">
        <f aca="false">ABS(M58)/$P$3</f>
        <v>441.699</v>
      </c>
      <c r="Z58" s="112" t="n">
        <f aca="false">ABS(N58)/$P$3</f>
        <v>3555.708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Data'!$A$2:$B$8,MATCH(WEEKDAY('RAC V@r Total'!A59,3),'Master Data'!$A$2:$A$8,0),2)</f>
        <v>F</v>
      </c>
      <c r="D59" s="112" t="n">
        <v>-3546183</v>
      </c>
      <c r="E59" s="112" t="n">
        <v>0</v>
      </c>
      <c r="F59" s="112" t="n">
        <v>-379083</v>
      </c>
      <c r="G59" s="112" t="n">
        <v>-15081</v>
      </c>
      <c r="H59" s="112" t="n">
        <v>-53925</v>
      </c>
      <c r="I59" s="112" t="n">
        <v>-3534271</v>
      </c>
      <c r="J59" s="112" t="n">
        <v>-56171</v>
      </c>
      <c r="K59" s="112" t="n">
        <v>-3533827</v>
      </c>
      <c r="L59" s="112" t="n">
        <v>0</v>
      </c>
      <c r="M59" s="112" t="n">
        <v>-445099</v>
      </c>
      <c r="N59" s="112" t="n">
        <v>-3537134</v>
      </c>
      <c r="P59" s="112" t="n">
        <f aca="false">ABS(D59)/$P$3</f>
        <v>3546.183</v>
      </c>
      <c r="Q59" s="112" t="n">
        <f aca="false">ABS(E59)/$P$3</f>
        <v>0</v>
      </c>
      <c r="R59" s="112" t="n">
        <f aca="false">ABS(F59)/$P$3</f>
        <v>379.083</v>
      </c>
      <c r="S59" s="112" t="n">
        <f aca="false">ABS(G59)/$P$3</f>
        <v>15.081</v>
      </c>
      <c r="T59" s="112" t="n">
        <f aca="false">ABS(H59)/$P$3</f>
        <v>53.925</v>
      </c>
      <c r="U59" s="112" t="n">
        <f aca="false">ABS(I59)/$P$3</f>
        <v>3534.271</v>
      </c>
      <c r="V59" s="112" t="n">
        <f aca="false">ABS(J59)/$P$3</f>
        <v>56.171</v>
      </c>
      <c r="W59" s="112" t="n">
        <f aca="false">ABS(K59)/$P$3</f>
        <v>3533.827</v>
      </c>
      <c r="X59" s="112" t="n">
        <f aca="false">ABS(L59)/$P$3</f>
        <v>0</v>
      </c>
      <c r="Y59" s="112" t="n">
        <f aca="false">ABS(M59)/$P$3</f>
        <v>445.099</v>
      </c>
      <c r="Z59" s="112" t="n">
        <f aca="false">ABS(N59)/$P$3</f>
        <v>3537.134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Data'!$A$2:$B$8,MATCH(WEEKDAY('RAC V@r Total'!A60,3),'Master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H60" s="112" t="n">
        <v>0</v>
      </c>
      <c r="I60" s="112" t="n">
        <v>0</v>
      </c>
      <c r="J60" s="112" t="n">
        <v>0</v>
      </c>
      <c r="K60" s="112" t="n">
        <v>0</v>
      </c>
      <c r="L60" s="112" t="n">
        <v>0</v>
      </c>
      <c r="M60" s="112" t="n">
        <v>0</v>
      </c>
      <c r="N60" s="112" t="n">
        <v>0</v>
      </c>
      <c r="P60" s="112" t="n">
        <f aca="false">ABS(D60)/$P$3</f>
        <v>0</v>
      </c>
      <c r="Q60" s="112" t="n">
        <f aca="false">ABS(E60)/$P$3</f>
        <v>0</v>
      </c>
      <c r="R60" s="112" t="n">
        <f aca="false">ABS(F60)/$P$3</f>
        <v>0</v>
      </c>
      <c r="S60" s="112" t="n">
        <f aca="false">ABS(G60)/$P$3</f>
        <v>0</v>
      </c>
      <c r="T60" s="112" t="n">
        <f aca="false">ABS(H60)/$P$3</f>
        <v>0</v>
      </c>
      <c r="U60" s="112" t="n">
        <f aca="false">ABS(I60)/$P$3</f>
        <v>0</v>
      </c>
      <c r="V60" s="112" t="n">
        <f aca="false">ABS(J60)/$P$3</f>
        <v>0</v>
      </c>
      <c r="W60" s="112" t="n">
        <f aca="false">ABS(K60)/$P$3</f>
        <v>0</v>
      </c>
      <c r="X60" s="112" t="n">
        <f aca="false">ABS(L60)/$P$3</f>
        <v>0</v>
      </c>
      <c r="Y60" s="112" t="n">
        <f aca="false">ABS(M60)/$P$3</f>
        <v>0</v>
      </c>
      <c r="Z60" s="112" t="n">
        <f aca="false">ABS(N60)/$P$3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Data'!$A$2:$B$8,MATCH(WEEKDAY('RAC V@r Total'!A61,3),'Master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H61" s="112" t="n">
        <v>0</v>
      </c>
      <c r="I61" s="112" t="n">
        <v>0</v>
      </c>
      <c r="J61" s="112" t="n">
        <v>0</v>
      </c>
      <c r="K61" s="112" t="n">
        <v>0</v>
      </c>
      <c r="L61" s="112" t="n">
        <v>0</v>
      </c>
      <c r="M61" s="112" t="n">
        <v>0</v>
      </c>
      <c r="N61" s="112" t="n">
        <v>0</v>
      </c>
      <c r="P61" s="112" t="n">
        <f aca="false">ABS(D61)/$P$3</f>
        <v>0</v>
      </c>
      <c r="Q61" s="112" t="n">
        <f aca="false">ABS(E61)/$P$3</f>
        <v>0</v>
      </c>
      <c r="R61" s="112" t="n">
        <f aca="false">ABS(F61)/$P$3</f>
        <v>0</v>
      </c>
      <c r="S61" s="112" t="n">
        <f aca="false">ABS(G61)/$P$3</f>
        <v>0</v>
      </c>
      <c r="T61" s="112" t="n">
        <f aca="false">ABS(H61)/$P$3</f>
        <v>0</v>
      </c>
      <c r="U61" s="112" t="n">
        <f aca="false">ABS(I61)/$P$3</f>
        <v>0</v>
      </c>
      <c r="V61" s="112" t="n">
        <f aca="false">ABS(J61)/$P$3</f>
        <v>0</v>
      </c>
      <c r="W61" s="112" t="n">
        <f aca="false">ABS(K61)/$P$3</f>
        <v>0</v>
      </c>
      <c r="X61" s="112" t="n">
        <f aca="false">ABS(L61)/$P$3</f>
        <v>0</v>
      </c>
      <c r="Y61" s="112" t="n">
        <f aca="false">ABS(M61)/$P$3</f>
        <v>0</v>
      </c>
      <c r="Z61" s="112" t="n">
        <f aca="false">ABS(N61)/$P$3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Data'!$A$2:$B$8,MATCH(WEEKDAY('RAC V@r Total'!A62,3),'Master Data'!$A$2:$A$8,0),2)</f>
        <v>M</v>
      </c>
      <c r="D62" s="112" t="n">
        <v>-3542291</v>
      </c>
      <c r="E62" s="112" t="n">
        <v>0</v>
      </c>
      <c r="F62" s="112" t="n">
        <v>-382371</v>
      </c>
      <c r="G62" s="112" t="n">
        <v>-14640</v>
      </c>
      <c r="H62" s="112" t="n">
        <v>-53998</v>
      </c>
      <c r="I62" s="112" t="n">
        <v>-3525710</v>
      </c>
      <c r="J62" s="112" t="n">
        <v>-56462</v>
      </c>
      <c r="K62" s="112" t="n">
        <v>-3530220</v>
      </c>
      <c r="L62" s="112" t="n">
        <v>0</v>
      </c>
      <c r="M62" s="112" t="n">
        <v>-446645</v>
      </c>
      <c r="N62" s="112" t="n">
        <v>-3524460</v>
      </c>
      <c r="P62" s="112" t="n">
        <f aca="false">ABS(D62)/$P$3</f>
        <v>3542.291</v>
      </c>
      <c r="Q62" s="112" t="n">
        <f aca="false">ABS(E62)/$P$3</f>
        <v>0</v>
      </c>
      <c r="R62" s="112" t="n">
        <f aca="false">ABS(F62)/$P$3</f>
        <v>382.371</v>
      </c>
      <c r="S62" s="112" t="n">
        <f aca="false">ABS(G62)/$P$3</f>
        <v>14.64</v>
      </c>
      <c r="T62" s="112" t="n">
        <f aca="false">ABS(H62)/$P$3</f>
        <v>53.998</v>
      </c>
      <c r="U62" s="112" t="n">
        <f aca="false">ABS(I62)/$P$3</f>
        <v>3525.71</v>
      </c>
      <c r="V62" s="112" t="n">
        <f aca="false">ABS(J62)/$P$3</f>
        <v>56.462</v>
      </c>
      <c r="W62" s="112" t="n">
        <f aca="false">ABS(K62)/$P$3</f>
        <v>3530.22</v>
      </c>
      <c r="X62" s="112" t="n">
        <f aca="false">ABS(L62)/$P$3</f>
        <v>0</v>
      </c>
      <c r="Y62" s="112" t="n">
        <f aca="false">ABS(M62)/$P$3</f>
        <v>446.645</v>
      </c>
      <c r="Z62" s="112" t="n">
        <f aca="false">ABS(N62)/$P$3</f>
        <v>3524.46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Data'!$A$2:$B$8,MATCH(WEEKDAY('RAC V@r Total'!A63,3),'Master Data'!$A$2:$A$8,0),2)</f>
        <v>T</v>
      </c>
      <c r="D63" s="112" t="n">
        <v>-3536667</v>
      </c>
      <c r="E63" s="112" t="n">
        <v>0</v>
      </c>
      <c r="F63" s="112" t="n">
        <v>-386814</v>
      </c>
      <c r="G63" s="112" t="n">
        <v>-14509</v>
      </c>
      <c r="H63" s="112" t="n">
        <v>-54155</v>
      </c>
      <c r="I63" s="112" t="n">
        <v>-3521023</v>
      </c>
      <c r="J63" s="112" t="n">
        <v>-56787</v>
      </c>
      <c r="K63" s="112" t="n">
        <v>-3524687</v>
      </c>
      <c r="L63" s="112" t="n">
        <v>0</v>
      </c>
      <c r="M63" s="112" t="n">
        <v>-450315</v>
      </c>
      <c r="N63" s="112" t="n">
        <v>-3514920</v>
      </c>
      <c r="P63" s="112" t="n">
        <f aca="false">ABS(D63)/$P$3</f>
        <v>3536.667</v>
      </c>
      <c r="Q63" s="112" t="n">
        <f aca="false">ABS(E63)/$P$3</f>
        <v>0</v>
      </c>
      <c r="R63" s="112" t="n">
        <f aca="false">ABS(F63)/$P$3</f>
        <v>386.814</v>
      </c>
      <c r="S63" s="112" t="n">
        <f aca="false">ABS(G63)/$P$3</f>
        <v>14.509</v>
      </c>
      <c r="T63" s="112" t="n">
        <f aca="false">ABS(H63)/$P$3</f>
        <v>54.155</v>
      </c>
      <c r="U63" s="112" t="n">
        <f aca="false">ABS(I63)/$P$3</f>
        <v>3521.023</v>
      </c>
      <c r="V63" s="112" t="n">
        <f aca="false">ABS(J63)/$P$3</f>
        <v>56.787</v>
      </c>
      <c r="W63" s="112" t="n">
        <f aca="false">ABS(K63)/$P$3</f>
        <v>3524.687</v>
      </c>
      <c r="X63" s="112" t="n">
        <f aca="false">ABS(L63)/$P$3</f>
        <v>0</v>
      </c>
      <c r="Y63" s="112" t="n">
        <f aca="false">ABS(M63)/$P$3</f>
        <v>450.315</v>
      </c>
      <c r="Z63" s="112" t="n">
        <f aca="false">ABS(N63)/$P$3</f>
        <v>3514.92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Data'!$A$2:$B$8,MATCH(WEEKDAY('RAC V@r Total'!A64,3),'Master Data'!$A$2:$A$8,0),2)</f>
        <v>W</v>
      </c>
      <c r="D64" s="112" t="n">
        <v>-2795323</v>
      </c>
      <c r="E64" s="112" t="n">
        <v>0</v>
      </c>
      <c r="F64" s="112" t="n">
        <v>-367604</v>
      </c>
      <c r="G64" s="112" t="n">
        <v>-10901</v>
      </c>
      <c r="H64" s="112" t="n">
        <v>-52966</v>
      </c>
      <c r="I64" s="112" t="n">
        <v>-2739290</v>
      </c>
      <c r="J64" s="112" t="n">
        <v>-54608</v>
      </c>
      <c r="K64" s="112" t="n">
        <v>-2787247</v>
      </c>
      <c r="L64" s="112" t="n">
        <v>0</v>
      </c>
      <c r="M64" s="112" t="n">
        <v>-427875</v>
      </c>
      <c r="N64" s="112" t="n">
        <v>-2748149</v>
      </c>
      <c r="P64" s="112" t="n">
        <f aca="false">ABS(D64)/$P$3</f>
        <v>2795.323</v>
      </c>
      <c r="Q64" s="112" t="n">
        <f aca="false">ABS(E64)/$P$3</f>
        <v>0</v>
      </c>
      <c r="R64" s="112" t="n">
        <f aca="false">ABS(F64)/$P$3</f>
        <v>367.604</v>
      </c>
      <c r="S64" s="112" t="n">
        <f aca="false">ABS(G64)/$P$3</f>
        <v>10.901</v>
      </c>
      <c r="T64" s="112" t="n">
        <f aca="false">ABS(H64)/$P$3</f>
        <v>52.966</v>
      </c>
      <c r="U64" s="112" t="n">
        <f aca="false">ABS(I64)/$P$3</f>
        <v>2739.29</v>
      </c>
      <c r="V64" s="112" t="n">
        <f aca="false">ABS(J64)/$P$3</f>
        <v>54.608</v>
      </c>
      <c r="W64" s="112" t="n">
        <f aca="false">ABS(K64)/$P$3</f>
        <v>2787.247</v>
      </c>
      <c r="X64" s="112" t="n">
        <f aca="false">ABS(L64)/$P$3</f>
        <v>0</v>
      </c>
      <c r="Y64" s="112" t="n">
        <f aca="false">ABS(M64)/$P$3</f>
        <v>427.875</v>
      </c>
      <c r="Z64" s="112" t="n">
        <f aca="false">ABS(N64)/$P$3</f>
        <v>2748.149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Data'!$A$2:$B$8,MATCH(WEEKDAY('RAC V@r Total'!A65,3),'Master Data'!$A$2:$A$8,0),2)</f>
        <v>Th</v>
      </c>
      <c r="D65" s="112" t="n">
        <v>-2628932</v>
      </c>
      <c r="E65" s="112" t="n">
        <v>0</v>
      </c>
      <c r="F65" s="112" t="n">
        <v>-381011</v>
      </c>
      <c r="G65" s="112" t="n">
        <v>-10632</v>
      </c>
      <c r="H65" s="112" t="n">
        <v>-50190</v>
      </c>
      <c r="I65" s="112" t="n">
        <v>-2625334</v>
      </c>
      <c r="J65" s="112" t="n">
        <v>-52437</v>
      </c>
      <c r="K65" s="112" t="n">
        <v>-2622788</v>
      </c>
      <c r="L65" s="112" t="n">
        <v>0</v>
      </c>
      <c r="M65" s="112" t="n">
        <v>-453224</v>
      </c>
      <c r="N65" s="112" t="n">
        <v>-2610725</v>
      </c>
      <c r="P65" s="112" t="n">
        <f aca="false">ABS(D65)/$P$3</f>
        <v>2628.932</v>
      </c>
      <c r="Q65" s="112" t="n">
        <f aca="false">ABS(E65)/$P$3</f>
        <v>0</v>
      </c>
      <c r="R65" s="112" t="n">
        <f aca="false">ABS(F65)/$P$3</f>
        <v>381.011</v>
      </c>
      <c r="S65" s="112" t="n">
        <f aca="false">ABS(G65)/$P$3</f>
        <v>10.632</v>
      </c>
      <c r="T65" s="112" t="n">
        <f aca="false">ABS(H65)/$P$3</f>
        <v>50.19</v>
      </c>
      <c r="U65" s="112" t="n">
        <f aca="false">ABS(I65)/$P$3</f>
        <v>2625.334</v>
      </c>
      <c r="V65" s="112" t="n">
        <f aca="false">ABS(J65)/$P$3</f>
        <v>52.437</v>
      </c>
      <c r="W65" s="112" t="n">
        <f aca="false">ABS(K65)/$P$3</f>
        <v>2622.788</v>
      </c>
      <c r="X65" s="112" t="n">
        <f aca="false">ABS(L65)/$P$3</f>
        <v>0</v>
      </c>
      <c r="Y65" s="112" t="n">
        <f aca="false">ABS(M65)/$P$3</f>
        <v>453.224</v>
      </c>
      <c r="Z65" s="112" t="n">
        <f aca="false">ABS(N65)/$P$3</f>
        <v>2610.725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Data'!$A$2:$B$8,MATCH(WEEKDAY('RAC V@r Total'!A66,3),'Master Data'!$A$2:$A$8,0),2)</f>
        <v>F</v>
      </c>
      <c r="D66" s="112" t="n">
        <v>-2630170</v>
      </c>
      <c r="E66" s="112" t="n">
        <v>0</v>
      </c>
      <c r="F66" s="112" t="n">
        <v>-378349</v>
      </c>
      <c r="G66" s="112" t="n">
        <v>-10577</v>
      </c>
      <c r="H66" s="112" t="n">
        <v>-50073</v>
      </c>
      <c r="I66" s="112" t="n">
        <v>-2623878</v>
      </c>
      <c r="J66" s="112" t="n">
        <v>-52276</v>
      </c>
      <c r="K66" s="112" t="n">
        <v>-2624042</v>
      </c>
      <c r="L66" s="112" t="n">
        <v>0</v>
      </c>
      <c r="M66" s="112" t="n">
        <v>-448939</v>
      </c>
      <c r="N66" s="112" t="n">
        <v>-2612377</v>
      </c>
      <c r="P66" s="112" t="n">
        <f aca="false">ABS(D66)/$P$3</f>
        <v>2630.17</v>
      </c>
      <c r="Q66" s="112" t="n">
        <f aca="false">ABS(E66)/$P$3</f>
        <v>0</v>
      </c>
      <c r="R66" s="112" t="n">
        <f aca="false">ABS(F66)/$P$3</f>
        <v>378.349</v>
      </c>
      <c r="S66" s="112" t="n">
        <f aca="false">ABS(G66)/$P$3</f>
        <v>10.577</v>
      </c>
      <c r="T66" s="112" t="n">
        <f aca="false">ABS(H66)/$P$3</f>
        <v>50.073</v>
      </c>
      <c r="U66" s="112" t="n">
        <f aca="false">ABS(I66)/$P$3</f>
        <v>2623.878</v>
      </c>
      <c r="V66" s="112" t="n">
        <f aca="false">ABS(J66)/$P$3</f>
        <v>52.276</v>
      </c>
      <c r="W66" s="112" t="n">
        <f aca="false">ABS(K66)/$P$3</f>
        <v>2624.042</v>
      </c>
      <c r="X66" s="112" t="n">
        <f aca="false">ABS(L66)/$P$3</f>
        <v>0</v>
      </c>
      <c r="Y66" s="112" t="n">
        <f aca="false">ABS(M66)/$P$3</f>
        <v>448.939</v>
      </c>
      <c r="Z66" s="112" t="n">
        <f aca="false">ABS(N66)/$P$3</f>
        <v>2612.377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Data'!$A$2:$B$8,MATCH(WEEKDAY('RAC V@r Total'!A67,3),'Master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H67" s="112" t="n">
        <v>0</v>
      </c>
      <c r="I67" s="112" t="n">
        <v>0</v>
      </c>
      <c r="J67" s="112" t="n">
        <v>0</v>
      </c>
      <c r="K67" s="112" t="n">
        <v>0</v>
      </c>
      <c r="L67" s="112" t="n">
        <v>0</v>
      </c>
      <c r="M67" s="112" t="n">
        <v>0</v>
      </c>
      <c r="N67" s="112" t="n">
        <v>0</v>
      </c>
      <c r="P67" s="112" t="n">
        <f aca="false">ABS(D67)/$P$3</f>
        <v>0</v>
      </c>
      <c r="Q67" s="112" t="n">
        <f aca="false">ABS(E67)/$P$3</f>
        <v>0</v>
      </c>
      <c r="R67" s="112" t="n">
        <f aca="false">ABS(F67)/$P$3</f>
        <v>0</v>
      </c>
      <c r="S67" s="112" t="n">
        <f aca="false">ABS(G67)/$P$3</f>
        <v>0</v>
      </c>
      <c r="T67" s="112" t="n">
        <f aca="false">ABS(H67)/$P$3</f>
        <v>0</v>
      </c>
      <c r="U67" s="112" t="n">
        <f aca="false">ABS(I67)/$P$3</f>
        <v>0</v>
      </c>
      <c r="V67" s="112" t="n">
        <f aca="false">ABS(J67)/$P$3</f>
        <v>0</v>
      </c>
      <c r="W67" s="112" t="n">
        <f aca="false">ABS(K67)/$P$3</f>
        <v>0</v>
      </c>
      <c r="X67" s="112" t="n">
        <f aca="false">ABS(L67)/$P$3</f>
        <v>0</v>
      </c>
      <c r="Y67" s="112" t="n">
        <f aca="false">ABS(M67)/$P$3</f>
        <v>0</v>
      </c>
      <c r="Z67" s="112" t="n">
        <f aca="false">ABS(N67)/$P$3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Data'!$A$2:$B$8,MATCH(WEEKDAY('RAC V@r Total'!A68,3),'Master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H68" s="112" t="n">
        <v>0</v>
      </c>
      <c r="I68" s="112" t="n">
        <v>0</v>
      </c>
      <c r="J68" s="112" t="n">
        <v>0</v>
      </c>
      <c r="K68" s="112" t="n">
        <v>0</v>
      </c>
      <c r="L68" s="112" t="n">
        <v>0</v>
      </c>
      <c r="M68" s="112" t="n">
        <v>0</v>
      </c>
      <c r="N68" s="112" t="n">
        <v>0</v>
      </c>
      <c r="P68" s="112" t="n">
        <f aca="false">ABS(D68)/$P$3</f>
        <v>0</v>
      </c>
      <c r="Q68" s="112" t="n">
        <f aca="false">ABS(E68)/$P$3</f>
        <v>0</v>
      </c>
      <c r="R68" s="112" t="n">
        <f aca="false">ABS(F68)/$P$3</f>
        <v>0</v>
      </c>
      <c r="S68" s="112" t="n">
        <f aca="false">ABS(G68)/$P$3</f>
        <v>0</v>
      </c>
      <c r="T68" s="112" t="n">
        <f aca="false">ABS(H68)/$P$3</f>
        <v>0</v>
      </c>
      <c r="U68" s="112" t="n">
        <f aca="false">ABS(I68)/$P$3</f>
        <v>0</v>
      </c>
      <c r="V68" s="112" t="n">
        <f aca="false">ABS(J68)/$P$3</f>
        <v>0</v>
      </c>
      <c r="W68" s="112" t="n">
        <f aca="false">ABS(K68)/$P$3</f>
        <v>0</v>
      </c>
      <c r="X68" s="112" t="n">
        <f aca="false">ABS(L68)/$P$3</f>
        <v>0</v>
      </c>
      <c r="Y68" s="112" t="n">
        <f aca="false">ABS(M68)/$P$3</f>
        <v>0</v>
      </c>
      <c r="Z68" s="112" t="n">
        <f aca="false">ABS(N68)/$P$3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Data'!$A$2:$B$8,MATCH(WEEKDAY('RAC V@r Total'!A69,3),'Master Data'!$A$2:$A$8,0),2)</f>
        <v>M</v>
      </c>
      <c r="D69" s="112" t="n">
        <v>-2609358</v>
      </c>
      <c r="E69" s="112" t="n">
        <v>0</v>
      </c>
      <c r="F69" s="112" t="n">
        <v>-379994</v>
      </c>
      <c r="G69" s="112" t="n">
        <v>-10472</v>
      </c>
      <c r="H69" s="112" t="n">
        <v>-44209</v>
      </c>
      <c r="I69" s="112" t="n">
        <v>-2607120</v>
      </c>
      <c r="J69" s="112" t="n">
        <v>-44308</v>
      </c>
      <c r="K69" s="112" t="n">
        <v>-2603261</v>
      </c>
      <c r="L69" s="112" t="n">
        <v>0</v>
      </c>
      <c r="M69" s="112" t="n">
        <v>-455624</v>
      </c>
      <c r="N69" s="112" t="n">
        <v>-2586960</v>
      </c>
      <c r="P69" s="112" t="n">
        <f aca="false">ABS(D69)/$P$3</f>
        <v>2609.358</v>
      </c>
      <c r="Q69" s="112" t="n">
        <f aca="false">ABS(E69)/$P$3</f>
        <v>0</v>
      </c>
      <c r="R69" s="112" t="n">
        <f aca="false">ABS(F69)/$P$3</f>
        <v>379.994</v>
      </c>
      <c r="S69" s="112" t="n">
        <f aca="false">ABS(G69)/$P$3</f>
        <v>10.472</v>
      </c>
      <c r="T69" s="112" t="n">
        <f aca="false">ABS(H69)/$P$3</f>
        <v>44.209</v>
      </c>
      <c r="U69" s="112" t="n">
        <f aca="false">ABS(I69)/$P$3</f>
        <v>2607.12</v>
      </c>
      <c r="V69" s="112" t="n">
        <f aca="false">ABS(J69)/$P$3</f>
        <v>44.308</v>
      </c>
      <c r="W69" s="112" t="n">
        <f aca="false">ABS(K69)/$P$3</f>
        <v>2603.261</v>
      </c>
      <c r="X69" s="112" t="n">
        <f aca="false">ABS(L69)/$P$3</f>
        <v>0</v>
      </c>
      <c r="Y69" s="112" t="n">
        <f aca="false">ABS(M69)/$P$3</f>
        <v>455.624</v>
      </c>
      <c r="Z69" s="112" t="n">
        <f aca="false">ABS(N69)/$P$3</f>
        <v>2586.96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Data'!$A$2:$B$8,MATCH(WEEKDAY('RAC V@r Total'!A70,3),'Master Data'!$A$2:$A$8,0),2)</f>
        <v>T</v>
      </c>
      <c r="D70" s="112" t="n">
        <v>-2610585</v>
      </c>
      <c r="E70" s="112" t="n">
        <v>0</v>
      </c>
      <c r="F70" s="112" t="n">
        <v>-366491</v>
      </c>
      <c r="G70" s="112" t="n">
        <v>-10418</v>
      </c>
      <c r="H70" s="112" t="n">
        <v>-44113</v>
      </c>
      <c r="I70" s="112" t="n">
        <v>-2598757</v>
      </c>
      <c r="J70" s="112" t="n">
        <v>-44181</v>
      </c>
      <c r="K70" s="112" t="n">
        <v>-2604504</v>
      </c>
      <c r="L70" s="112" t="n">
        <v>0</v>
      </c>
      <c r="M70" s="112" t="n">
        <v>-441546</v>
      </c>
      <c r="N70" s="112" t="n">
        <v>-2589220</v>
      </c>
      <c r="P70" s="112" t="n">
        <f aca="false">ABS(D70)/$P$3</f>
        <v>2610.585</v>
      </c>
      <c r="Q70" s="112" t="n">
        <f aca="false">ABS(E70)/$P$3</f>
        <v>0</v>
      </c>
      <c r="R70" s="112" t="n">
        <f aca="false">ABS(F70)/$P$3</f>
        <v>366.491</v>
      </c>
      <c r="S70" s="112" t="n">
        <f aca="false">ABS(G70)/$P$3</f>
        <v>10.418</v>
      </c>
      <c r="T70" s="112" t="n">
        <f aca="false">ABS(H70)/$P$3</f>
        <v>44.113</v>
      </c>
      <c r="U70" s="112" t="n">
        <f aca="false">ABS(I70)/$P$3</f>
        <v>2598.757</v>
      </c>
      <c r="V70" s="112" t="n">
        <f aca="false">ABS(J70)/$P$3</f>
        <v>44.181</v>
      </c>
      <c r="W70" s="112" t="n">
        <f aca="false">ABS(K70)/$P$3</f>
        <v>2604.504</v>
      </c>
      <c r="X70" s="112" t="n">
        <f aca="false">ABS(L70)/$P$3</f>
        <v>0</v>
      </c>
      <c r="Y70" s="112" t="n">
        <f aca="false">ABS(M70)/$P$3</f>
        <v>441.546</v>
      </c>
      <c r="Z70" s="112" t="n">
        <f aca="false">ABS(N70)/$P$3</f>
        <v>2589.22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Data'!$A$2:$B$8,MATCH(WEEKDAY('RAC V@r Total'!A71,3),'Master Data'!$A$2:$A$8,0),2)</f>
        <v>W</v>
      </c>
      <c r="D71" s="112" t="n">
        <v>-2635715</v>
      </c>
      <c r="E71" s="112" t="n">
        <v>0</v>
      </c>
      <c r="F71" s="112" t="n">
        <v>-367340</v>
      </c>
      <c r="G71" s="112" t="n">
        <v>-10364</v>
      </c>
      <c r="H71" s="112" t="n">
        <v>-44234</v>
      </c>
      <c r="I71" s="112" t="n">
        <v>-2625601</v>
      </c>
      <c r="J71" s="112" t="n">
        <v>-44340</v>
      </c>
      <c r="K71" s="112" t="n">
        <v>-2629650</v>
      </c>
      <c r="L71" s="112" t="n">
        <v>0</v>
      </c>
      <c r="M71" s="112" t="n">
        <v>-448140</v>
      </c>
      <c r="N71" s="112" t="n">
        <v>-2614582</v>
      </c>
      <c r="P71" s="112" t="n">
        <f aca="false">ABS(D71)/$P$3</f>
        <v>2635.715</v>
      </c>
      <c r="Q71" s="112" t="n">
        <f aca="false">ABS(E71)/$P$3</f>
        <v>0</v>
      </c>
      <c r="R71" s="112" t="n">
        <f aca="false">ABS(F71)/$P$3</f>
        <v>367.34</v>
      </c>
      <c r="S71" s="112" t="n">
        <f aca="false">ABS(G71)/$P$3</f>
        <v>10.364</v>
      </c>
      <c r="T71" s="112" t="n">
        <f aca="false">ABS(H71)/$P$3</f>
        <v>44.234</v>
      </c>
      <c r="U71" s="112" t="n">
        <f aca="false">ABS(I71)/$P$3</f>
        <v>2625.601</v>
      </c>
      <c r="V71" s="112" t="n">
        <f aca="false">ABS(J71)/$P$3</f>
        <v>44.34</v>
      </c>
      <c r="W71" s="112" t="n">
        <f aca="false">ABS(K71)/$P$3</f>
        <v>2629.65</v>
      </c>
      <c r="X71" s="112" t="n">
        <f aca="false">ABS(L71)/$P$3</f>
        <v>0</v>
      </c>
      <c r="Y71" s="112" t="n">
        <f aca="false">ABS(M71)/$P$3</f>
        <v>448.14</v>
      </c>
      <c r="Z71" s="112" t="n">
        <f aca="false">ABS(N71)/$P$3</f>
        <v>2614.582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Data'!$A$2:$B$8,MATCH(WEEKDAY('RAC V@r Total'!A72,3),'Master Data'!$A$2:$A$8,0),2)</f>
        <v>Th</v>
      </c>
      <c r="D72" s="112" t="n">
        <v>-1292624</v>
      </c>
      <c r="E72" s="112" t="n">
        <v>0</v>
      </c>
      <c r="F72" s="112" t="n">
        <v>-368774</v>
      </c>
      <c r="G72" s="112" t="n">
        <v>-10310</v>
      </c>
      <c r="H72" s="112" t="n">
        <v>-44264</v>
      </c>
      <c r="I72" s="112" t="n">
        <v>-1364282</v>
      </c>
      <c r="J72" s="112" t="n">
        <v>-44293</v>
      </c>
      <c r="K72" s="112" t="n">
        <v>-1285927</v>
      </c>
      <c r="L72" s="112" t="n">
        <v>0</v>
      </c>
      <c r="M72" s="112" t="n">
        <v>-444577</v>
      </c>
      <c r="N72" s="112" t="n">
        <v>-1320638</v>
      </c>
      <c r="P72" s="112" t="n">
        <f aca="false">ABS(D72)/$P$3</f>
        <v>1292.624</v>
      </c>
      <c r="Q72" s="112" t="n">
        <f aca="false">ABS(E72)/$P$3</f>
        <v>0</v>
      </c>
      <c r="R72" s="112" t="n">
        <f aca="false">ABS(F72)/$P$3</f>
        <v>368.774</v>
      </c>
      <c r="S72" s="112" t="n">
        <f aca="false">ABS(G72)/$P$3</f>
        <v>10.31</v>
      </c>
      <c r="T72" s="112" t="n">
        <f aca="false">ABS(H72)/$P$3</f>
        <v>44.264</v>
      </c>
      <c r="U72" s="112" t="n">
        <f aca="false">ABS(I72)/$P$3</f>
        <v>1364.282</v>
      </c>
      <c r="V72" s="112" t="n">
        <f aca="false">ABS(J72)/$P$3</f>
        <v>44.293</v>
      </c>
      <c r="W72" s="112" t="n">
        <f aca="false">ABS(K72)/$P$3</f>
        <v>1285.927</v>
      </c>
      <c r="X72" s="112" t="n">
        <f aca="false">ABS(L72)/$P$3</f>
        <v>0</v>
      </c>
      <c r="Y72" s="112" t="n">
        <f aca="false">ABS(M72)/$P$3</f>
        <v>444.577</v>
      </c>
      <c r="Z72" s="112" t="n">
        <f aca="false">ABS(N72)/$P$3</f>
        <v>1320.638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Data'!$A$2:$B$8,MATCH(WEEKDAY('RAC V@r Total'!A73,3),'Master Data'!$A$2:$A$8,0),2)</f>
        <v>F</v>
      </c>
      <c r="D73" s="112" t="n">
        <v>-1292624</v>
      </c>
      <c r="E73" s="112" t="n">
        <v>0</v>
      </c>
      <c r="F73" s="112" t="n">
        <v>-368774</v>
      </c>
      <c r="G73" s="112" t="n">
        <v>-10310</v>
      </c>
      <c r="H73" s="112" t="n">
        <v>-44264</v>
      </c>
      <c r="I73" s="112" t="n">
        <v>-1364282</v>
      </c>
      <c r="J73" s="112" t="n">
        <v>-44293</v>
      </c>
      <c r="K73" s="112" t="n">
        <v>-1285927</v>
      </c>
      <c r="L73" s="112" t="n">
        <v>0</v>
      </c>
      <c r="M73" s="112" t="n">
        <v>-444577</v>
      </c>
      <c r="N73" s="112" t="n">
        <v>-1320638</v>
      </c>
      <c r="P73" s="112" t="n">
        <f aca="false">ABS(D73)/$P$3</f>
        <v>1292.624</v>
      </c>
      <c r="Q73" s="112" t="n">
        <f aca="false">ABS(E73)/$P$3</f>
        <v>0</v>
      </c>
      <c r="R73" s="112" t="n">
        <f aca="false">ABS(F73)/$P$3</f>
        <v>368.774</v>
      </c>
      <c r="S73" s="112" t="n">
        <f aca="false">ABS(G73)/$P$3</f>
        <v>10.31</v>
      </c>
      <c r="T73" s="112" t="n">
        <f aca="false">ABS(H73)/$P$3</f>
        <v>44.264</v>
      </c>
      <c r="U73" s="112" t="n">
        <f aca="false">ABS(I73)/$P$3</f>
        <v>1364.282</v>
      </c>
      <c r="V73" s="112" t="n">
        <f aca="false">ABS(J73)/$P$3</f>
        <v>44.293</v>
      </c>
      <c r="W73" s="112" t="n">
        <f aca="false">ABS(K73)/$P$3</f>
        <v>1285.927</v>
      </c>
      <c r="X73" s="112" t="n">
        <f aca="false">ABS(L73)/$P$3</f>
        <v>0</v>
      </c>
      <c r="Y73" s="112" t="n">
        <f aca="false">ABS(M73)/$P$3</f>
        <v>444.577</v>
      </c>
      <c r="Z73" s="112" t="n">
        <f aca="false">ABS(N73)/$P$3</f>
        <v>1320.638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Data'!$A$2:$B$8,MATCH(WEEKDAY('RAC V@r Total'!A74,3),'Master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H74" s="112" t="n">
        <v>0</v>
      </c>
      <c r="I74" s="112" t="n">
        <v>0</v>
      </c>
      <c r="J74" s="112" t="n">
        <v>0</v>
      </c>
      <c r="K74" s="112" t="n">
        <v>0</v>
      </c>
      <c r="L74" s="112" t="n">
        <v>0</v>
      </c>
      <c r="M74" s="112" t="n">
        <v>0</v>
      </c>
      <c r="N74" s="112" t="n">
        <v>0</v>
      </c>
      <c r="P74" s="112" t="n">
        <f aca="false">ABS(D74)/$P$3</f>
        <v>0</v>
      </c>
      <c r="Q74" s="112" t="n">
        <f aca="false">ABS(E74)/$P$3</f>
        <v>0</v>
      </c>
      <c r="R74" s="112" t="n">
        <f aca="false">ABS(F74)/$P$3</f>
        <v>0</v>
      </c>
      <c r="S74" s="112" t="n">
        <f aca="false">ABS(G74)/$P$3</f>
        <v>0</v>
      </c>
      <c r="T74" s="112" t="n">
        <f aca="false">ABS(H74)/$P$3</f>
        <v>0</v>
      </c>
      <c r="U74" s="112" t="n">
        <f aca="false">ABS(I74)/$P$3</f>
        <v>0</v>
      </c>
      <c r="V74" s="112" t="n">
        <f aca="false">ABS(J74)/$P$3</f>
        <v>0</v>
      </c>
      <c r="W74" s="112" t="n">
        <f aca="false">ABS(K74)/$P$3</f>
        <v>0</v>
      </c>
      <c r="X74" s="112" t="n">
        <f aca="false">ABS(L74)/$P$3</f>
        <v>0</v>
      </c>
      <c r="Y74" s="112" t="n">
        <f aca="false">ABS(M74)/$P$3</f>
        <v>0</v>
      </c>
      <c r="Z74" s="112" t="n">
        <f aca="false">ABS(N74)/$P$3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Data'!$A$2:$B$8,MATCH(WEEKDAY('RAC V@r Total'!A75,3),'Master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H75" s="112" t="n">
        <v>0</v>
      </c>
      <c r="I75" s="112" t="n">
        <v>0</v>
      </c>
      <c r="J75" s="112" t="n">
        <v>0</v>
      </c>
      <c r="K75" s="112" t="n">
        <v>0</v>
      </c>
      <c r="L75" s="112" t="n">
        <v>0</v>
      </c>
      <c r="M75" s="112" t="n">
        <v>0</v>
      </c>
      <c r="N75" s="112" t="n">
        <v>0</v>
      </c>
      <c r="P75" s="112" t="n">
        <f aca="false">ABS(D75)/$P$3</f>
        <v>0</v>
      </c>
      <c r="Q75" s="112" t="n">
        <f aca="false">ABS(E75)/$P$3</f>
        <v>0</v>
      </c>
      <c r="R75" s="112" t="n">
        <f aca="false">ABS(F75)/$P$3</f>
        <v>0</v>
      </c>
      <c r="S75" s="112" t="n">
        <f aca="false">ABS(G75)/$P$3</f>
        <v>0</v>
      </c>
      <c r="T75" s="112" t="n">
        <f aca="false">ABS(H75)/$P$3</f>
        <v>0</v>
      </c>
      <c r="U75" s="112" t="n">
        <f aca="false">ABS(I75)/$P$3</f>
        <v>0</v>
      </c>
      <c r="V75" s="112" t="n">
        <f aca="false">ABS(J75)/$P$3</f>
        <v>0</v>
      </c>
      <c r="W75" s="112" t="n">
        <f aca="false">ABS(K75)/$P$3</f>
        <v>0</v>
      </c>
      <c r="X75" s="112" t="n">
        <f aca="false">ABS(L75)/$P$3</f>
        <v>0</v>
      </c>
      <c r="Y75" s="112" t="n">
        <f aca="false">ABS(M75)/$P$3</f>
        <v>0</v>
      </c>
      <c r="Z75" s="112" t="n">
        <f aca="false">ABS(N75)/$P$3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Data'!$A$2:$B$8,MATCH(WEEKDAY('RAC V@r Total'!A76,3),'Master Data'!$A$2:$A$8,0),2)</f>
        <v>M</v>
      </c>
      <c r="D76" s="112" t="n">
        <v>-1321420</v>
      </c>
      <c r="E76" s="112" t="n">
        <v>0</v>
      </c>
      <c r="F76" s="112" t="n">
        <v>-368826</v>
      </c>
      <c r="G76" s="112" t="n">
        <v>-10060</v>
      </c>
      <c r="H76" s="112" t="n">
        <v>-44217</v>
      </c>
      <c r="I76" s="112" t="n">
        <v>-1396173</v>
      </c>
      <c r="J76" s="112" t="n">
        <v>-44047</v>
      </c>
      <c r="K76" s="112" t="n">
        <v>-1315477</v>
      </c>
      <c r="L76" s="112" t="n">
        <v>0</v>
      </c>
      <c r="M76" s="112" t="n">
        <v>-446912</v>
      </c>
      <c r="N76" s="112" t="n">
        <v>-1357235</v>
      </c>
      <c r="P76" s="112" t="n">
        <f aca="false">ABS(D76)/$P$3</f>
        <v>1321.42</v>
      </c>
      <c r="Q76" s="112" t="n">
        <f aca="false">ABS(E76)/$P$3</f>
        <v>0</v>
      </c>
      <c r="R76" s="112" t="n">
        <f aca="false">ABS(F76)/$P$3</f>
        <v>368.826</v>
      </c>
      <c r="S76" s="112" t="n">
        <f aca="false">ABS(G76)/$P$3</f>
        <v>10.06</v>
      </c>
      <c r="T76" s="112" t="n">
        <f aca="false">ABS(H76)/$P$3</f>
        <v>44.217</v>
      </c>
      <c r="U76" s="112" t="n">
        <f aca="false">ABS(I76)/$P$3</f>
        <v>1396.173</v>
      </c>
      <c r="V76" s="112" t="n">
        <f aca="false">ABS(J76)/$P$3</f>
        <v>44.047</v>
      </c>
      <c r="W76" s="112" t="n">
        <f aca="false">ABS(K76)/$P$3</f>
        <v>1315.477</v>
      </c>
      <c r="X76" s="112" t="n">
        <f aca="false">ABS(L76)/$P$3</f>
        <v>0</v>
      </c>
      <c r="Y76" s="112" t="n">
        <f aca="false">ABS(M76)/$P$3</f>
        <v>446.912</v>
      </c>
      <c r="Z76" s="112" t="n">
        <f aca="false">ABS(N76)/$P$3</f>
        <v>1357.235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Data'!$A$2:$B$8,MATCH(WEEKDAY('RAC V@r Total'!A77,3),'Master Data'!$A$2:$A$8,0),2)</f>
        <v>T</v>
      </c>
      <c r="D77" s="112" t="n">
        <v>-1322040</v>
      </c>
      <c r="E77" s="112" t="n">
        <v>0</v>
      </c>
      <c r="F77" s="112" t="n">
        <v>-368297</v>
      </c>
      <c r="G77" s="112" t="n">
        <v>-10008</v>
      </c>
      <c r="H77" s="112" t="n">
        <v>-44110</v>
      </c>
      <c r="I77" s="112" t="n">
        <v>-1396927</v>
      </c>
      <c r="J77" s="112" t="n">
        <v>-43920</v>
      </c>
      <c r="K77" s="112" t="n">
        <v>-1316113</v>
      </c>
      <c r="L77" s="112" t="n">
        <v>0</v>
      </c>
      <c r="M77" s="112" t="n">
        <v>-444160</v>
      </c>
      <c r="N77" s="112" t="n">
        <v>-1358052</v>
      </c>
      <c r="P77" s="112" t="n">
        <f aca="false">ABS(D77)/$P$3</f>
        <v>1322.04</v>
      </c>
      <c r="Q77" s="112" t="n">
        <f aca="false">ABS(E77)/$P$3</f>
        <v>0</v>
      </c>
      <c r="R77" s="112" t="n">
        <f aca="false">ABS(F77)/$P$3</f>
        <v>368.297</v>
      </c>
      <c r="S77" s="112" t="n">
        <f aca="false">ABS(G77)/$P$3</f>
        <v>10.008</v>
      </c>
      <c r="T77" s="112" t="n">
        <f aca="false">ABS(H77)/$P$3</f>
        <v>44.11</v>
      </c>
      <c r="U77" s="112" t="n">
        <f aca="false">ABS(I77)/$P$3</f>
        <v>1396.927</v>
      </c>
      <c r="V77" s="112" t="n">
        <f aca="false">ABS(J77)/$P$3</f>
        <v>43.92</v>
      </c>
      <c r="W77" s="112" t="n">
        <f aca="false">ABS(K77)/$P$3</f>
        <v>1316.113</v>
      </c>
      <c r="X77" s="112" t="n">
        <f aca="false">ABS(L77)/$P$3</f>
        <v>0</v>
      </c>
      <c r="Y77" s="112" t="n">
        <f aca="false">ABS(M77)/$P$3</f>
        <v>444.16</v>
      </c>
      <c r="Z77" s="112" t="n">
        <f aca="false">ABS(N77)/$P$3</f>
        <v>1358.052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Data'!$A$2:$B$8,MATCH(WEEKDAY('RAC V@r Total'!A78,3),'Master Data'!$A$2:$A$8,0),2)</f>
        <v>W</v>
      </c>
      <c r="D78" s="112" t="n">
        <v>-1322661</v>
      </c>
      <c r="E78" s="112" t="n">
        <v>0</v>
      </c>
      <c r="F78" s="112" t="n">
        <v>-372296</v>
      </c>
      <c r="G78" s="112" t="n">
        <v>-9956</v>
      </c>
      <c r="H78" s="112" t="n">
        <v>-44353</v>
      </c>
      <c r="I78" s="112" t="n">
        <v>-1396788</v>
      </c>
      <c r="J78" s="112" t="n">
        <v>-44176</v>
      </c>
      <c r="K78" s="112" t="n">
        <v>-1316749</v>
      </c>
      <c r="L78" s="112" t="n">
        <v>0</v>
      </c>
      <c r="M78" s="112" t="n">
        <v>-452604</v>
      </c>
      <c r="N78" s="112" t="n">
        <v>-1357739</v>
      </c>
      <c r="P78" s="112" t="n">
        <f aca="false">ABS(D78)/$P$3</f>
        <v>1322.661</v>
      </c>
      <c r="Q78" s="112" t="n">
        <f aca="false">ABS(E78)/$P$3</f>
        <v>0</v>
      </c>
      <c r="R78" s="112" t="n">
        <f aca="false">ABS(F78)/$P$3</f>
        <v>372.296</v>
      </c>
      <c r="S78" s="112" t="n">
        <f aca="false">ABS(G78)/$P$3</f>
        <v>9.956</v>
      </c>
      <c r="T78" s="112" t="n">
        <f aca="false">ABS(H78)/$P$3</f>
        <v>44.353</v>
      </c>
      <c r="U78" s="112" t="n">
        <f aca="false">ABS(I78)/$P$3</f>
        <v>1396.788</v>
      </c>
      <c r="V78" s="112" t="n">
        <f aca="false">ABS(J78)/$P$3</f>
        <v>44.176</v>
      </c>
      <c r="W78" s="112" t="n">
        <f aca="false">ABS(K78)/$P$3</f>
        <v>1316.749</v>
      </c>
      <c r="X78" s="112" t="n">
        <f aca="false">ABS(L78)/$P$3</f>
        <v>0</v>
      </c>
      <c r="Y78" s="112" t="n">
        <f aca="false">ABS(M78)/$P$3</f>
        <v>452.604</v>
      </c>
      <c r="Z78" s="112" t="n">
        <f aca="false">ABS(N78)/$P$3</f>
        <v>1357.739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Data'!$A$2:$B$8,MATCH(WEEKDAY('RAC V@r Total'!A79,3),'Master Data'!$A$2:$A$8,0),2)</f>
        <v>Th</v>
      </c>
      <c r="D79" s="112" t="n">
        <v>-1323282</v>
      </c>
      <c r="E79" s="112" t="n">
        <v>0</v>
      </c>
      <c r="F79" s="112" t="n">
        <v>-373587</v>
      </c>
      <c r="G79" s="112" t="n">
        <v>-9906</v>
      </c>
      <c r="H79" s="112" t="n">
        <v>-44481</v>
      </c>
      <c r="I79" s="112" t="n">
        <v>-1397190</v>
      </c>
      <c r="J79" s="112" t="n">
        <v>-44348</v>
      </c>
      <c r="K79" s="112" t="n">
        <v>-1317383</v>
      </c>
      <c r="L79" s="112" t="n">
        <v>0</v>
      </c>
      <c r="M79" s="112" t="n">
        <v>-454588</v>
      </c>
      <c r="N79" s="112" t="n">
        <v>-1358132</v>
      </c>
      <c r="P79" s="112" t="n">
        <f aca="false">ABS(D79)/$P$3</f>
        <v>1323.282</v>
      </c>
      <c r="Q79" s="112" t="n">
        <f aca="false">ABS(E79)/$P$3</f>
        <v>0</v>
      </c>
      <c r="R79" s="112" t="n">
        <f aca="false">ABS(F79)/$P$3</f>
        <v>373.587</v>
      </c>
      <c r="S79" s="112" t="n">
        <f aca="false">ABS(G79)/$P$3</f>
        <v>9.906</v>
      </c>
      <c r="T79" s="112" t="n">
        <f aca="false">ABS(H79)/$P$3</f>
        <v>44.481</v>
      </c>
      <c r="U79" s="112" t="n">
        <f aca="false">ABS(I79)/$P$3</f>
        <v>1397.19</v>
      </c>
      <c r="V79" s="112" t="n">
        <f aca="false">ABS(J79)/$P$3</f>
        <v>44.348</v>
      </c>
      <c r="W79" s="112" t="n">
        <f aca="false">ABS(K79)/$P$3</f>
        <v>1317.383</v>
      </c>
      <c r="X79" s="112" t="n">
        <f aca="false">ABS(L79)/$P$3</f>
        <v>0</v>
      </c>
      <c r="Y79" s="112" t="n">
        <f aca="false">ABS(M79)/$P$3</f>
        <v>454.588</v>
      </c>
      <c r="Z79" s="112" t="n">
        <f aca="false">ABS(N79)/$P$3</f>
        <v>1358.132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Data'!$A$2:$B$8,MATCH(WEEKDAY('RAC V@r Total'!A80,3),'Master Data'!$A$2:$A$8,0),2)</f>
        <v>F</v>
      </c>
      <c r="D80" s="112" t="n">
        <v>-1323903</v>
      </c>
      <c r="E80" s="112" t="n">
        <v>0</v>
      </c>
      <c r="F80" s="112" t="n">
        <v>-375381</v>
      </c>
      <c r="G80" s="112" t="n">
        <v>-9856</v>
      </c>
      <c r="H80" s="112" t="n">
        <v>-44514</v>
      </c>
      <c r="I80" s="112" t="n">
        <v>-1397491</v>
      </c>
      <c r="J80" s="112" t="n">
        <v>-44423</v>
      </c>
      <c r="K80" s="112" t="n">
        <v>-1318018</v>
      </c>
      <c r="L80" s="112" t="n">
        <v>0</v>
      </c>
      <c r="M80" s="112" t="n">
        <v>-453988</v>
      </c>
      <c r="N80" s="112" t="n">
        <v>-1358369</v>
      </c>
      <c r="P80" s="112" t="n">
        <f aca="false">ABS(D80)/$P$3</f>
        <v>1323.903</v>
      </c>
      <c r="Q80" s="112" t="n">
        <f aca="false">ABS(E80)/$P$3</f>
        <v>0</v>
      </c>
      <c r="R80" s="112" t="n">
        <f aca="false">ABS(F80)/$P$3</f>
        <v>375.381</v>
      </c>
      <c r="S80" s="112" t="n">
        <f aca="false">ABS(G80)/$P$3</f>
        <v>9.856</v>
      </c>
      <c r="T80" s="112" t="n">
        <f aca="false">ABS(H80)/$P$3</f>
        <v>44.514</v>
      </c>
      <c r="U80" s="112" t="n">
        <f aca="false">ABS(I80)/$P$3</f>
        <v>1397.491</v>
      </c>
      <c r="V80" s="112" t="n">
        <f aca="false">ABS(J80)/$P$3</f>
        <v>44.423</v>
      </c>
      <c r="W80" s="112" t="n">
        <f aca="false">ABS(K80)/$P$3</f>
        <v>1318.018</v>
      </c>
      <c r="X80" s="112" t="n">
        <f aca="false">ABS(L80)/$P$3</f>
        <v>0</v>
      </c>
      <c r="Y80" s="112" t="n">
        <f aca="false">ABS(M80)/$P$3</f>
        <v>453.988</v>
      </c>
      <c r="Z80" s="112" t="n">
        <f aca="false">ABS(N80)/$P$3</f>
        <v>1358.369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Data'!$A$2:$B$8,MATCH(WEEKDAY('RAC V@r Total'!A81,3),'Master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H81" s="112" t="n">
        <v>0</v>
      </c>
      <c r="I81" s="112" t="n">
        <v>0</v>
      </c>
      <c r="J81" s="112" t="n">
        <v>0</v>
      </c>
      <c r="K81" s="112" t="n">
        <v>0</v>
      </c>
      <c r="L81" s="112" t="n">
        <v>0</v>
      </c>
      <c r="M81" s="112" t="n">
        <v>0</v>
      </c>
      <c r="N81" s="112" t="n">
        <v>0</v>
      </c>
      <c r="P81" s="112" t="n">
        <f aca="false">ABS(D81)/$P$3</f>
        <v>0</v>
      </c>
      <c r="Q81" s="112" t="n">
        <f aca="false">ABS(E81)/$P$3</f>
        <v>0</v>
      </c>
      <c r="R81" s="112" t="n">
        <f aca="false">ABS(F81)/$P$3</f>
        <v>0</v>
      </c>
      <c r="S81" s="112" t="n">
        <f aca="false">ABS(G81)/$P$3</f>
        <v>0</v>
      </c>
      <c r="T81" s="112" t="n">
        <f aca="false">ABS(H81)/$P$3</f>
        <v>0</v>
      </c>
      <c r="U81" s="112" t="n">
        <f aca="false">ABS(I81)/$P$3</f>
        <v>0</v>
      </c>
      <c r="V81" s="112" t="n">
        <f aca="false">ABS(J81)/$P$3</f>
        <v>0</v>
      </c>
      <c r="W81" s="112" t="n">
        <f aca="false">ABS(K81)/$P$3</f>
        <v>0</v>
      </c>
      <c r="X81" s="112" t="n">
        <f aca="false">ABS(L81)/$P$3</f>
        <v>0</v>
      </c>
      <c r="Y81" s="112" t="n">
        <f aca="false">ABS(M81)/$P$3</f>
        <v>0</v>
      </c>
      <c r="Z81" s="112" t="n">
        <f aca="false">ABS(N81)/$P$3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Data'!$A$2:$B$8,MATCH(WEEKDAY('RAC V@r Total'!A82,3),'Master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H82" s="112" t="n">
        <v>0</v>
      </c>
      <c r="I82" s="112" t="n">
        <v>0</v>
      </c>
      <c r="J82" s="112" t="n">
        <v>0</v>
      </c>
      <c r="K82" s="112" t="n">
        <v>0</v>
      </c>
      <c r="L82" s="112" t="n">
        <v>0</v>
      </c>
      <c r="M82" s="112" t="n">
        <v>0</v>
      </c>
      <c r="N82" s="112" t="n">
        <v>0</v>
      </c>
      <c r="P82" s="112" t="n">
        <f aca="false">ABS(D82)/$P$3</f>
        <v>0</v>
      </c>
      <c r="Q82" s="112" t="n">
        <f aca="false">ABS(E82)/$P$3</f>
        <v>0</v>
      </c>
      <c r="R82" s="112" t="n">
        <f aca="false">ABS(F82)/$P$3</f>
        <v>0</v>
      </c>
      <c r="S82" s="112" t="n">
        <f aca="false">ABS(G82)/$P$3</f>
        <v>0</v>
      </c>
      <c r="T82" s="112" t="n">
        <f aca="false">ABS(H82)/$P$3</f>
        <v>0</v>
      </c>
      <c r="U82" s="112" t="n">
        <f aca="false">ABS(I82)/$P$3</f>
        <v>0</v>
      </c>
      <c r="V82" s="112" t="n">
        <f aca="false">ABS(J82)/$P$3</f>
        <v>0</v>
      </c>
      <c r="W82" s="112" t="n">
        <f aca="false">ABS(K82)/$P$3</f>
        <v>0</v>
      </c>
      <c r="X82" s="112" t="n">
        <f aca="false">ABS(L82)/$P$3</f>
        <v>0</v>
      </c>
      <c r="Y82" s="112" t="n">
        <f aca="false">ABS(M82)/$P$3</f>
        <v>0</v>
      </c>
      <c r="Z82" s="112" t="n">
        <f aca="false">ABS(N82)/$P$3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Data'!$A$2:$B$8,MATCH(WEEKDAY('RAC V@r Total'!A83,3),'Master Data'!$A$2:$A$8,0),2)</f>
        <v>M</v>
      </c>
      <c r="D83" s="112" t="n">
        <v>-1325768</v>
      </c>
      <c r="E83" s="112" t="n">
        <v>0</v>
      </c>
      <c r="F83" s="112" t="n">
        <v>-417670</v>
      </c>
      <c r="G83" s="112" t="n">
        <v>-9792</v>
      </c>
      <c r="H83" s="112" t="n">
        <v>-44499</v>
      </c>
      <c r="I83" s="112" t="n">
        <v>-1422002</v>
      </c>
      <c r="J83" s="112" t="n">
        <v>-44199</v>
      </c>
      <c r="K83" s="112" t="n">
        <v>-1319927</v>
      </c>
      <c r="L83" s="112" t="n">
        <v>0</v>
      </c>
      <c r="M83" s="112" t="n">
        <v>-487664</v>
      </c>
      <c r="N83" s="112" t="n">
        <v>-1398212</v>
      </c>
      <c r="P83" s="112" t="n">
        <f aca="false">ABS(D83)/$P$3</f>
        <v>1325.768</v>
      </c>
      <c r="Q83" s="112" t="n">
        <f aca="false">ABS(E83)/$P$3</f>
        <v>0</v>
      </c>
      <c r="R83" s="112" t="n">
        <f aca="false">ABS(F83)/$P$3</f>
        <v>417.67</v>
      </c>
      <c r="S83" s="112" t="n">
        <f aca="false">ABS(G83)/$P$3</f>
        <v>9.792</v>
      </c>
      <c r="T83" s="112" t="n">
        <f aca="false">ABS(H83)/$P$3</f>
        <v>44.499</v>
      </c>
      <c r="U83" s="112" t="n">
        <f aca="false">ABS(I83)/$P$3</f>
        <v>1422.002</v>
      </c>
      <c r="V83" s="112" t="n">
        <f aca="false">ABS(J83)/$P$3</f>
        <v>44.199</v>
      </c>
      <c r="W83" s="112" t="n">
        <f aca="false">ABS(K83)/$P$3</f>
        <v>1319.927</v>
      </c>
      <c r="X83" s="112" t="n">
        <f aca="false">ABS(L83)/$P$3</f>
        <v>0</v>
      </c>
      <c r="Y83" s="112" t="n">
        <f aca="false">ABS(M83)/$P$3</f>
        <v>487.664</v>
      </c>
      <c r="Z83" s="112" t="n">
        <f aca="false">ABS(N83)/$P$3</f>
        <v>1398.212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Data'!$A$2:$B$8,MATCH(WEEKDAY('RAC V@r Total'!A84,3),'Master Data'!$A$2:$A$8,0),2)</f>
        <v>T</v>
      </c>
      <c r="D84" s="112" t="n">
        <v>-1326390</v>
      </c>
      <c r="E84" s="112" t="n">
        <v>0</v>
      </c>
      <c r="F84" s="112" t="n">
        <v>-193077</v>
      </c>
      <c r="G84" s="112" t="n">
        <v>-9740</v>
      </c>
      <c r="H84" s="112" t="n">
        <v>-44528</v>
      </c>
      <c r="I84" s="112" t="n">
        <v>-1305282</v>
      </c>
      <c r="J84" s="112" t="n">
        <v>-44356</v>
      </c>
      <c r="K84" s="112" t="n">
        <v>-1320562</v>
      </c>
      <c r="L84" s="112" t="n">
        <v>0</v>
      </c>
      <c r="M84" s="112" t="n">
        <v>-322393</v>
      </c>
      <c r="N84" s="112" t="n">
        <v>-1297462</v>
      </c>
      <c r="P84" s="112" t="n">
        <f aca="false">ABS(D84)/$P$3</f>
        <v>1326.39</v>
      </c>
      <c r="Q84" s="112" t="n">
        <f aca="false">ABS(E84)/$P$3</f>
        <v>0</v>
      </c>
      <c r="R84" s="112" t="n">
        <f aca="false">ABS(F84)/$P$3</f>
        <v>193.077</v>
      </c>
      <c r="S84" s="112" t="n">
        <f aca="false">ABS(G84)/$P$3</f>
        <v>9.74</v>
      </c>
      <c r="T84" s="112" t="n">
        <f aca="false">ABS(H84)/$P$3</f>
        <v>44.528</v>
      </c>
      <c r="U84" s="112" t="n">
        <f aca="false">ABS(I84)/$P$3</f>
        <v>1305.282</v>
      </c>
      <c r="V84" s="112" t="n">
        <f aca="false">ABS(J84)/$P$3</f>
        <v>44.356</v>
      </c>
      <c r="W84" s="112" t="n">
        <f aca="false">ABS(K84)/$P$3</f>
        <v>1320.562</v>
      </c>
      <c r="X84" s="112" t="n">
        <f aca="false">ABS(L84)/$P$3</f>
        <v>0</v>
      </c>
      <c r="Y84" s="112" t="n">
        <f aca="false">ABS(M84)/$P$3</f>
        <v>322.393</v>
      </c>
      <c r="Z84" s="112" t="n">
        <f aca="false">ABS(N84)/$P$3</f>
        <v>1297.462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Data'!$A$2:$B$8,MATCH(WEEKDAY('RAC V@r Total'!A85,3),'Master Data'!$A$2:$A$8,0),2)</f>
        <v>W</v>
      </c>
      <c r="D85" s="112" t="n">
        <v>-1326460</v>
      </c>
      <c r="E85" s="112" t="n">
        <v>0</v>
      </c>
      <c r="F85" s="112" t="n">
        <v>-228684</v>
      </c>
      <c r="G85" s="112" t="n">
        <v>-9726</v>
      </c>
      <c r="H85" s="112" t="n">
        <v>-44569</v>
      </c>
      <c r="I85" s="112" t="n">
        <v>-1299818</v>
      </c>
      <c r="J85" s="112" t="n">
        <v>-44469</v>
      </c>
      <c r="K85" s="112" t="n">
        <v>-1320636</v>
      </c>
      <c r="L85" s="112" t="n">
        <v>0</v>
      </c>
      <c r="M85" s="112" t="n">
        <v>-347452</v>
      </c>
      <c r="N85" s="112" t="n">
        <v>-1297524</v>
      </c>
      <c r="P85" s="112" t="n">
        <f aca="false">ABS(D85)/$P$3</f>
        <v>1326.46</v>
      </c>
      <c r="Q85" s="112" t="n">
        <f aca="false">ABS(E85)/$P$3</f>
        <v>0</v>
      </c>
      <c r="R85" s="112" t="n">
        <f aca="false">ABS(F85)/$P$3</f>
        <v>228.684</v>
      </c>
      <c r="S85" s="112" t="n">
        <f aca="false">ABS(G85)/$P$3</f>
        <v>9.726</v>
      </c>
      <c r="T85" s="112" t="n">
        <f aca="false">ABS(H85)/$P$3</f>
        <v>44.569</v>
      </c>
      <c r="U85" s="112" t="n">
        <f aca="false">ABS(I85)/$P$3</f>
        <v>1299.818</v>
      </c>
      <c r="V85" s="112" t="n">
        <f aca="false">ABS(J85)/$P$3</f>
        <v>44.469</v>
      </c>
      <c r="W85" s="112" t="n">
        <f aca="false">ABS(K85)/$P$3</f>
        <v>1320.636</v>
      </c>
      <c r="X85" s="112" t="n">
        <f aca="false">ABS(L85)/$P$3</f>
        <v>0</v>
      </c>
      <c r="Y85" s="112" t="n">
        <f aca="false">ABS(M85)/$P$3</f>
        <v>347.452</v>
      </c>
      <c r="Z85" s="112" t="n">
        <f aca="false">ABS(N85)/$P$3</f>
        <v>1297.524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Data'!$A$2:$B$8,MATCH(WEEKDAY('RAC V@r Total'!A86,3),'Master Data'!$A$2:$A$8,0),2)</f>
        <v>Th</v>
      </c>
      <c r="D86" s="112" t="n">
        <v>-510936</v>
      </c>
      <c r="E86" s="112" t="n">
        <v>0</v>
      </c>
      <c r="F86" s="112" t="n">
        <v>0</v>
      </c>
      <c r="G86" s="112" t="n">
        <v>-9626</v>
      </c>
      <c r="H86" s="112" t="n">
        <v>-44600</v>
      </c>
      <c r="I86" s="112" t="n">
        <v>-510936</v>
      </c>
      <c r="J86" s="112" t="n">
        <v>-44538</v>
      </c>
      <c r="K86" s="112" t="n">
        <v>-504029</v>
      </c>
      <c r="L86" s="112" t="n">
        <v>0</v>
      </c>
      <c r="M86" s="112" t="n">
        <v>-44600</v>
      </c>
      <c r="N86" s="112" t="n">
        <v>-501614</v>
      </c>
      <c r="P86" s="112" t="n">
        <f aca="false">ABS(D86)/$P$3</f>
        <v>510.936</v>
      </c>
      <c r="Q86" s="112" t="n">
        <f aca="false">ABS(E86)/$P$3</f>
        <v>0</v>
      </c>
      <c r="R86" s="112" t="n">
        <f aca="false">ABS(F86)/$P$3</f>
        <v>0</v>
      </c>
      <c r="S86" s="112" t="n">
        <f aca="false">ABS(G86)/$P$3</f>
        <v>9.626</v>
      </c>
      <c r="T86" s="112" t="n">
        <f aca="false">ABS(H86)/$P$3</f>
        <v>44.6</v>
      </c>
      <c r="U86" s="112" t="n">
        <f aca="false">ABS(I86)/$P$3</f>
        <v>510.936</v>
      </c>
      <c r="V86" s="112" t="n">
        <f aca="false">ABS(J86)/$P$3</f>
        <v>44.538</v>
      </c>
      <c r="W86" s="112" t="n">
        <f aca="false">ABS(K86)/$P$3</f>
        <v>504.029</v>
      </c>
      <c r="X86" s="112" t="n">
        <f aca="false">ABS(L86)/$P$3</f>
        <v>0</v>
      </c>
      <c r="Y86" s="112" t="n">
        <f aca="false">ABS(M86)/$P$3</f>
        <v>44.6</v>
      </c>
      <c r="Z86" s="112" t="n">
        <f aca="false">ABS(N86)/$P$3</f>
        <v>501.614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Data'!$A$2:$B$8,MATCH(WEEKDAY('RAC V@r Total'!A87,3),'Master Data'!$A$2:$A$8,0),2)</f>
        <v>F</v>
      </c>
      <c r="D87" s="112" t="n">
        <v>-511164</v>
      </c>
      <c r="E87" s="112" t="n">
        <v>0</v>
      </c>
      <c r="F87" s="112" t="n">
        <v>0</v>
      </c>
      <c r="G87" s="112" t="n">
        <v>-9576</v>
      </c>
      <c r="H87" s="112" t="n">
        <v>-44530</v>
      </c>
      <c r="I87" s="112" t="n">
        <v>-511164</v>
      </c>
      <c r="J87" s="112" t="n">
        <v>-44307</v>
      </c>
      <c r="K87" s="112" t="n">
        <v>-504278</v>
      </c>
      <c r="L87" s="112" t="n">
        <v>0</v>
      </c>
      <c r="M87" s="112" t="n">
        <v>-44530</v>
      </c>
      <c r="N87" s="112" t="n">
        <v>-502063</v>
      </c>
      <c r="P87" s="112" t="n">
        <f aca="false">ABS(D87)/$P$3</f>
        <v>511.164</v>
      </c>
      <c r="Q87" s="112" t="n">
        <f aca="false">ABS(E87)/$P$3</f>
        <v>0</v>
      </c>
      <c r="R87" s="112" t="n">
        <f aca="false">ABS(F87)/$P$3</f>
        <v>0</v>
      </c>
      <c r="S87" s="112" t="n">
        <f aca="false">ABS(G87)/$P$3</f>
        <v>9.576</v>
      </c>
      <c r="T87" s="112" t="n">
        <f aca="false">ABS(H87)/$P$3</f>
        <v>44.53</v>
      </c>
      <c r="U87" s="112" t="n">
        <f aca="false">ABS(I87)/$P$3</f>
        <v>511.164</v>
      </c>
      <c r="V87" s="112" t="n">
        <f aca="false">ABS(J87)/$P$3</f>
        <v>44.307</v>
      </c>
      <c r="W87" s="112" t="n">
        <f aca="false">ABS(K87)/$P$3</f>
        <v>504.278</v>
      </c>
      <c r="X87" s="112" t="n">
        <f aca="false">ABS(L87)/$P$3</f>
        <v>0</v>
      </c>
      <c r="Y87" s="112" t="n">
        <f aca="false">ABS(M87)/$P$3</f>
        <v>44.53</v>
      </c>
      <c r="Z87" s="112" t="n">
        <f aca="false">ABS(N87)/$P$3</f>
        <v>502.063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Data'!$A$2:$B$8,MATCH(WEEKDAY('RAC V@r Total'!A88,3),'Master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H88" s="112" t="n">
        <v>0</v>
      </c>
      <c r="I88" s="112" t="n">
        <v>0</v>
      </c>
      <c r="J88" s="112" t="n">
        <v>0</v>
      </c>
      <c r="K88" s="112" t="n">
        <v>0</v>
      </c>
      <c r="L88" s="112" t="n">
        <v>0</v>
      </c>
      <c r="M88" s="112" t="n">
        <v>0</v>
      </c>
      <c r="N88" s="112" t="n">
        <v>0</v>
      </c>
      <c r="P88" s="112" t="n">
        <f aca="false">ABS(D88)/$P$3</f>
        <v>0</v>
      </c>
      <c r="Q88" s="112" t="n">
        <f aca="false">ABS(E88)/$P$3</f>
        <v>0</v>
      </c>
      <c r="R88" s="112" t="n">
        <f aca="false">ABS(F88)/$P$3</f>
        <v>0</v>
      </c>
      <c r="S88" s="112" t="n">
        <f aca="false">ABS(G88)/$P$3</f>
        <v>0</v>
      </c>
      <c r="T88" s="112" t="n">
        <f aca="false">ABS(H88)/$P$3</f>
        <v>0</v>
      </c>
      <c r="U88" s="112" t="n">
        <f aca="false">ABS(I88)/$P$3</f>
        <v>0</v>
      </c>
      <c r="V88" s="112" t="n">
        <f aca="false">ABS(J88)/$P$3</f>
        <v>0</v>
      </c>
      <c r="W88" s="112" t="n">
        <f aca="false">ABS(K88)/$P$3</f>
        <v>0</v>
      </c>
      <c r="X88" s="112" t="n">
        <f aca="false">ABS(L88)/$P$3</f>
        <v>0</v>
      </c>
      <c r="Y88" s="112" t="n">
        <f aca="false">ABS(M88)/$P$3</f>
        <v>0</v>
      </c>
      <c r="Z88" s="112" t="n">
        <f aca="false">ABS(N88)/$P$3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Data'!$A$2:$B$8,MATCH(WEEKDAY('RAC V@r Total'!A89,3),'Master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H89" s="112" t="n">
        <v>0</v>
      </c>
      <c r="I89" s="112" t="n">
        <v>0</v>
      </c>
      <c r="J89" s="112" t="n">
        <v>0</v>
      </c>
      <c r="K89" s="112" t="n">
        <v>0</v>
      </c>
      <c r="L89" s="112" t="n">
        <v>0</v>
      </c>
      <c r="M89" s="112" t="n">
        <v>0</v>
      </c>
      <c r="N89" s="112" t="n">
        <v>0</v>
      </c>
      <c r="P89" s="112" t="n">
        <f aca="false">ABS(D89)/$P$3</f>
        <v>0</v>
      </c>
      <c r="Q89" s="112" t="n">
        <f aca="false">ABS(E89)/$P$3</f>
        <v>0</v>
      </c>
      <c r="R89" s="112" t="n">
        <f aca="false">ABS(F89)/$P$3</f>
        <v>0</v>
      </c>
      <c r="S89" s="112" t="n">
        <f aca="false">ABS(G89)/$P$3</f>
        <v>0</v>
      </c>
      <c r="T89" s="112" t="n">
        <f aca="false">ABS(H89)/$P$3</f>
        <v>0</v>
      </c>
      <c r="U89" s="112" t="n">
        <f aca="false">ABS(I89)/$P$3</f>
        <v>0</v>
      </c>
      <c r="V89" s="112" t="n">
        <f aca="false">ABS(J89)/$P$3</f>
        <v>0</v>
      </c>
      <c r="W89" s="112" t="n">
        <f aca="false">ABS(K89)/$P$3</f>
        <v>0</v>
      </c>
      <c r="X89" s="112" t="n">
        <f aca="false">ABS(L89)/$P$3</f>
        <v>0</v>
      </c>
      <c r="Y89" s="112" t="n">
        <f aca="false">ABS(M89)/$P$3</f>
        <v>0</v>
      </c>
      <c r="Z89" s="112" t="n">
        <f aca="false">ABS(N89)/$P$3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Data'!$A$2:$B$8,MATCH(WEEKDAY('RAC V@r Total'!A90,3),'Master Data'!$A$2:$A$8,0),2)</f>
        <v>M</v>
      </c>
      <c r="D90" s="112" t="n">
        <v>-511846</v>
      </c>
      <c r="E90" s="112" t="n">
        <v>0</v>
      </c>
      <c r="F90" s="112" t="n">
        <v>0</v>
      </c>
      <c r="G90" s="112" t="n">
        <v>-9451</v>
      </c>
      <c r="H90" s="112" t="n">
        <v>-44505</v>
      </c>
      <c r="I90" s="112" t="n">
        <v>-511846</v>
      </c>
      <c r="J90" s="112" t="n">
        <v>-44178</v>
      </c>
      <c r="K90" s="112" t="n">
        <v>-505013</v>
      </c>
      <c r="L90" s="112" t="n">
        <v>0</v>
      </c>
      <c r="M90" s="112" t="n">
        <v>-44505</v>
      </c>
      <c r="N90" s="112" t="n">
        <v>-502976</v>
      </c>
      <c r="P90" s="112" t="n">
        <f aca="false">ABS(D90)/$P$3</f>
        <v>511.846</v>
      </c>
      <c r="Q90" s="112" t="n">
        <f aca="false">ABS(E90)/$P$3</f>
        <v>0</v>
      </c>
      <c r="R90" s="112" t="n">
        <f aca="false">ABS(F90)/$P$3</f>
        <v>0</v>
      </c>
      <c r="S90" s="112" t="n">
        <f aca="false">ABS(G90)/$P$3</f>
        <v>9.451</v>
      </c>
      <c r="T90" s="112" t="n">
        <f aca="false">ABS(H90)/$P$3</f>
        <v>44.505</v>
      </c>
      <c r="U90" s="112" t="n">
        <f aca="false">ABS(I90)/$P$3</f>
        <v>511.846</v>
      </c>
      <c r="V90" s="112" t="n">
        <f aca="false">ABS(J90)/$P$3</f>
        <v>44.178</v>
      </c>
      <c r="W90" s="112" t="n">
        <f aca="false">ABS(K90)/$P$3</f>
        <v>505.013</v>
      </c>
      <c r="X90" s="112" t="n">
        <f aca="false">ABS(L90)/$P$3</f>
        <v>0</v>
      </c>
      <c r="Y90" s="112" t="n">
        <f aca="false">ABS(M90)/$P$3</f>
        <v>44.505</v>
      </c>
      <c r="Z90" s="112" t="n">
        <f aca="false">ABS(N90)/$P$3</f>
        <v>502.976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Data'!$A$2:$B$8,MATCH(WEEKDAY('RAC V@r Total'!A91,3),'Master Data'!$A$2:$A$8,0),2)</f>
        <v>T</v>
      </c>
      <c r="D91" s="112" t="n">
        <v>-512073</v>
      </c>
      <c r="E91" s="112" t="n">
        <v>0</v>
      </c>
      <c r="F91" s="112" t="n">
        <v>0</v>
      </c>
      <c r="G91" s="112" t="n">
        <v>-9405</v>
      </c>
      <c r="H91" s="112" t="n">
        <v>-44191</v>
      </c>
      <c r="I91" s="112" t="n">
        <v>-512073</v>
      </c>
      <c r="J91" s="112" t="n">
        <v>-43774</v>
      </c>
      <c r="K91" s="112" t="n">
        <v>-505260</v>
      </c>
      <c r="L91" s="112" t="n">
        <v>0</v>
      </c>
      <c r="M91" s="112" t="n">
        <v>-44191</v>
      </c>
      <c r="N91" s="112" t="n">
        <v>-503543</v>
      </c>
      <c r="P91" s="112" t="n">
        <f aca="false">ABS(D91)/$P$3</f>
        <v>512.073</v>
      </c>
      <c r="Q91" s="112" t="n">
        <f aca="false">ABS(E91)/$P$3</f>
        <v>0</v>
      </c>
      <c r="R91" s="112" t="n">
        <f aca="false">ABS(F91)/$P$3</f>
        <v>0</v>
      </c>
      <c r="S91" s="112" t="n">
        <f aca="false">ABS(G91)/$P$3</f>
        <v>9.405</v>
      </c>
      <c r="T91" s="112" t="n">
        <f aca="false">ABS(H91)/$P$3</f>
        <v>44.191</v>
      </c>
      <c r="U91" s="112" t="n">
        <f aca="false">ABS(I91)/$P$3</f>
        <v>512.073</v>
      </c>
      <c r="V91" s="112" t="n">
        <f aca="false">ABS(J91)/$P$3</f>
        <v>43.774</v>
      </c>
      <c r="W91" s="112" t="n">
        <f aca="false">ABS(K91)/$P$3</f>
        <v>505.26</v>
      </c>
      <c r="X91" s="112" t="n">
        <f aca="false">ABS(L91)/$P$3</f>
        <v>0</v>
      </c>
      <c r="Y91" s="112" t="n">
        <f aca="false">ABS(M91)/$P$3</f>
        <v>44.191</v>
      </c>
      <c r="Z91" s="112" t="n">
        <f aca="false">ABS(N91)/$P$3</f>
        <v>503.543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Data'!$A$2:$B$8,MATCH(WEEKDAY('RAC V@r Total'!A92,3),'Master Data'!$A$2:$A$8,0),2)</f>
        <v>W</v>
      </c>
      <c r="D92" s="112" t="n">
        <v>-454424</v>
      </c>
      <c r="E92" s="112" t="n">
        <v>0</v>
      </c>
      <c r="F92" s="112" t="n">
        <v>0</v>
      </c>
      <c r="G92" s="112" t="n">
        <v>-7445</v>
      </c>
      <c r="H92" s="112" t="n">
        <v>-46236</v>
      </c>
      <c r="I92" s="112" t="n">
        <v>-454424</v>
      </c>
      <c r="J92" s="112" t="n">
        <v>-47795</v>
      </c>
      <c r="K92" s="112" t="n">
        <v>-448457</v>
      </c>
      <c r="L92" s="112" t="n">
        <v>0</v>
      </c>
      <c r="M92" s="112" t="n">
        <v>-46236</v>
      </c>
      <c r="N92" s="112" t="n">
        <v>-453043</v>
      </c>
      <c r="P92" s="112" t="n">
        <f aca="false">ABS(D92)/$P$3</f>
        <v>454.424</v>
      </c>
      <c r="Q92" s="112" t="n">
        <f aca="false">ABS(E92)/$P$3</f>
        <v>0</v>
      </c>
      <c r="R92" s="112" t="n">
        <f aca="false">ABS(F92)/$P$3</f>
        <v>0</v>
      </c>
      <c r="S92" s="112" t="n">
        <f aca="false">ABS(G92)/$P$3</f>
        <v>7.445</v>
      </c>
      <c r="T92" s="112" t="n">
        <f aca="false">ABS(H92)/$P$3</f>
        <v>46.236</v>
      </c>
      <c r="U92" s="112" t="n">
        <f aca="false">ABS(I92)/$P$3</f>
        <v>454.424</v>
      </c>
      <c r="V92" s="112" t="n">
        <f aca="false">ABS(J92)/$P$3</f>
        <v>47.795</v>
      </c>
      <c r="W92" s="112" t="n">
        <f aca="false">ABS(K92)/$P$3</f>
        <v>448.457</v>
      </c>
      <c r="X92" s="112" t="n">
        <f aca="false">ABS(L92)/$P$3</f>
        <v>0</v>
      </c>
      <c r="Y92" s="112" t="n">
        <f aca="false">ABS(M92)/$P$3</f>
        <v>46.236</v>
      </c>
      <c r="Z92" s="112" t="n">
        <f aca="false">ABS(N92)/$P$3</f>
        <v>453.043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Data'!$A$2:$B$8,MATCH(WEEKDAY('RAC V@r Total'!A93,3),'Master Data'!$A$2:$A$8,0),2)</f>
        <v>Th</v>
      </c>
      <c r="D93" s="112" t="n">
        <v>-454622</v>
      </c>
      <c r="E93" s="112" t="n">
        <v>0</v>
      </c>
      <c r="F93" s="112" t="n">
        <v>0</v>
      </c>
      <c r="G93" s="112" t="n">
        <v>-7394</v>
      </c>
      <c r="H93" s="112" t="n">
        <v>-46285</v>
      </c>
      <c r="I93" s="112" t="n">
        <v>-454622</v>
      </c>
      <c r="J93" s="112" t="n">
        <v>-47817</v>
      </c>
      <c r="K93" s="112" t="n">
        <v>-448699</v>
      </c>
      <c r="L93" s="112" t="n">
        <v>0</v>
      </c>
      <c r="M93" s="112" t="n">
        <v>-46285</v>
      </c>
      <c r="N93" s="112" t="n">
        <v>-453336</v>
      </c>
      <c r="P93" s="112" t="n">
        <f aca="false">ABS(D93)/$P$3</f>
        <v>454.622</v>
      </c>
      <c r="Q93" s="112" t="n">
        <f aca="false">ABS(E93)/$P$3</f>
        <v>0</v>
      </c>
      <c r="R93" s="112" t="n">
        <f aca="false">ABS(F93)/$P$3</f>
        <v>0</v>
      </c>
      <c r="S93" s="112" t="n">
        <f aca="false">ABS(G93)/$P$3</f>
        <v>7.394</v>
      </c>
      <c r="T93" s="112" t="n">
        <f aca="false">ABS(H93)/$P$3</f>
        <v>46.285</v>
      </c>
      <c r="U93" s="112" t="n">
        <f aca="false">ABS(I93)/$P$3</f>
        <v>454.622</v>
      </c>
      <c r="V93" s="112" t="n">
        <f aca="false">ABS(J93)/$P$3</f>
        <v>47.817</v>
      </c>
      <c r="W93" s="112" t="n">
        <f aca="false">ABS(K93)/$P$3</f>
        <v>448.699</v>
      </c>
      <c r="X93" s="112" t="n">
        <f aca="false">ABS(L93)/$P$3</f>
        <v>0</v>
      </c>
      <c r="Y93" s="112" t="n">
        <f aca="false">ABS(M93)/$P$3</f>
        <v>46.285</v>
      </c>
      <c r="Z93" s="112" t="n">
        <f aca="false">ABS(N93)/$P$3</f>
        <v>453.336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Data'!$A$2:$B$8,MATCH(WEEKDAY('RAC V@r Total'!A94,3),'Master Data'!$A$2:$A$8,0),2)</f>
        <v>F</v>
      </c>
      <c r="D94" s="112" t="n">
        <v>-446626</v>
      </c>
      <c r="E94" s="112" t="n">
        <v>0</v>
      </c>
      <c r="F94" s="112" t="n">
        <v>0</v>
      </c>
      <c r="G94" s="112" t="n">
        <v>-7352</v>
      </c>
      <c r="H94" s="112" t="n">
        <v>-45930</v>
      </c>
      <c r="I94" s="112" t="n">
        <v>-446626</v>
      </c>
      <c r="J94" s="112" t="n">
        <v>-47491</v>
      </c>
      <c r="K94" s="112" t="n">
        <v>-440737</v>
      </c>
      <c r="L94" s="112" t="n">
        <v>0</v>
      </c>
      <c r="M94" s="112" t="n">
        <v>-45930</v>
      </c>
      <c r="N94" s="112" t="n">
        <v>-444086</v>
      </c>
      <c r="P94" s="112" t="n">
        <f aca="false">ABS(D94)/$P$3</f>
        <v>446.626</v>
      </c>
      <c r="Q94" s="112" t="n">
        <f aca="false">ABS(E94)/$P$3</f>
        <v>0</v>
      </c>
      <c r="R94" s="112" t="n">
        <f aca="false">ABS(F94)/$P$3</f>
        <v>0</v>
      </c>
      <c r="S94" s="112" t="n">
        <f aca="false">ABS(G94)/$P$3</f>
        <v>7.352</v>
      </c>
      <c r="T94" s="112" t="n">
        <f aca="false">ABS(H94)/$P$3</f>
        <v>45.93</v>
      </c>
      <c r="U94" s="112" t="n">
        <f aca="false">ABS(I94)/$P$3</f>
        <v>446.626</v>
      </c>
      <c r="V94" s="112" t="n">
        <f aca="false">ABS(J94)/$P$3</f>
        <v>47.491</v>
      </c>
      <c r="W94" s="112" t="n">
        <f aca="false">ABS(K94)/$P$3</f>
        <v>440.737</v>
      </c>
      <c r="X94" s="112" t="n">
        <f aca="false">ABS(L94)/$P$3</f>
        <v>0</v>
      </c>
      <c r="Y94" s="112" t="n">
        <f aca="false">ABS(M94)/$P$3</f>
        <v>45.93</v>
      </c>
      <c r="Z94" s="112" t="n">
        <f aca="false">ABS(N94)/$P$3</f>
        <v>444.086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Data'!$A$2:$B$8,MATCH(WEEKDAY('RAC V@r Total'!A95,3),'Master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H95" s="112" t="n">
        <v>0</v>
      </c>
      <c r="I95" s="112" t="n">
        <v>0</v>
      </c>
      <c r="J95" s="112" t="n">
        <v>0</v>
      </c>
      <c r="K95" s="112" t="n">
        <v>0</v>
      </c>
      <c r="L95" s="112" t="n">
        <v>0</v>
      </c>
      <c r="M95" s="112" t="n">
        <v>0</v>
      </c>
      <c r="N95" s="112" t="n">
        <v>0</v>
      </c>
      <c r="P95" s="112" t="n">
        <f aca="false">ABS(D95)/$P$3</f>
        <v>0</v>
      </c>
      <c r="Q95" s="112" t="n">
        <f aca="false">ABS(E95)/$P$3</f>
        <v>0</v>
      </c>
      <c r="R95" s="112" t="n">
        <f aca="false">ABS(F95)/$P$3</f>
        <v>0</v>
      </c>
      <c r="S95" s="112" t="n">
        <f aca="false">ABS(G95)/$P$3</f>
        <v>0</v>
      </c>
      <c r="T95" s="112" t="n">
        <f aca="false">ABS(H95)/$P$3</f>
        <v>0</v>
      </c>
      <c r="U95" s="112" t="n">
        <f aca="false">ABS(I95)/$P$3</f>
        <v>0</v>
      </c>
      <c r="V95" s="112" t="n">
        <f aca="false">ABS(J95)/$P$3</f>
        <v>0</v>
      </c>
      <c r="W95" s="112" t="n">
        <f aca="false">ABS(K95)/$P$3</f>
        <v>0</v>
      </c>
      <c r="X95" s="112" t="n">
        <f aca="false">ABS(L95)/$P$3</f>
        <v>0</v>
      </c>
      <c r="Y95" s="112" t="n">
        <f aca="false">ABS(M95)/$P$3</f>
        <v>0</v>
      </c>
      <c r="Z95" s="112" t="n">
        <f aca="false">ABS(N95)/$P$3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Data'!$A$2:$B$8,MATCH(WEEKDAY('RAC V@r Total'!A96,3),'Master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H96" s="112" t="n">
        <v>0</v>
      </c>
      <c r="I96" s="112" t="n">
        <v>0</v>
      </c>
      <c r="J96" s="112" t="n">
        <v>0</v>
      </c>
      <c r="K96" s="112" t="n">
        <v>0</v>
      </c>
      <c r="L96" s="112" t="n">
        <v>0</v>
      </c>
      <c r="M96" s="112" t="n">
        <v>0</v>
      </c>
      <c r="N96" s="112" t="n">
        <v>0</v>
      </c>
      <c r="P96" s="112" t="n">
        <f aca="false">ABS(D96)/$P$3</f>
        <v>0</v>
      </c>
      <c r="Q96" s="112" t="n">
        <f aca="false">ABS(E96)/$P$3</f>
        <v>0</v>
      </c>
      <c r="R96" s="112" t="n">
        <f aca="false">ABS(F96)/$P$3</f>
        <v>0</v>
      </c>
      <c r="S96" s="112" t="n">
        <f aca="false">ABS(G96)/$P$3</f>
        <v>0</v>
      </c>
      <c r="T96" s="112" t="n">
        <f aca="false">ABS(H96)/$P$3</f>
        <v>0</v>
      </c>
      <c r="U96" s="112" t="n">
        <f aca="false">ABS(I96)/$P$3</f>
        <v>0</v>
      </c>
      <c r="V96" s="112" t="n">
        <f aca="false">ABS(J96)/$P$3</f>
        <v>0</v>
      </c>
      <c r="W96" s="112" t="n">
        <f aca="false">ABS(K96)/$P$3</f>
        <v>0</v>
      </c>
      <c r="X96" s="112" t="n">
        <f aca="false">ABS(L96)/$P$3</f>
        <v>0</v>
      </c>
      <c r="Y96" s="112" t="n">
        <f aca="false">ABS(M96)/$P$3</f>
        <v>0</v>
      </c>
      <c r="Z96" s="112" t="n">
        <f aca="false">ABS(N96)/$P$3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Data'!$A$2:$B$8,MATCH(WEEKDAY('RAC V@r Total'!A97,3),'Master Data'!$A$2:$A$8,0),2)</f>
        <v>M</v>
      </c>
      <c r="D97" s="112" t="n">
        <v>-464722</v>
      </c>
      <c r="E97" s="112" t="n">
        <v>0</v>
      </c>
      <c r="F97" s="112" t="n">
        <v>0</v>
      </c>
      <c r="G97" s="112" t="n">
        <v>-9008</v>
      </c>
      <c r="H97" s="112" t="n">
        <v>-44984</v>
      </c>
      <c r="I97" s="112" t="n">
        <v>-464722</v>
      </c>
      <c r="J97" s="112" t="n">
        <v>-45982</v>
      </c>
      <c r="K97" s="112" t="n">
        <v>-455580</v>
      </c>
      <c r="L97" s="112" t="n">
        <v>0</v>
      </c>
      <c r="M97" s="112" t="n">
        <v>-44984</v>
      </c>
      <c r="N97" s="112" t="n">
        <v>-461116</v>
      </c>
      <c r="P97" s="112" t="n">
        <f aca="false">ABS(D97)/$P$3</f>
        <v>464.722</v>
      </c>
      <c r="Q97" s="112" t="n">
        <f aca="false">ABS(E97)/$P$3</f>
        <v>0</v>
      </c>
      <c r="R97" s="112" t="n">
        <f aca="false">ABS(F97)/$P$3</f>
        <v>0</v>
      </c>
      <c r="S97" s="112" t="n">
        <f aca="false">ABS(G97)/$P$3</f>
        <v>9.008</v>
      </c>
      <c r="T97" s="112" t="n">
        <f aca="false">ABS(H97)/$P$3</f>
        <v>44.984</v>
      </c>
      <c r="U97" s="112" t="n">
        <f aca="false">ABS(I97)/$P$3</f>
        <v>464.722</v>
      </c>
      <c r="V97" s="112" t="n">
        <f aca="false">ABS(J97)/$P$3</f>
        <v>45.982</v>
      </c>
      <c r="W97" s="112" t="n">
        <f aca="false">ABS(K97)/$P$3</f>
        <v>455.58</v>
      </c>
      <c r="X97" s="112" t="n">
        <f aca="false">ABS(L97)/$P$3</f>
        <v>0</v>
      </c>
      <c r="Y97" s="112" t="n">
        <f aca="false">ABS(M97)/$P$3</f>
        <v>44.984</v>
      </c>
      <c r="Z97" s="112" t="n">
        <f aca="false">ABS(N97)/$P$3</f>
        <v>461.116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Data'!$A$2:$B$8,MATCH(WEEKDAY('RAC V@r Total'!A98,3),'Master Data'!$A$2:$A$8,0),2)</f>
        <v>T</v>
      </c>
      <c r="D98" s="112" t="n">
        <v>-464925</v>
      </c>
      <c r="E98" s="112" t="n">
        <v>0</v>
      </c>
      <c r="F98" s="112" t="n">
        <v>0</v>
      </c>
      <c r="G98" s="112" t="n">
        <v>-8902</v>
      </c>
      <c r="H98" s="112" t="n">
        <v>-56007</v>
      </c>
      <c r="I98" s="112" t="n">
        <v>-464925</v>
      </c>
      <c r="J98" s="112" t="n">
        <v>-56721</v>
      </c>
      <c r="K98" s="112" t="n">
        <v>-455886</v>
      </c>
      <c r="L98" s="112" t="n">
        <v>0</v>
      </c>
      <c r="M98" s="112" t="n">
        <v>-26999</v>
      </c>
      <c r="N98" s="112" t="n">
        <v>-460989</v>
      </c>
      <c r="P98" s="112" t="n">
        <f aca="false">ABS(D98)/$P$3</f>
        <v>464.925</v>
      </c>
      <c r="Q98" s="112" t="n">
        <f aca="false">ABS(E98)/$P$3</f>
        <v>0</v>
      </c>
      <c r="R98" s="112" t="n">
        <f aca="false">ABS(F98)/$P$3</f>
        <v>0</v>
      </c>
      <c r="S98" s="112" t="n">
        <f aca="false">ABS(G98)/$P$3</f>
        <v>8.902</v>
      </c>
      <c r="T98" s="112" t="n">
        <f aca="false">ABS(H98)/$P$3</f>
        <v>56.007</v>
      </c>
      <c r="U98" s="112" t="n">
        <f aca="false">ABS(I98)/$P$3</f>
        <v>464.925</v>
      </c>
      <c r="V98" s="112" t="n">
        <f aca="false">ABS(J98)/$P$3</f>
        <v>56.721</v>
      </c>
      <c r="W98" s="112" t="n">
        <f aca="false">ABS(K98)/$P$3</f>
        <v>455.886</v>
      </c>
      <c r="X98" s="112" t="n">
        <f aca="false">ABS(L98)/$P$3</f>
        <v>0</v>
      </c>
      <c r="Y98" s="112" t="n">
        <f aca="false">ABS(M98)/$P$3</f>
        <v>26.999</v>
      </c>
      <c r="Z98" s="112" t="n">
        <f aca="false">ABS(N98)/$P$3</f>
        <v>460.989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Data'!$A$2:$B$8,MATCH(WEEKDAY('RAC V@r Total'!A99,3),'Master Data'!$A$2:$A$8,0),2)</f>
        <v>W</v>
      </c>
      <c r="D99" s="112" t="n">
        <v>-465123</v>
      </c>
      <c r="E99" s="112" t="n">
        <v>0</v>
      </c>
      <c r="F99" s="112" t="n">
        <v>0</v>
      </c>
      <c r="G99" s="112" t="n">
        <v>-8582</v>
      </c>
      <c r="H99" s="112" t="n">
        <v>-56059</v>
      </c>
      <c r="I99" s="112" t="n">
        <v>-465123</v>
      </c>
      <c r="J99" s="112" t="n">
        <v>-56754</v>
      </c>
      <c r="K99" s="112" t="n">
        <v>-456389</v>
      </c>
      <c r="L99" s="112" t="n">
        <v>0</v>
      </c>
      <c r="M99" s="112" t="n">
        <v>-27053</v>
      </c>
      <c r="N99" s="112" t="n">
        <v>-461419</v>
      </c>
      <c r="P99" s="112" t="n">
        <f aca="false">ABS(D99)/$P$3</f>
        <v>465.123</v>
      </c>
      <c r="Q99" s="112" t="n">
        <f aca="false">ABS(E99)/$P$3</f>
        <v>0</v>
      </c>
      <c r="R99" s="112" t="n">
        <f aca="false">ABS(F99)/$P$3</f>
        <v>0</v>
      </c>
      <c r="S99" s="112" t="n">
        <f aca="false">ABS(G99)/$P$3</f>
        <v>8.582</v>
      </c>
      <c r="T99" s="112" t="n">
        <f aca="false">ABS(H99)/$P$3</f>
        <v>56.059</v>
      </c>
      <c r="U99" s="112" t="n">
        <f aca="false">ABS(I99)/$P$3</f>
        <v>465.123</v>
      </c>
      <c r="V99" s="112" t="n">
        <f aca="false">ABS(J99)/$P$3</f>
        <v>56.754</v>
      </c>
      <c r="W99" s="112" t="n">
        <f aca="false">ABS(K99)/$P$3</f>
        <v>456.389</v>
      </c>
      <c r="X99" s="112" t="n">
        <f aca="false">ABS(L99)/$P$3</f>
        <v>0</v>
      </c>
      <c r="Y99" s="112" t="n">
        <f aca="false">ABS(M99)/$P$3</f>
        <v>27.053</v>
      </c>
      <c r="Z99" s="112" t="n">
        <f aca="false">ABS(N99)/$P$3</f>
        <v>461.419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Data'!$A$2:$B$8,MATCH(WEEKDAY('RAC V@r Total'!A100,3),'Master Data'!$A$2:$A$8,0),2)</f>
        <v>Th</v>
      </c>
      <c r="D100" s="112" t="n">
        <v>-465320</v>
      </c>
      <c r="E100" s="112" t="n">
        <v>0</v>
      </c>
      <c r="F100" s="112" t="n">
        <v>0</v>
      </c>
      <c r="G100" s="112" t="n">
        <v>-8518</v>
      </c>
      <c r="H100" s="112" t="n">
        <v>-55976</v>
      </c>
      <c r="I100" s="112" t="n">
        <v>-465320</v>
      </c>
      <c r="J100" s="112" t="n">
        <v>-56635</v>
      </c>
      <c r="K100" s="112" t="n">
        <v>-456670</v>
      </c>
      <c r="L100" s="112" t="n">
        <v>0</v>
      </c>
      <c r="M100" s="112" t="n">
        <v>-26943</v>
      </c>
      <c r="N100" s="112" t="n">
        <v>-461656</v>
      </c>
      <c r="P100" s="112" t="n">
        <f aca="false">ABS(D100)/$P$3</f>
        <v>465.32</v>
      </c>
      <c r="Q100" s="112" t="n">
        <f aca="false">ABS(E100)/$P$3</f>
        <v>0</v>
      </c>
      <c r="R100" s="112" t="n">
        <f aca="false">ABS(F100)/$P$3</f>
        <v>0</v>
      </c>
      <c r="S100" s="112" t="n">
        <f aca="false">ABS(G100)/$P$3</f>
        <v>8.518</v>
      </c>
      <c r="T100" s="112" t="n">
        <f aca="false">ABS(H100)/$P$3</f>
        <v>55.976</v>
      </c>
      <c r="U100" s="112" t="n">
        <f aca="false">ABS(I100)/$P$3</f>
        <v>465.32</v>
      </c>
      <c r="V100" s="112" t="n">
        <f aca="false">ABS(J100)/$P$3</f>
        <v>56.635</v>
      </c>
      <c r="W100" s="112" t="n">
        <f aca="false">ABS(K100)/$P$3</f>
        <v>456.67</v>
      </c>
      <c r="X100" s="112" t="n">
        <f aca="false">ABS(L100)/$P$3</f>
        <v>0</v>
      </c>
      <c r="Y100" s="112" t="n">
        <f aca="false">ABS(M100)/$P$3</f>
        <v>26.943</v>
      </c>
      <c r="Z100" s="112" t="n">
        <f aca="false">ABS(N100)/$P$3</f>
        <v>461.656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Data'!$A$2:$B$8,MATCH(WEEKDAY('RAC V@r Total'!A101,3),'Master Data'!$A$2:$A$8,0),2)</f>
        <v>F</v>
      </c>
      <c r="D101" s="112" t="n">
        <v>-465516</v>
      </c>
      <c r="E101" s="112" t="n">
        <v>0</v>
      </c>
      <c r="F101" s="112" t="n">
        <v>0</v>
      </c>
      <c r="G101" s="112" t="n">
        <v>-8453</v>
      </c>
      <c r="H101" s="112" t="n">
        <v>-56188</v>
      </c>
      <c r="I101" s="112" t="n">
        <v>-465516</v>
      </c>
      <c r="J101" s="112" t="n">
        <v>-56926</v>
      </c>
      <c r="K101" s="112" t="n">
        <v>-456950</v>
      </c>
      <c r="L101" s="112" t="n">
        <v>0</v>
      </c>
      <c r="M101" s="112" t="n">
        <v>-27211</v>
      </c>
      <c r="N101" s="112" t="n">
        <v>-462008</v>
      </c>
      <c r="P101" s="112" t="n">
        <f aca="false">ABS(D101)/$P$3</f>
        <v>465.516</v>
      </c>
      <c r="Q101" s="112" t="n">
        <f aca="false">ABS(E101)/$P$3</f>
        <v>0</v>
      </c>
      <c r="R101" s="112" t="n">
        <f aca="false">ABS(F101)/$P$3</f>
        <v>0</v>
      </c>
      <c r="S101" s="112" t="n">
        <f aca="false">ABS(G101)/$P$3</f>
        <v>8.453</v>
      </c>
      <c r="T101" s="112" t="n">
        <f aca="false">ABS(H101)/$P$3</f>
        <v>56.188</v>
      </c>
      <c r="U101" s="112" t="n">
        <f aca="false">ABS(I101)/$P$3</f>
        <v>465.516</v>
      </c>
      <c r="V101" s="112" t="n">
        <f aca="false">ABS(J101)/$P$3</f>
        <v>56.926</v>
      </c>
      <c r="W101" s="112" t="n">
        <f aca="false">ABS(K101)/$P$3</f>
        <v>456.95</v>
      </c>
      <c r="X101" s="112" t="n">
        <f aca="false">ABS(L101)/$P$3</f>
        <v>0</v>
      </c>
      <c r="Y101" s="112" t="n">
        <f aca="false">ABS(M101)/$P$3</f>
        <v>27.211</v>
      </c>
      <c r="Z101" s="112" t="n">
        <f aca="false">ABS(N101)/$P$3</f>
        <v>462.008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Data'!$A$2:$B$8,MATCH(WEEKDAY('RAC V@r Total'!A102,3),'Master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H102" s="112" t="n">
        <v>0</v>
      </c>
      <c r="I102" s="112" t="n">
        <v>0</v>
      </c>
      <c r="J102" s="112" t="n">
        <v>0</v>
      </c>
      <c r="K102" s="112" t="n">
        <v>0</v>
      </c>
      <c r="L102" s="112" t="n">
        <v>0</v>
      </c>
      <c r="M102" s="112" t="n">
        <v>0</v>
      </c>
      <c r="N102" s="112" t="n">
        <v>0</v>
      </c>
      <c r="P102" s="112" t="n">
        <f aca="false">ABS(D102)/$P$3</f>
        <v>0</v>
      </c>
      <c r="Q102" s="112" t="n">
        <f aca="false">ABS(E102)/$P$3</f>
        <v>0</v>
      </c>
      <c r="R102" s="112" t="n">
        <f aca="false">ABS(F102)/$P$3</f>
        <v>0</v>
      </c>
      <c r="S102" s="112" t="n">
        <f aca="false">ABS(G102)/$P$3</f>
        <v>0</v>
      </c>
      <c r="T102" s="112" t="n">
        <f aca="false">ABS(H102)/$P$3</f>
        <v>0</v>
      </c>
      <c r="U102" s="112" t="n">
        <f aca="false">ABS(I102)/$P$3</f>
        <v>0</v>
      </c>
      <c r="V102" s="112" t="n">
        <f aca="false">ABS(J102)/$P$3</f>
        <v>0</v>
      </c>
      <c r="W102" s="112" t="n">
        <f aca="false">ABS(K102)/$P$3</f>
        <v>0</v>
      </c>
      <c r="X102" s="112" t="n">
        <f aca="false">ABS(L102)/$P$3</f>
        <v>0</v>
      </c>
      <c r="Y102" s="112" t="n">
        <f aca="false">ABS(M102)/$P$3</f>
        <v>0</v>
      </c>
      <c r="Z102" s="112" t="n">
        <f aca="false">ABS(N102)/$P$3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Data'!$A$2:$B$8,MATCH(WEEKDAY('RAC V@r Total'!A103,3),'Master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H103" s="112" t="n">
        <v>0</v>
      </c>
      <c r="I103" s="112" t="n">
        <v>0</v>
      </c>
      <c r="J103" s="112" t="n">
        <v>0</v>
      </c>
      <c r="K103" s="112" t="n">
        <v>0</v>
      </c>
      <c r="L103" s="112" t="n">
        <v>0</v>
      </c>
      <c r="M103" s="112" t="n">
        <v>0</v>
      </c>
      <c r="N103" s="112" t="n">
        <v>0</v>
      </c>
      <c r="P103" s="112" t="n">
        <f aca="false">ABS(D103)/$P$3</f>
        <v>0</v>
      </c>
      <c r="Q103" s="112" t="n">
        <f aca="false">ABS(E103)/$P$3</f>
        <v>0</v>
      </c>
      <c r="R103" s="112" t="n">
        <f aca="false">ABS(F103)/$P$3</f>
        <v>0</v>
      </c>
      <c r="S103" s="112" t="n">
        <f aca="false">ABS(G103)/$P$3</f>
        <v>0</v>
      </c>
      <c r="T103" s="112" t="n">
        <f aca="false">ABS(H103)/$P$3</f>
        <v>0</v>
      </c>
      <c r="U103" s="112" t="n">
        <f aca="false">ABS(I103)/$P$3</f>
        <v>0</v>
      </c>
      <c r="V103" s="112" t="n">
        <f aca="false">ABS(J103)/$P$3</f>
        <v>0</v>
      </c>
      <c r="W103" s="112" t="n">
        <f aca="false">ABS(K103)/$P$3</f>
        <v>0</v>
      </c>
      <c r="X103" s="112" t="n">
        <f aca="false">ABS(L103)/$P$3</f>
        <v>0</v>
      </c>
      <c r="Y103" s="112" t="n">
        <f aca="false">ABS(M103)/$P$3</f>
        <v>0</v>
      </c>
      <c r="Z103" s="112" t="n">
        <f aca="false">ABS(N103)/$P$3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Data'!$A$2:$B$8,MATCH(WEEKDAY('RAC V@r Total'!A104,3),'Master Data'!$A$2:$A$8,0),2)</f>
        <v>M</v>
      </c>
      <c r="D104" s="112" t="n">
        <v>-466102</v>
      </c>
      <c r="E104" s="112" t="n">
        <v>0</v>
      </c>
      <c r="F104" s="112" t="n">
        <v>0</v>
      </c>
      <c r="G104" s="112" t="n">
        <v>-8328</v>
      </c>
      <c r="H104" s="112" t="n">
        <v>-56175</v>
      </c>
      <c r="I104" s="112" t="n">
        <v>-466102</v>
      </c>
      <c r="J104" s="112" t="n">
        <v>-56891</v>
      </c>
      <c r="K104" s="112" t="n">
        <v>-457697</v>
      </c>
      <c r="L104" s="112" t="n">
        <v>0</v>
      </c>
      <c r="M104" s="112" t="n">
        <v>-27171</v>
      </c>
      <c r="N104" s="112" t="n">
        <v>-462744</v>
      </c>
      <c r="P104" s="112" t="n">
        <f aca="false">ABS(D104)/$P$3</f>
        <v>466.102</v>
      </c>
      <c r="Q104" s="112" t="n">
        <f aca="false">ABS(E104)/$P$3</f>
        <v>0</v>
      </c>
      <c r="R104" s="112" t="n">
        <f aca="false">ABS(F104)/$P$3</f>
        <v>0</v>
      </c>
      <c r="S104" s="112" t="n">
        <f aca="false">ABS(G104)/$P$3</f>
        <v>8.328</v>
      </c>
      <c r="T104" s="112" t="n">
        <f aca="false">ABS(H104)/$P$3</f>
        <v>56.175</v>
      </c>
      <c r="U104" s="112" t="n">
        <f aca="false">ABS(I104)/$P$3</f>
        <v>466.102</v>
      </c>
      <c r="V104" s="112" t="n">
        <f aca="false">ABS(J104)/$P$3</f>
        <v>56.891</v>
      </c>
      <c r="W104" s="112" t="n">
        <f aca="false">ABS(K104)/$P$3</f>
        <v>457.697</v>
      </c>
      <c r="X104" s="112" t="n">
        <f aca="false">ABS(L104)/$P$3</f>
        <v>0</v>
      </c>
      <c r="Y104" s="112" t="n">
        <f aca="false">ABS(M104)/$P$3</f>
        <v>27.171</v>
      </c>
      <c r="Z104" s="112" t="n">
        <f aca="false">ABS(N104)/$P$3</f>
        <v>462.744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Data'!$A$2:$B$8,MATCH(WEEKDAY('RAC V@r Total'!A105,3),'Master Data'!$A$2:$A$8,0),2)</f>
        <v>T</v>
      </c>
      <c r="D105" s="112" t="n">
        <v>-477984</v>
      </c>
      <c r="E105" s="112" t="n">
        <v>0</v>
      </c>
      <c r="F105" s="112" t="n">
        <v>0</v>
      </c>
      <c r="G105" s="112" t="n">
        <v>-8280</v>
      </c>
      <c r="H105" s="112" t="n">
        <v>-55821</v>
      </c>
      <c r="I105" s="112" t="n">
        <v>-477984</v>
      </c>
      <c r="J105" s="112" t="n">
        <v>-56397</v>
      </c>
      <c r="K105" s="112" t="n">
        <v>-471148</v>
      </c>
      <c r="L105" s="112" t="n">
        <v>0</v>
      </c>
      <c r="M105" s="112" t="n">
        <v>-26714</v>
      </c>
      <c r="N105" s="112" t="n">
        <v>-477349</v>
      </c>
      <c r="P105" s="112" t="n">
        <f aca="false">ABS(D105)/$P$3</f>
        <v>477.984</v>
      </c>
      <c r="Q105" s="112" t="n">
        <f aca="false">ABS(E105)/$P$3</f>
        <v>0</v>
      </c>
      <c r="R105" s="112" t="n">
        <f aca="false">ABS(F105)/$P$3</f>
        <v>0</v>
      </c>
      <c r="S105" s="112" t="n">
        <f aca="false">ABS(G105)/$P$3</f>
        <v>8.28</v>
      </c>
      <c r="T105" s="112" t="n">
        <f aca="false">ABS(H105)/$P$3</f>
        <v>55.821</v>
      </c>
      <c r="U105" s="112" t="n">
        <f aca="false">ABS(I105)/$P$3</f>
        <v>477.984</v>
      </c>
      <c r="V105" s="112" t="n">
        <f aca="false">ABS(J105)/$P$3</f>
        <v>56.397</v>
      </c>
      <c r="W105" s="112" t="n">
        <f aca="false">ABS(K105)/$P$3</f>
        <v>471.148</v>
      </c>
      <c r="X105" s="112" t="n">
        <f aca="false">ABS(L105)/$P$3</f>
        <v>0</v>
      </c>
      <c r="Y105" s="112" t="n">
        <f aca="false">ABS(M105)/$P$3</f>
        <v>26.714</v>
      </c>
      <c r="Z105" s="112" t="n">
        <f aca="false">ABS(N105)/$P$3</f>
        <v>477.349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Data'!$A$2:$B$8,MATCH(WEEKDAY('RAC V@r Total'!A106,3),'Master Data'!$A$2:$A$8,0),2)</f>
        <v>W</v>
      </c>
      <c r="D106" s="112" t="n">
        <v>-478207</v>
      </c>
      <c r="E106" s="112" t="n">
        <v>0</v>
      </c>
      <c r="F106" s="112" t="n">
        <v>0</v>
      </c>
      <c r="G106" s="112" t="n">
        <v>-8158</v>
      </c>
      <c r="H106" s="112" t="n">
        <v>-55845</v>
      </c>
      <c r="I106" s="112" t="n">
        <v>-478207</v>
      </c>
      <c r="J106" s="112" t="n">
        <v>-56425</v>
      </c>
      <c r="K106" s="112" t="n">
        <v>-471520</v>
      </c>
      <c r="L106" s="112" t="n">
        <v>0</v>
      </c>
      <c r="M106" s="112" t="n">
        <v>-26738</v>
      </c>
      <c r="N106" s="112" t="n">
        <v>-477679</v>
      </c>
      <c r="P106" s="112" t="n">
        <f aca="false">ABS(D106)/$P$3</f>
        <v>478.207</v>
      </c>
      <c r="Q106" s="112" t="n">
        <f aca="false">ABS(E106)/$P$3</f>
        <v>0</v>
      </c>
      <c r="R106" s="112" t="n">
        <f aca="false">ABS(F106)/$P$3</f>
        <v>0</v>
      </c>
      <c r="S106" s="112" t="n">
        <f aca="false">ABS(G106)/$P$3</f>
        <v>8.158</v>
      </c>
      <c r="T106" s="112" t="n">
        <f aca="false">ABS(H106)/$P$3</f>
        <v>55.845</v>
      </c>
      <c r="U106" s="112" t="n">
        <f aca="false">ABS(I106)/$P$3</f>
        <v>478.207</v>
      </c>
      <c r="V106" s="112" t="n">
        <f aca="false">ABS(J106)/$P$3</f>
        <v>56.425</v>
      </c>
      <c r="W106" s="112" t="n">
        <f aca="false">ABS(K106)/$P$3</f>
        <v>471.52</v>
      </c>
      <c r="X106" s="112" t="n">
        <f aca="false">ABS(L106)/$P$3</f>
        <v>0</v>
      </c>
      <c r="Y106" s="112" t="n">
        <f aca="false">ABS(M106)/$P$3</f>
        <v>26.738</v>
      </c>
      <c r="Z106" s="112" t="n">
        <f aca="false">ABS(N106)/$P$3</f>
        <v>477.679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Data'!$A$2:$B$8,MATCH(WEEKDAY('RAC V@r Total'!A107,3),'Master Data'!$A$2:$A$8,0),2)</f>
        <v>Th</v>
      </c>
      <c r="D107" s="112" t="n">
        <v>-478430</v>
      </c>
      <c r="E107" s="112" t="n">
        <v>0</v>
      </c>
      <c r="F107" s="112" t="n">
        <v>0</v>
      </c>
      <c r="G107" s="112" t="n">
        <v>-8130</v>
      </c>
      <c r="H107" s="112" t="n">
        <v>-55749</v>
      </c>
      <c r="I107" s="112" t="n">
        <v>-478430</v>
      </c>
      <c r="J107" s="112" t="n">
        <v>-56287</v>
      </c>
      <c r="K107" s="112" t="n">
        <v>-471762</v>
      </c>
      <c r="L107" s="112" t="n">
        <v>0</v>
      </c>
      <c r="M107" s="112" t="n">
        <v>-26608</v>
      </c>
      <c r="N107" s="112" t="n">
        <v>-477883</v>
      </c>
      <c r="P107" s="112" t="n">
        <f aca="false">ABS(D107)/$P$3</f>
        <v>478.43</v>
      </c>
      <c r="Q107" s="112" t="n">
        <f aca="false">ABS(E107)/$P$3</f>
        <v>0</v>
      </c>
      <c r="R107" s="112" t="n">
        <f aca="false">ABS(F107)/$P$3</f>
        <v>0</v>
      </c>
      <c r="S107" s="112" t="n">
        <f aca="false">ABS(G107)/$P$3</f>
        <v>8.13</v>
      </c>
      <c r="T107" s="112" t="n">
        <f aca="false">ABS(H107)/$P$3</f>
        <v>55.749</v>
      </c>
      <c r="U107" s="112" t="n">
        <f aca="false">ABS(I107)/$P$3</f>
        <v>478.43</v>
      </c>
      <c r="V107" s="112" t="n">
        <f aca="false">ABS(J107)/$P$3</f>
        <v>56.287</v>
      </c>
      <c r="W107" s="112" t="n">
        <f aca="false">ABS(K107)/$P$3</f>
        <v>471.762</v>
      </c>
      <c r="X107" s="112" t="n">
        <f aca="false">ABS(L107)/$P$3</f>
        <v>0</v>
      </c>
      <c r="Y107" s="112" t="n">
        <f aca="false">ABS(M107)/$P$3</f>
        <v>26.608</v>
      </c>
      <c r="Z107" s="112" t="n">
        <f aca="false">ABS(N107)/$P$3</f>
        <v>477.883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Data'!$A$2:$B$8,MATCH(WEEKDAY('RAC V@r Total'!A108,3),'Master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H108" s="112" t="n">
        <v>0</v>
      </c>
      <c r="I108" s="112" t="n">
        <v>0</v>
      </c>
      <c r="J108" s="112" t="n">
        <v>0</v>
      </c>
      <c r="K108" s="112" t="n">
        <v>0</v>
      </c>
      <c r="L108" s="112" t="n">
        <v>0</v>
      </c>
      <c r="M108" s="112" t="n">
        <v>0</v>
      </c>
      <c r="N108" s="112" t="n">
        <v>0</v>
      </c>
      <c r="P108" s="112" t="n">
        <f aca="false">ABS(D108)/$P$3</f>
        <v>0</v>
      </c>
      <c r="Q108" s="112" t="n">
        <f aca="false">ABS(E108)/$P$3</f>
        <v>0</v>
      </c>
      <c r="R108" s="112" t="n">
        <f aca="false">ABS(F108)/$P$3</f>
        <v>0</v>
      </c>
      <c r="S108" s="112" t="n">
        <f aca="false">ABS(G108)/$P$3</f>
        <v>0</v>
      </c>
      <c r="T108" s="112" t="n">
        <f aca="false">ABS(H108)/$P$3</f>
        <v>0</v>
      </c>
      <c r="U108" s="112" t="n">
        <f aca="false">ABS(I108)/$P$3</f>
        <v>0</v>
      </c>
      <c r="V108" s="112" t="n">
        <f aca="false">ABS(J108)/$P$3</f>
        <v>0</v>
      </c>
      <c r="W108" s="112" t="n">
        <f aca="false">ABS(K108)/$P$3</f>
        <v>0</v>
      </c>
      <c r="X108" s="112" t="n">
        <f aca="false">ABS(L108)/$P$3</f>
        <v>0</v>
      </c>
      <c r="Y108" s="112" t="n">
        <f aca="false">ABS(M108)/$P$3</f>
        <v>0</v>
      </c>
      <c r="Z108" s="112" t="n">
        <f aca="false">ABS(N108)/$P$3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Data'!$A$2:$B$8,MATCH(WEEKDAY('RAC V@r Total'!A109,3),'Master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H109" s="112" t="n">
        <v>0</v>
      </c>
      <c r="I109" s="112" t="n">
        <v>0</v>
      </c>
      <c r="J109" s="112" t="n">
        <v>0</v>
      </c>
      <c r="K109" s="112" t="n">
        <v>0</v>
      </c>
      <c r="L109" s="112" t="n">
        <v>0</v>
      </c>
      <c r="M109" s="112" t="n">
        <v>0</v>
      </c>
      <c r="N109" s="112" t="n">
        <v>0</v>
      </c>
      <c r="P109" s="112" t="n">
        <f aca="false">ABS(D109)/$P$3</f>
        <v>0</v>
      </c>
      <c r="Q109" s="112" t="n">
        <f aca="false">ABS(E109)/$P$3</f>
        <v>0</v>
      </c>
      <c r="R109" s="112" t="n">
        <f aca="false">ABS(F109)/$P$3</f>
        <v>0</v>
      </c>
      <c r="S109" s="112" t="n">
        <f aca="false">ABS(G109)/$P$3</f>
        <v>0</v>
      </c>
      <c r="T109" s="112" t="n">
        <f aca="false">ABS(H109)/$P$3</f>
        <v>0</v>
      </c>
      <c r="U109" s="112" t="n">
        <f aca="false">ABS(I109)/$P$3</f>
        <v>0</v>
      </c>
      <c r="V109" s="112" t="n">
        <f aca="false">ABS(J109)/$P$3</f>
        <v>0</v>
      </c>
      <c r="W109" s="112" t="n">
        <f aca="false">ABS(K109)/$P$3</f>
        <v>0</v>
      </c>
      <c r="X109" s="112" t="n">
        <f aca="false">ABS(L109)/$P$3</f>
        <v>0</v>
      </c>
      <c r="Y109" s="112" t="n">
        <f aca="false">ABS(M109)/$P$3</f>
        <v>0</v>
      </c>
      <c r="Z109" s="112" t="n">
        <f aca="false">ABS(N109)/$P$3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Data'!$A$2:$B$8,MATCH(WEEKDAY('RAC V@r Total'!A110,3),'Master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H110" s="112" t="n">
        <v>0</v>
      </c>
      <c r="I110" s="112" t="n">
        <v>0</v>
      </c>
      <c r="J110" s="112" t="n">
        <v>0</v>
      </c>
      <c r="K110" s="112" t="n">
        <v>0</v>
      </c>
      <c r="L110" s="112" t="n">
        <v>0</v>
      </c>
      <c r="M110" s="112" t="n">
        <v>0</v>
      </c>
      <c r="N110" s="112" t="n">
        <v>0</v>
      </c>
      <c r="P110" s="112" t="n">
        <f aca="false">ABS(D110)/$P$3</f>
        <v>0</v>
      </c>
      <c r="Q110" s="112" t="n">
        <f aca="false">ABS(E110)/$P$3</f>
        <v>0</v>
      </c>
      <c r="R110" s="112" t="n">
        <f aca="false">ABS(F110)/$P$3</f>
        <v>0</v>
      </c>
      <c r="S110" s="112" t="n">
        <f aca="false">ABS(G110)/$P$3</f>
        <v>0</v>
      </c>
      <c r="T110" s="112" t="n">
        <f aca="false">ABS(H110)/$P$3</f>
        <v>0</v>
      </c>
      <c r="U110" s="112" t="n">
        <f aca="false">ABS(I110)/$P$3</f>
        <v>0</v>
      </c>
      <c r="V110" s="112" t="n">
        <f aca="false">ABS(J110)/$P$3</f>
        <v>0</v>
      </c>
      <c r="W110" s="112" t="n">
        <f aca="false">ABS(K110)/$P$3</f>
        <v>0</v>
      </c>
      <c r="X110" s="112" t="n">
        <f aca="false">ABS(L110)/$P$3</f>
        <v>0</v>
      </c>
      <c r="Y110" s="112" t="n">
        <f aca="false">ABS(M110)/$P$3</f>
        <v>0</v>
      </c>
      <c r="Z110" s="112" t="n">
        <f aca="false">ABS(N110)/$P$3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Data'!$A$2:$B$8,MATCH(WEEKDAY('RAC V@r Total'!A111,3),'Master Data'!$A$2:$A$8,0),2)</f>
        <v>M</v>
      </c>
      <c r="D111" s="112" t="n">
        <v>-479319</v>
      </c>
      <c r="E111" s="112" t="n">
        <v>0</v>
      </c>
      <c r="F111" s="112" t="n">
        <v>0</v>
      </c>
      <c r="G111" s="112" t="n">
        <v>-7981</v>
      </c>
      <c r="H111" s="112" t="n">
        <v>-55542</v>
      </c>
      <c r="I111" s="112" t="n">
        <v>-479319</v>
      </c>
      <c r="J111" s="112" t="n">
        <v>-55542</v>
      </c>
      <c r="K111" s="112" t="n">
        <v>-472778</v>
      </c>
      <c r="L111" s="112" t="n">
        <v>0</v>
      </c>
      <c r="M111" s="112" t="n">
        <v>-26317</v>
      </c>
      <c r="N111" s="112" t="n">
        <v>-479797</v>
      </c>
      <c r="P111" s="112" t="n">
        <f aca="false">ABS(D111)/$P$3</f>
        <v>479.319</v>
      </c>
      <c r="Q111" s="112" t="n">
        <f aca="false">ABS(E111)/$P$3</f>
        <v>0</v>
      </c>
      <c r="R111" s="112" t="n">
        <f aca="false">ABS(F111)/$P$3</f>
        <v>0</v>
      </c>
      <c r="S111" s="112" t="n">
        <f aca="false">ABS(G111)/$P$3</f>
        <v>7.981</v>
      </c>
      <c r="T111" s="112" t="n">
        <f aca="false">ABS(H111)/$P$3</f>
        <v>55.542</v>
      </c>
      <c r="U111" s="112" t="n">
        <f aca="false">ABS(I111)/$P$3</f>
        <v>479.319</v>
      </c>
      <c r="V111" s="112" t="n">
        <f aca="false">ABS(J111)/$P$3</f>
        <v>55.542</v>
      </c>
      <c r="W111" s="112" t="n">
        <f aca="false">ABS(K111)/$P$3</f>
        <v>472.778</v>
      </c>
      <c r="X111" s="112" t="n">
        <f aca="false">ABS(L111)/$P$3</f>
        <v>0</v>
      </c>
      <c r="Y111" s="112" t="n">
        <f aca="false">ABS(M111)/$P$3</f>
        <v>26.317</v>
      </c>
      <c r="Z111" s="112" t="n">
        <f aca="false">ABS(N111)/$P$3</f>
        <v>479.797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Data'!$A$2:$B$8,MATCH(WEEKDAY('RAC V@r Total'!A112,3),'Master Data'!$A$2:$A$8,0),2)</f>
        <v>T</v>
      </c>
      <c r="D112" s="112" t="n">
        <v>-479541</v>
      </c>
      <c r="E112" s="112" t="n">
        <v>0</v>
      </c>
      <c r="F112" s="112" t="n">
        <v>0</v>
      </c>
      <c r="G112" s="112" t="n">
        <v>-7919</v>
      </c>
      <c r="H112" s="112" t="n">
        <v>-55716</v>
      </c>
      <c r="I112" s="112" t="n">
        <v>-479541</v>
      </c>
      <c r="J112" s="112" t="n">
        <v>-56218</v>
      </c>
      <c r="K112" s="112" t="n">
        <v>-473068</v>
      </c>
      <c r="L112" s="112" t="n">
        <v>0</v>
      </c>
      <c r="M112" s="112" t="n">
        <v>-26537</v>
      </c>
      <c r="N112" s="112" t="n">
        <v>-479136</v>
      </c>
      <c r="P112" s="112" t="n">
        <f aca="false">ABS(D112)/$P$3</f>
        <v>479.541</v>
      </c>
      <c r="Q112" s="112" t="n">
        <f aca="false">ABS(E112)/$P$3</f>
        <v>0</v>
      </c>
      <c r="R112" s="112" t="n">
        <f aca="false">ABS(F112)/$P$3</f>
        <v>0</v>
      </c>
      <c r="S112" s="112" t="n">
        <f aca="false">ABS(G112)/$P$3</f>
        <v>7.919</v>
      </c>
      <c r="T112" s="112" t="n">
        <f aca="false">ABS(H112)/$P$3</f>
        <v>55.716</v>
      </c>
      <c r="U112" s="112" t="n">
        <f aca="false">ABS(I112)/$P$3</f>
        <v>479.541</v>
      </c>
      <c r="V112" s="112" t="n">
        <f aca="false">ABS(J112)/$P$3</f>
        <v>56.218</v>
      </c>
      <c r="W112" s="112" t="n">
        <f aca="false">ABS(K112)/$P$3</f>
        <v>473.068</v>
      </c>
      <c r="X112" s="112" t="n">
        <f aca="false">ABS(L112)/$P$3</f>
        <v>0</v>
      </c>
      <c r="Y112" s="112" t="n">
        <f aca="false">ABS(M112)/$P$3</f>
        <v>26.537</v>
      </c>
      <c r="Z112" s="112" t="n">
        <f aca="false">ABS(N112)/$P$3</f>
        <v>479.136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Data'!$A$2:$B$8,MATCH(WEEKDAY('RAC V@r Total'!A113,3),'Master Data'!$A$2:$A$8,0),2)</f>
        <v>W</v>
      </c>
      <c r="D113" s="112" t="n">
        <v>-479763</v>
      </c>
      <c r="E113" s="112" t="n">
        <v>0</v>
      </c>
      <c r="F113" s="112" t="n">
        <v>0</v>
      </c>
      <c r="G113" s="112" t="n">
        <v>-7857</v>
      </c>
      <c r="H113" s="112" t="n">
        <v>-55962</v>
      </c>
      <c r="I113" s="112" t="n">
        <v>-479763</v>
      </c>
      <c r="J113" s="112" t="n">
        <v>-56524</v>
      </c>
      <c r="K113" s="112" t="n">
        <v>-473358</v>
      </c>
      <c r="L113" s="112" t="n">
        <v>0</v>
      </c>
      <c r="M113" s="112" t="n">
        <v>-26833</v>
      </c>
      <c r="N113" s="112" t="n">
        <v>-479497</v>
      </c>
      <c r="P113" s="112" t="n">
        <f aca="false">ABS(D113)/$P$3</f>
        <v>479.763</v>
      </c>
      <c r="Q113" s="112" t="n">
        <f aca="false">ABS(E113)/$P$3</f>
        <v>0</v>
      </c>
      <c r="R113" s="112" t="n">
        <f aca="false">ABS(F113)/$P$3</f>
        <v>0</v>
      </c>
      <c r="S113" s="112" t="n">
        <f aca="false">ABS(G113)/$P$3</f>
        <v>7.857</v>
      </c>
      <c r="T113" s="112" t="n">
        <f aca="false">ABS(H113)/$P$3</f>
        <v>55.962</v>
      </c>
      <c r="U113" s="112" t="n">
        <f aca="false">ABS(I113)/$P$3</f>
        <v>479.763</v>
      </c>
      <c r="V113" s="112" t="n">
        <f aca="false">ABS(J113)/$P$3</f>
        <v>56.524</v>
      </c>
      <c r="W113" s="112" t="n">
        <f aca="false">ABS(K113)/$P$3</f>
        <v>473.358</v>
      </c>
      <c r="X113" s="112" t="n">
        <f aca="false">ABS(L113)/$P$3</f>
        <v>0</v>
      </c>
      <c r="Y113" s="112" t="n">
        <f aca="false">ABS(M113)/$P$3</f>
        <v>26.833</v>
      </c>
      <c r="Z113" s="112" t="n">
        <f aca="false">ABS(N113)/$P$3</f>
        <v>479.497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Data'!$A$2:$B$8,MATCH(WEEKDAY('RAC V@r Total'!A114,3),'Master Data'!$A$2:$A$8,0),2)</f>
        <v>Th</v>
      </c>
      <c r="D114" s="112" t="n">
        <v>-479985</v>
      </c>
      <c r="E114" s="112" t="n">
        <v>0</v>
      </c>
      <c r="F114" s="112" t="n">
        <v>0</v>
      </c>
      <c r="G114" s="112" t="n">
        <v>-7799</v>
      </c>
      <c r="H114" s="112" t="n">
        <v>-55797</v>
      </c>
      <c r="I114" s="112" t="n">
        <v>-479985</v>
      </c>
      <c r="J114" s="112" t="n">
        <v>-56301</v>
      </c>
      <c r="K114" s="112" t="n">
        <v>-473649</v>
      </c>
      <c r="L114" s="112" t="n">
        <v>0</v>
      </c>
      <c r="M114" s="112" t="n">
        <v>-26579</v>
      </c>
      <c r="N114" s="112" t="n">
        <v>-479691</v>
      </c>
      <c r="P114" s="112" t="n">
        <f aca="false">ABS(D114)/$P$3</f>
        <v>479.985</v>
      </c>
      <c r="Q114" s="112" t="n">
        <f aca="false">ABS(E114)/$P$3</f>
        <v>0</v>
      </c>
      <c r="R114" s="112" t="n">
        <f aca="false">ABS(F114)/$P$3</f>
        <v>0</v>
      </c>
      <c r="S114" s="112" t="n">
        <f aca="false">ABS(G114)/$P$3</f>
        <v>7.799</v>
      </c>
      <c r="T114" s="112" t="n">
        <f aca="false">ABS(H114)/$P$3</f>
        <v>55.797</v>
      </c>
      <c r="U114" s="112" t="n">
        <f aca="false">ABS(I114)/$P$3</f>
        <v>479.985</v>
      </c>
      <c r="V114" s="112" t="n">
        <f aca="false">ABS(J114)/$P$3</f>
        <v>56.301</v>
      </c>
      <c r="W114" s="112" t="n">
        <f aca="false">ABS(K114)/$P$3</f>
        <v>473.649</v>
      </c>
      <c r="X114" s="112" t="n">
        <f aca="false">ABS(L114)/$P$3</f>
        <v>0</v>
      </c>
      <c r="Y114" s="112" t="n">
        <f aca="false">ABS(M114)/$P$3</f>
        <v>26.579</v>
      </c>
      <c r="Z114" s="112" t="n">
        <f aca="false">ABS(N114)/$P$3</f>
        <v>479.691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Data'!$A$2:$B$8,MATCH(WEEKDAY('RAC V@r Total'!A115,3),'Master Data'!$A$2:$A$8,0),2)</f>
        <v>F</v>
      </c>
      <c r="D115" s="112" t="n">
        <v>-430635</v>
      </c>
      <c r="E115" s="112" t="n">
        <v>0</v>
      </c>
      <c r="F115" s="112" t="n">
        <v>0</v>
      </c>
      <c r="G115" s="112" t="n">
        <v>-7250</v>
      </c>
      <c r="H115" s="112" t="n">
        <v>-58751</v>
      </c>
      <c r="I115" s="112" t="n">
        <v>-430635</v>
      </c>
      <c r="J115" s="112" t="n">
        <v>-58251</v>
      </c>
      <c r="K115" s="112" t="n">
        <v>-425576</v>
      </c>
      <c r="L115" s="112" t="n">
        <v>0</v>
      </c>
      <c r="M115" s="112" t="n">
        <v>-26695</v>
      </c>
      <c r="N115" s="112" t="n">
        <v>-419331</v>
      </c>
      <c r="P115" s="112" t="n">
        <f aca="false">ABS(D115)/$P$3</f>
        <v>430.635</v>
      </c>
      <c r="Q115" s="112" t="n">
        <f aca="false">ABS(E115)/$P$3</f>
        <v>0</v>
      </c>
      <c r="R115" s="112" t="n">
        <f aca="false">ABS(F115)/$P$3</f>
        <v>0</v>
      </c>
      <c r="S115" s="112" t="n">
        <f aca="false">ABS(G115)/$P$3</f>
        <v>7.25</v>
      </c>
      <c r="T115" s="112" t="n">
        <f aca="false">ABS(H115)/$P$3</f>
        <v>58.751</v>
      </c>
      <c r="U115" s="112" t="n">
        <f aca="false">ABS(I115)/$P$3</f>
        <v>430.635</v>
      </c>
      <c r="V115" s="112" t="n">
        <f aca="false">ABS(J115)/$P$3</f>
        <v>58.251</v>
      </c>
      <c r="W115" s="112" t="n">
        <f aca="false">ABS(K115)/$P$3</f>
        <v>425.576</v>
      </c>
      <c r="X115" s="112" t="n">
        <f aca="false">ABS(L115)/$P$3</f>
        <v>0</v>
      </c>
      <c r="Y115" s="112" t="n">
        <f aca="false">ABS(M115)/$P$3</f>
        <v>26.695</v>
      </c>
      <c r="Z115" s="112" t="n">
        <f aca="false">ABS(N115)/$P$3</f>
        <v>419.331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Data'!$A$2:$B$8,MATCH(WEEKDAY('RAC V@r Total'!A116,3),'Master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H116" s="112" t="n">
        <v>0</v>
      </c>
      <c r="I116" s="112" t="n">
        <v>0</v>
      </c>
      <c r="J116" s="112" t="n">
        <v>0</v>
      </c>
      <c r="K116" s="112" t="n">
        <v>0</v>
      </c>
      <c r="L116" s="112" t="n">
        <v>0</v>
      </c>
      <c r="M116" s="112" t="n">
        <v>0</v>
      </c>
      <c r="N116" s="112" t="n">
        <v>0</v>
      </c>
      <c r="P116" s="112" t="n">
        <f aca="false">ABS(D116)/$P$3</f>
        <v>0</v>
      </c>
      <c r="Q116" s="112" t="n">
        <f aca="false">ABS(E116)/$P$3</f>
        <v>0</v>
      </c>
      <c r="R116" s="112" t="n">
        <f aca="false">ABS(F116)/$P$3</f>
        <v>0</v>
      </c>
      <c r="S116" s="112" t="n">
        <f aca="false">ABS(G116)/$P$3</f>
        <v>0</v>
      </c>
      <c r="T116" s="112" t="n">
        <f aca="false">ABS(H116)/$P$3</f>
        <v>0</v>
      </c>
      <c r="U116" s="112" t="n">
        <f aca="false">ABS(I116)/$P$3</f>
        <v>0</v>
      </c>
      <c r="V116" s="112" t="n">
        <f aca="false">ABS(J116)/$P$3</f>
        <v>0</v>
      </c>
      <c r="W116" s="112" t="n">
        <f aca="false">ABS(K116)/$P$3</f>
        <v>0</v>
      </c>
      <c r="X116" s="112" t="n">
        <f aca="false">ABS(L116)/$P$3</f>
        <v>0</v>
      </c>
      <c r="Y116" s="112" t="n">
        <f aca="false">ABS(M116)/$P$3</f>
        <v>0</v>
      </c>
      <c r="Z116" s="112" t="n">
        <f aca="false">ABS(N116)/$P$3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Data'!$A$2:$B$8,MATCH(WEEKDAY('RAC V@r Total'!A117,3),'Master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H117" s="112" t="n">
        <v>0</v>
      </c>
      <c r="I117" s="112" t="n">
        <v>0</v>
      </c>
      <c r="J117" s="112" t="n">
        <v>0</v>
      </c>
      <c r="K117" s="112" t="n">
        <v>0</v>
      </c>
      <c r="L117" s="112" t="n">
        <v>0</v>
      </c>
      <c r="M117" s="112" t="n">
        <v>0</v>
      </c>
      <c r="N117" s="112" t="n">
        <v>0</v>
      </c>
      <c r="P117" s="112" t="n">
        <f aca="false">ABS(D117)/$P$3</f>
        <v>0</v>
      </c>
      <c r="Q117" s="112" t="n">
        <f aca="false">ABS(E117)/$P$3</f>
        <v>0</v>
      </c>
      <c r="R117" s="112" t="n">
        <f aca="false">ABS(F117)/$P$3</f>
        <v>0</v>
      </c>
      <c r="S117" s="112" t="n">
        <f aca="false">ABS(G117)/$P$3</f>
        <v>0</v>
      </c>
      <c r="T117" s="112" t="n">
        <f aca="false">ABS(H117)/$P$3</f>
        <v>0</v>
      </c>
      <c r="U117" s="112" t="n">
        <f aca="false">ABS(I117)/$P$3</f>
        <v>0</v>
      </c>
      <c r="V117" s="112" t="n">
        <f aca="false">ABS(J117)/$P$3</f>
        <v>0</v>
      </c>
      <c r="W117" s="112" t="n">
        <f aca="false">ABS(K117)/$P$3</f>
        <v>0</v>
      </c>
      <c r="X117" s="112" t="n">
        <f aca="false">ABS(L117)/$P$3</f>
        <v>0</v>
      </c>
      <c r="Y117" s="112" t="n">
        <f aca="false">ABS(M117)/$P$3</f>
        <v>0</v>
      </c>
      <c r="Z117" s="112" t="n">
        <f aca="false">ABS(N117)/$P$3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Data'!$A$2:$B$8,MATCH(WEEKDAY('RAC V@r Total'!A118,3),'Master Data'!$A$2:$A$8,0),2)</f>
        <v>M</v>
      </c>
      <c r="D118" s="112" t="n">
        <v>-431225</v>
      </c>
      <c r="E118" s="112" t="n">
        <v>0</v>
      </c>
      <c r="F118" s="112" t="n">
        <v>0</v>
      </c>
      <c r="G118" s="112" t="n">
        <v>-7188</v>
      </c>
      <c r="H118" s="112" t="n">
        <v>-57888</v>
      </c>
      <c r="I118" s="112" t="n">
        <v>-431225</v>
      </c>
      <c r="J118" s="112" t="n">
        <v>-56931</v>
      </c>
      <c r="K118" s="112" t="n">
        <v>-426186</v>
      </c>
      <c r="L118" s="112" t="n">
        <v>0</v>
      </c>
      <c r="M118" s="112" t="n">
        <v>-25369</v>
      </c>
      <c r="N118" s="112" t="n">
        <v>-419715</v>
      </c>
      <c r="P118" s="112" t="n">
        <f aca="false">ABS(D118)/$P$3</f>
        <v>431.225</v>
      </c>
      <c r="Q118" s="112" t="n">
        <f aca="false">ABS(E118)/$P$3</f>
        <v>0</v>
      </c>
      <c r="R118" s="112" t="n">
        <f aca="false">ABS(F118)/$P$3</f>
        <v>0</v>
      </c>
      <c r="S118" s="112" t="n">
        <f aca="false">ABS(G118)/$P$3</f>
        <v>7.188</v>
      </c>
      <c r="T118" s="112" t="n">
        <f aca="false">ABS(H118)/$P$3</f>
        <v>57.888</v>
      </c>
      <c r="U118" s="112" t="n">
        <f aca="false">ABS(I118)/$P$3</f>
        <v>431.225</v>
      </c>
      <c r="V118" s="112" t="n">
        <f aca="false">ABS(J118)/$P$3</f>
        <v>56.931</v>
      </c>
      <c r="W118" s="112" t="n">
        <f aca="false">ABS(K118)/$P$3</f>
        <v>426.186</v>
      </c>
      <c r="X118" s="112" t="n">
        <f aca="false">ABS(L118)/$P$3</f>
        <v>0</v>
      </c>
      <c r="Y118" s="112" t="n">
        <f aca="false">ABS(M118)/$P$3</f>
        <v>25.369</v>
      </c>
      <c r="Z118" s="112" t="n">
        <f aca="false">ABS(N118)/$P$3</f>
        <v>419.715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Data'!$A$2:$B$8,MATCH(WEEKDAY('RAC V@r Total'!A119,3),'Master Data'!$A$2:$A$8,0),2)</f>
        <v>T</v>
      </c>
      <c r="D119" s="112" t="n">
        <v>-431422</v>
      </c>
      <c r="E119" s="112" t="n">
        <v>0</v>
      </c>
      <c r="F119" s="112" t="n">
        <v>0</v>
      </c>
      <c r="G119" s="112" t="n">
        <v>-7109</v>
      </c>
      <c r="H119" s="112" t="n">
        <v>-57836</v>
      </c>
      <c r="I119" s="112" t="n">
        <v>-431422</v>
      </c>
      <c r="J119" s="112" t="n">
        <v>-56915</v>
      </c>
      <c r="K119" s="112" t="n">
        <v>-426454</v>
      </c>
      <c r="L119" s="112" t="n">
        <v>0</v>
      </c>
      <c r="M119" s="112" t="n">
        <v>-25259</v>
      </c>
      <c r="N119" s="112" t="n">
        <v>-420021</v>
      </c>
      <c r="P119" s="112" t="n">
        <f aca="false">ABS(D119)/$P$3</f>
        <v>431.422</v>
      </c>
      <c r="Q119" s="112" t="n">
        <f aca="false">ABS(E119)/$P$3</f>
        <v>0</v>
      </c>
      <c r="R119" s="112" t="n">
        <f aca="false">ABS(F119)/$P$3</f>
        <v>0</v>
      </c>
      <c r="S119" s="112" t="n">
        <f aca="false">ABS(G119)/$P$3</f>
        <v>7.109</v>
      </c>
      <c r="T119" s="112" t="n">
        <f aca="false">ABS(H119)/$P$3</f>
        <v>57.836</v>
      </c>
      <c r="U119" s="112" t="n">
        <f aca="false">ABS(I119)/$P$3</f>
        <v>431.422</v>
      </c>
      <c r="V119" s="112" t="n">
        <f aca="false">ABS(J119)/$P$3</f>
        <v>56.915</v>
      </c>
      <c r="W119" s="112" t="n">
        <f aca="false">ABS(K119)/$P$3</f>
        <v>426.454</v>
      </c>
      <c r="X119" s="112" t="n">
        <f aca="false">ABS(L119)/$P$3</f>
        <v>0</v>
      </c>
      <c r="Y119" s="112" t="n">
        <f aca="false">ABS(M119)/$P$3</f>
        <v>25.259</v>
      </c>
      <c r="Z119" s="112" t="n">
        <f aca="false">ABS(N119)/$P$3</f>
        <v>420.021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Data'!$A$2:$B$8,MATCH(WEEKDAY('RAC V@r Total'!A120,3),'Master Data'!$A$2:$A$8,0),2)</f>
        <v>W</v>
      </c>
      <c r="D120" s="112" t="n">
        <v>-431619</v>
      </c>
      <c r="E120" s="112" t="n">
        <v>0</v>
      </c>
      <c r="F120" s="112" t="n">
        <v>0</v>
      </c>
      <c r="G120" s="112" t="n">
        <v>-7053</v>
      </c>
      <c r="H120" s="112" t="n">
        <v>-57759</v>
      </c>
      <c r="I120" s="112" t="n">
        <v>-431619</v>
      </c>
      <c r="J120" s="112" t="n">
        <v>-56817</v>
      </c>
      <c r="K120" s="112" t="n">
        <v>-426722</v>
      </c>
      <c r="L120" s="112" t="n">
        <v>0</v>
      </c>
      <c r="M120" s="112" t="n">
        <v>-25113</v>
      </c>
      <c r="N120" s="112" t="n">
        <v>-420321</v>
      </c>
      <c r="P120" s="112" t="n">
        <f aca="false">ABS(D120)/$P$3</f>
        <v>431.619</v>
      </c>
      <c r="Q120" s="112" t="n">
        <f aca="false">ABS(E120)/$P$3</f>
        <v>0</v>
      </c>
      <c r="R120" s="112" t="n">
        <f aca="false">ABS(F120)/$P$3</f>
        <v>0</v>
      </c>
      <c r="S120" s="112" t="n">
        <f aca="false">ABS(G120)/$P$3</f>
        <v>7.053</v>
      </c>
      <c r="T120" s="112" t="n">
        <f aca="false">ABS(H120)/$P$3</f>
        <v>57.759</v>
      </c>
      <c r="U120" s="112" t="n">
        <f aca="false">ABS(I120)/$P$3</f>
        <v>431.619</v>
      </c>
      <c r="V120" s="112" t="n">
        <f aca="false">ABS(J120)/$P$3</f>
        <v>56.817</v>
      </c>
      <c r="W120" s="112" t="n">
        <f aca="false">ABS(K120)/$P$3</f>
        <v>426.722</v>
      </c>
      <c r="X120" s="112" t="n">
        <f aca="false">ABS(L120)/$P$3</f>
        <v>0</v>
      </c>
      <c r="Y120" s="112" t="n">
        <f aca="false">ABS(M120)/$P$3</f>
        <v>25.113</v>
      </c>
      <c r="Z120" s="112" t="n">
        <f aca="false">ABS(N120)/$P$3</f>
        <v>420.321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Data'!$A$2:$B$8,MATCH(WEEKDAY('RAC V@r Total'!A121,3),'Master Data'!$A$2:$A$8,0),2)</f>
        <v>Th</v>
      </c>
      <c r="D121" s="112" t="n">
        <v>-431815</v>
      </c>
      <c r="E121" s="112" t="n">
        <v>0</v>
      </c>
      <c r="F121" s="112" t="n">
        <v>0</v>
      </c>
      <c r="G121" s="112" t="n">
        <v>-6981</v>
      </c>
      <c r="H121" s="112" t="n">
        <v>-57902</v>
      </c>
      <c r="I121" s="112" t="n">
        <v>-431815</v>
      </c>
      <c r="J121" s="112" t="n">
        <v>-56978</v>
      </c>
      <c r="K121" s="112" t="n">
        <v>-426990</v>
      </c>
      <c r="L121" s="112" t="n">
        <v>0</v>
      </c>
      <c r="M121" s="112" t="n">
        <v>-25365</v>
      </c>
      <c r="N121" s="112" t="n">
        <v>-420696</v>
      </c>
      <c r="P121" s="112" t="n">
        <f aca="false">ABS(D121)/$P$3</f>
        <v>431.815</v>
      </c>
      <c r="Q121" s="112" t="n">
        <f aca="false">ABS(E121)/$P$3</f>
        <v>0</v>
      </c>
      <c r="R121" s="112" t="n">
        <f aca="false">ABS(F121)/$P$3</f>
        <v>0</v>
      </c>
      <c r="S121" s="112" t="n">
        <f aca="false">ABS(G121)/$P$3</f>
        <v>6.981</v>
      </c>
      <c r="T121" s="112" t="n">
        <f aca="false">ABS(H121)/$P$3</f>
        <v>57.902</v>
      </c>
      <c r="U121" s="112" t="n">
        <f aca="false">ABS(I121)/$P$3</f>
        <v>431.815</v>
      </c>
      <c r="V121" s="112" t="n">
        <f aca="false">ABS(J121)/$P$3</f>
        <v>56.978</v>
      </c>
      <c r="W121" s="112" t="n">
        <f aca="false">ABS(K121)/$P$3</f>
        <v>426.99</v>
      </c>
      <c r="X121" s="112" t="n">
        <f aca="false">ABS(L121)/$P$3</f>
        <v>0</v>
      </c>
      <c r="Y121" s="112" t="n">
        <f aca="false">ABS(M121)/$P$3</f>
        <v>25.365</v>
      </c>
      <c r="Z121" s="112" t="n">
        <f aca="false">ABS(N121)/$P$3</f>
        <v>420.696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Data'!$A$2:$B$8,MATCH(WEEKDAY('RAC V@r Total'!A122,3),'Master Data'!$A$2:$A$8,0),2)</f>
        <v>F</v>
      </c>
      <c r="D122" s="112" t="n">
        <v>-432012</v>
      </c>
      <c r="E122" s="112" t="n">
        <v>0</v>
      </c>
      <c r="F122" s="112" t="n">
        <v>0</v>
      </c>
      <c r="G122" s="112" t="n">
        <v>-6835</v>
      </c>
      <c r="H122" s="112" t="n">
        <v>-57720</v>
      </c>
      <c r="I122" s="112" t="n">
        <v>-432012</v>
      </c>
      <c r="J122" s="112" t="n">
        <v>-56639</v>
      </c>
      <c r="K122" s="112" t="n">
        <v>-427326</v>
      </c>
      <c r="L122" s="112" t="n">
        <v>0</v>
      </c>
      <c r="M122" s="112" t="n">
        <v>-25026</v>
      </c>
      <c r="N122" s="112" t="n">
        <v>-421043</v>
      </c>
      <c r="P122" s="112" t="n">
        <f aca="false">ABS(D122)/$P$3</f>
        <v>432.012</v>
      </c>
      <c r="Q122" s="112" t="n">
        <f aca="false">ABS(E122)/$P$3</f>
        <v>0</v>
      </c>
      <c r="R122" s="112" t="n">
        <f aca="false">ABS(F122)/$P$3</f>
        <v>0</v>
      </c>
      <c r="S122" s="112" t="n">
        <f aca="false">ABS(G122)/$P$3</f>
        <v>6.835</v>
      </c>
      <c r="T122" s="112" t="n">
        <f aca="false">ABS(H122)/$P$3</f>
        <v>57.72</v>
      </c>
      <c r="U122" s="112" t="n">
        <f aca="false">ABS(I122)/$P$3</f>
        <v>432.012</v>
      </c>
      <c r="V122" s="112" t="n">
        <f aca="false">ABS(J122)/$P$3</f>
        <v>56.639</v>
      </c>
      <c r="W122" s="112" t="n">
        <f aca="false">ABS(K122)/$P$3</f>
        <v>427.326</v>
      </c>
      <c r="X122" s="112" t="n">
        <f aca="false">ABS(L122)/$P$3</f>
        <v>0</v>
      </c>
      <c r="Y122" s="112" t="n">
        <f aca="false">ABS(M122)/$P$3</f>
        <v>25.026</v>
      </c>
      <c r="Z122" s="112" t="n">
        <f aca="false">ABS(N122)/$P$3</f>
        <v>421.043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Data'!$A$2:$B$8,MATCH(WEEKDAY('RAC V@r Total'!A123,3),'Master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H123" s="112" t="n">
        <v>0</v>
      </c>
      <c r="I123" s="112" t="n">
        <v>0</v>
      </c>
      <c r="J123" s="112" t="n">
        <v>0</v>
      </c>
      <c r="K123" s="112" t="n">
        <v>0</v>
      </c>
      <c r="L123" s="112" t="n">
        <v>0</v>
      </c>
      <c r="M123" s="112" t="n">
        <v>0</v>
      </c>
      <c r="N123" s="112" t="n">
        <v>0</v>
      </c>
      <c r="P123" s="112" t="n">
        <f aca="false">ABS(D123)/$P$3</f>
        <v>0</v>
      </c>
      <c r="Q123" s="112" t="n">
        <f aca="false">ABS(E123)/$P$3</f>
        <v>0</v>
      </c>
      <c r="R123" s="112" t="n">
        <f aca="false">ABS(F123)/$P$3</f>
        <v>0</v>
      </c>
      <c r="S123" s="112" t="n">
        <f aca="false">ABS(G123)/$P$3</f>
        <v>0</v>
      </c>
      <c r="T123" s="112" t="n">
        <f aca="false">ABS(H123)/$P$3</f>
        <v>0</v>
      </c>
      <c r="U123" s="112" t="n">
        <f aca="false">ABS(I123)/$P$3</f>
        <v>0</v>
      </c>
      <c r="V123" s="112" t="n">
        <f aca="false">ABS(J123)/$P$3</f>
        <v>0</v>
      </c>
      <c r="W123" s="112" t="n">
        <f aca="false">ABS(K123)/$P$3</f>
        <v>0</v>
      </c>
      <c r="X123" s="112" t="n">
        <f aca="false">ABS(L123)/$P$3</f>
        <v>0</v>
      </c>
      <c r="Y123" s="112" t="n">
        <f aca="false">ABS(M123)/$P$3</f>
        <v>0</v>
      </c>
      <c r="Z123" s="112" t="n">
        <f aca="false">ABS(N123)/$P$3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Data'!$A$2:$B$8,MATCH(WEEKDAY('RAC V@r Total'!A124,3),'Master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H124" s="112" t="n">
        <v>0</v>
      </c>
      <c r="I124" s="112" t="n">
        <v>0</v>
      </c>
      <c r="J124" s="112" t="n">
        <v>0</v>
      </c>
      <c r="K124" s="112" t="n">
        <v>0</v>
      </c>
      <c r="L124" s="112" t="n">
        <v>0</v>
      </c>
      <c r="M124" s="112" t="n">
        <v>0</v>
      </c>
      <c r="N124" s="112" t="n">
        <v>0</v>
      </c>
      <c r="P124" s="112" t="n">
        <f aca="false">ABS(D124)/$P$3</f>
        <v>0</v>
      </c>
      <c r="Q124" s="112" t="n">
        <f aca="false">ABS(E124)/$P$3</f>
        <v>0</v>
      </c>
      <c r="R124" s="112" t="n">
        <f aca="false">ABS(F124)/$P$3</f>
        <v>0</v>
      </c>
      <c r="S124" s="112" t="n">
        <f aca="false">ABS(G124)/$P$3</f>
        <v>0</v>
      </c>
      <c r="T124" s="112" t="n">
        <f aca="false">ABS(H124)/$P$3</f>
        <v>0</v>
      </c>
      <c r="U124" s="112" t="n">
        <f aca="false">ABS(I124)/$P$3</f>
        <v>0</v>
      </c>
      <c r="V124" s="112" t="n">
        <f aca="false">ABS(J124)/$P$3</f>
        <v>0</v>
      </c>
      <c r="W124" s="112" t="n">
        <f aca="false">ABS(K124)/$P$3</f>
        <v>0</v>
      </c>
      <c r="X124" s="112" t="n">
        <f aca="false">ABS(L124)/$P$3</f>
        <v>0</v>
      </c>
      <c r="Y124" s="112" t="n">
        <f aca="false">ABS(M124)/$P$3</f>
        <v>0</v>
      </c>
      <c r="Z124" s="112" t="n">
        <f aca="false">ABS(N124)/$P$3</f>
        <v>0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Data'!$A$2:$B$8,MATCH(WEEKDAY('RAC V@r Total'!A125,3),'Master Data'!$A$2:$A$8,0),2)</f>
        <v>M</v>
      </c>
      <c r="D125" s="112" t="n">
        <v>-365436</v>
      </c>
      <c r="E125" s="112" t="n">
        <v>0</v>
      </c>
      <c r="F125" s="112" t="n">
        <v>0</v>
      </c>
      <c r="G125" s="112" t="n">
        <v>-6715</v>
      </c>
      <c r="H125" s="112" t="n">
        <v>-54119</v>
      </c>
      <c r="I125" s="112" t="n">
        <v>-365436</v>
      </c>
      <c r="J125" s="112" t="n">
        <v>-54041</v>
      </c>
      <c r="K125" s="112" t="n">
        <v>-360581</v>
      </c>
      <c r="L125" s="112" t="n">
        <v>0</v>
      </c>
      <c r="M125" s="112" t="n">
        <v>-24478</v>
      </c>
      <c r="N125" s="112" t="n">
        <v>-365256</v>
      </c>
      <c r="P125" s="112" t="n">
        <f aca="false">ABS(D125)/$P$3</f>
        <v>365.436</v>
      </c>
      <c r="Q125" s="112" t="n">
        <f aca="false">ABS(E125)/$P$3</f>
        <v>0</v>
      </c>
      <c r="R125" s="112" t="n">
        <f aca="false">ABS(F125)/$P$3</f>
        <v>0</v>
      </c>
      <c r="S125" s="112" t="n">
        <f aca="false">ABS(G125)/$P$3</f>
        <v>6.715</v>
      </c>
      <c r="T125" s="112" t="n">
        <f aca="false">ABS(H125)/$P$3</f>
        <v>54.119</v>
      </c>
      <c r="U125" s="112" t="n">
        <f aca="false">ABS(I125)/$P$3</f>
        <v>365.436</v>
      </c>
      <c r="V125" s="112" t="n">
        <f aca="false">ABS(J125)/$P$3</f>
        <v>54.041</v>
      </c>
      <c r="W125" s="112" t="n">
        <f aca="false">ABS(K125)/$P$3</f>
        <v>360.581</v>
      </c>
      <c r="X125" s="112" t="n">
        <f aca="false">ABS(L125)/$P$3</f>
        <v>0</v>
      </c>
      <c r="Y125" s="112" t="n">
        <f aca="false">ABS(M125)/$P$3</f>
        <v>24.478</v>
      </c>
      <c r="Z125" s="112" t="n">
        <f aca="false">ABS(N125)/$P$3</f>
        <v>365.256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Data'!$A$2:$B$8,MATCH(WEEKDAY('RAC V@r Total'!A126,3),'Master Data'!$A$2:$A$8,0),2)</f>
        <v>T</v>
      </c>
      <c r="D126" s="112" t="n">
        <v>-414411</v>
      </c>
      <c r="E126" s="112" t="n">
        <v>0</v>
      </c>
      <c r="F126" s="112" t="n">
        <v>0</v>
      </c>
      <c r="G126" s="112" t="n">
        <v>-7695</v>
      </c>
      <c r="H126" s="112" t="n">
        <v>-53705</v>
      </c>
      <c r="I126" s="112" t="n">
        <v>-414411</v>
      </c>
      <c r="J126" s="112" t="n">
        <v>-52647</v>
      </c>
      <c r="K126" s="112" t="n">
        <v>-405113</v>
      </c>
      <c r="L126" s="112" t="n">
        <v>0</v>
      </c>
      <c r="M126" s="112" t="n">
        <v>-24703</v>
      </c>
      <c r="N126" s="112" t="n">
        <v>-401504</v>
      </c>
      <c r="P126" s="112" t="n">
        <f aca="false">ABS(D126)/$P$3</f>
        <v>414.411</v>
      </c>
      <c r="Q126" s="112" t="n">
        <f aca="false">ABS(E126)/$P$3</f>
        <v>0</v>
      </c>
      <c r="R126" s="112" t="n">
        <f aca="false">ABS(F126)/$P$3</f>
        <v>0</v>
      </c>
      <c r="S126" s="112" t="n">
        <f aca="false">ABS(G126)/$P$3</f>
        <v>7.695</v>
      </c>
      <c r="T126" s="112" t="n">
        <f aca="false">ABS(H126)/$P$3</f>
        <v>53.705</v>
      </c>
      <c r="U126" s="112" t="n">
        <f aca="false">ABS(I126)/$P$3</f>
        <v>414.411</v>
      </c>
      <c r="V126" s="112" t="n">
        <f aca="false">ABS(J126)/$P$3</f>
        <v>52.647</v>
      </c>
      <c r="W126" s="112" t="n">
        <f aca="false">ABS(K126)/$P$3</f>
        <v>405.113</v>
      </c>
      <c r="X126" s="112" t="n">
        <f aca="false">ABS(L126)/$P$3</f>
        <v>0</v>
      </c>
      <c r="Y126" s="112" t="n">
        <f aca="false">ABS(M126)/$P$3</f>
        <v>24.703</v>
      </c>
      <c r="Z126" s="112" t="n">
        <f aca="false">ABS(N126)/$P$3</f>
        <v>401.504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Data'!$A$2:$B$8,MATCH(WEEKDAY('RAC V@r Total'!A127,3),'Master Data'!$A$2:$A$8,0),2)</f>
        <v>W</v>
      </c>
      <c r="D127" s="112" t="n">
        <v>-621222</v>
      </c>
      <c r="E127" s="112" t="n">
        <v>0</v>
      </c>
      <c r="F127" s="112" t="n">
        <v>0</v>
      </c>
      <c r="G127" s="112" t="n">
        <v>-7647</v>
      </c>
      <c r="H127" s="112" t="n">
        <v>-53748</v>
      </c>
      <c r="I127" s="112" t="n">
        <v>-621222</v>
      </c>
      <c r="J127" s="112" t="n">
        <v>-52740</v>
      </c>
      <c r="K127" s="112" t="n">
        <v>-617407</v>
      </c>
      <c r="L127" s="112" t="n">
        <v>0</v>
      </c>
      <c r="M127" s="112" t="n">
        <v>-24765</v>
      </c>
      <c r="N127" s="112" t="n">
        <v>-624539</v>
      </c>
      <c r="P127" s="112" t="n">
        <f aca="false">ABS(D127)/$P$3</f>
        <v>621.222</v>
      </c>
      <c r="Q127" s="112" t="n">
        <f aca="false">ABS(E127)/$P$3</f>
        <v>0</v>
      </c>
      <c r="R127" s="112" t="n">
        <f aca="false">ABS(F127)/$P$3</f>
        <v>0</v>
      </c>
      <c r="S127" s="112" t="n">
        <f aca="false">ABS(G127)/$P$3</f>
        <v>7.647</v>
      </c>
      <c r="T127" s="112" t="n">
        <f aca="false">ABS(H127)/$P$3</f>
        <v>53.748</v>
      </c>
      <c r="U127" s="112" t="n">
        <f aca="false">ABS(I127)/$P$3</f>
        <v>621.222</v>
      </c>
      <c r="V127" s="112" t="n">
        <f aca="false">ABS(J127)/$P$3</f>
        <v>52.74</v>
      </c>
      <c r="W127" s="112" t="n">
        <f aca="false">ABS(K127)/$P$3</f>
        <v>617.407</v>
      </c>
      <c r="X127" s="112" t="n">
        <f aca="false">ABS(L127)/$P$3</f>
        <v>0</v>
      </c>
      <c r="Y127" s="112" t="n">
        <f aca="false">ABS(M127)/$P$3</f>
        <v>24.765</v>
      </c>
      <c r="Z127" s="112" t="n">
        <f aca="false">ABS(N127)/$P$3</f>
        <v>624.539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Data'!$A$2:$B$8,MATCH(WEEKDAY('RAC V@r Total'!A128,3),'Master Data'!$A$2:$A$8,0),2)</f>
        <v>Th</v>
      </c>
      <c r="D128" s="112" t="n">
        <v>-621586</v>
      </c>
      <c r="E128" s="112" t="n">
        <v>0</v>
      </c>
      <c r="F128" s="112" t="n">
        <v>0</v>
      </c>
      <c r="G128" s="112" t="n">
        <v>-255751</v>
      </c>
      <c r="H128" s="112" t="n">
        <v>-53871</v>
      </c>
      <c r="I128" s="112" t="n">
        <v>-621586</v>
      </c>
      <c r="J128" s="112" t="n">
        <v>-269566</v>
      </c>
      <c r="K128" s="112" t="n">
        <v>-387807</v>
      </c>
      <c r="L128" s="112" t="n">
        <v>0</v>
      </c>
      <c r="M128" s="112" t="n">
        <v>-24943</v>
      </c>
      <c r="N128" s="112" t="n">
        <v>-402975</v>
      </c>
      <c r="P128" s="112" t="n">
        <f aca="false">ABS(D128)/$P$3</f>
        <v>621.586</v>
      </c>
      <c r="Q128" s="112" t="n">
        <f aca="false">ABS(E128)/$P$3</f>
        <v>0</v>
      </c>
      <c r="R128" s="112" t="n">
        <f aca="false">ABS(F128)/$P$3</f>
        <v>0</v>
      </c>
      <c r="S128" s="112" t="n">
        <f aca="false">ABS(G128)/$P$3</f>
        <v>255.751</v>
      </c>
      <c r="T128" s="112" t="n">
        <f aca="false">ABS(H128)/$P$3</f>
        <v>53.871</v>
      </c>
      <c r="U128" s="112" t="n">
        <f aca="false">ABS(I128)/$P$3</f>
        <v>621.586</v>
      </c>
      <c r="V128" s="112" t="n">
        <f aca="false">ABS(J128)/$P$3</f>
        <v>269.566</v>
      </c>
      <c r="W128" s="112" t="n">
        <f aca="false">ABS(K128)/$P$3</f>
        <v>387.807</v>
      </c>
      <c r="X128" s="112" t="n">
        <f aca="false">ABS(L128)/$P$3</f>
        <v>0</v>
      </c>
      <c r="Y128" s="112" t="n">
        <f aca="false">ABS(M128)/$P$3</f>
        <v>24.943</v>
      </c>
      <c r="Z128" s="112" t="n">
        <f aca="false">ABS(N128)/$P$3</f>
        <v>402.975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Data'!$A$2:$B$8,MATCH(WEEKDAY('RAC V@r Total'!A129,3),'Master Data'!$A$2:$A$8,0),2)</f>
        <v>F</v>
      </c>
      <c r="D129" s="112" t="n">
        <v>-621933</v>
      </c>
      <c r="E129" s="112" t="n">
        <v>0</v>
      </c>
      <c r="F129" s="112" t="n">
        <v>0</v>
      </c>
      <c r="G129" s="112" t="n">
        <v>-426843</v>
      </c>
      <c r="H129" s="112" t="n">
        <v>-53938</v>
      </c>
      <c r="I129" s="112" t="n">
        <v>-621933</v>
      </c>
      <c r="J129" s="112" t="n">
        <v>-425979</v>
      </c>
      <c r="K129" s="112" t="n">
        <v>-1011930</v>
      </c>
      <c r="L129" s="112" t="n">
        <v>0</v>
      </c>
      <c r="M129" s="112" t="n">
        <v>-25025</v>
      </c>
      <c r="N129" s="112" t="n">
        <v>-1023716</v>
      </c>
      <c r="P129" s="112" t="n">
        <f aca="false">ABS(D129)/$P$3</f>
        <v>621.933</v>
      </c>
      <c r="Q129" s="112" t="n">
        <f aca="false">ABS(E129)/$P$3</f>
        <v>0</v>
      </c>
      <c r="R129" s="112" t="n">
        <f aca="false">ABS(F129)/$P$3</f>
        <v>0</v>
      </c>
      <c r="S129" s="112" t="n">
        <f aca="false">ABS(G129)/$P$3</f>
        <v>426.843</v>
      </c>
      <c r="T129" s="112" t="n">
        <f aca="false">ABS(H129)/$P$3</f>
        <v>53.938</v>
      </c>
      <c r="U129" s="112" t="n">
        <f aca="false">ABS(I129)/$P$3</f>
        <v>621.933</v>
      </c>
      <c r="V129" s="112" t="n">
        <f aca="false">ABS(J129)/$P$3</f>
        <v>425.979</v>
      </c>
      <c r="W129" s="112" t="n">
        <f aca="false">ABS(K129)/$P$3</f>
        <v>1011.93</v>
      </c>
      <c r="X129" s="112" t="n">
        <f aca="false">ABS(L129)/$P$3</f>
        <v>0</v>
      </c>
      <c r="Y129" s="112" t="n">
        <f aca="false">ABS(M129)/$P$3</f>
        <v>25.025</v>
      </c>
      <c r="Z129" s="112" t="n">
        <f aca="false">ABS(N129)/$P$3</f>
        <v>1023.716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Data'!$A$2:$B$8,MATCH(WEEKDAY('RAC V@r Total'!A130,3),'Master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H130" s="112" t="n">
        <v>0</v>
      </c>
      <c r="I130" s="112" t="n">
        <v>0</v>
      </c>
      <c r="J130" s="112" t="n">
        <v>0</v>
      </c>
      <c r="K130" s="112" t="n">
        <v>0</v>
      </c>
      <c r="L130" s="112" t="n">
        <v>0</v>
      </c>
      <c r="M130" s="112" t="n">
        <v>0</v>
      </c>
      <c r="N130" s="112" t="n">
        <v>0</v>
      </c>
      <c r="P130" s="112" t="n">
        <f aca="false">ABS(D130)/$P$3</f>
        <v>0</v>
      </c>
      <c r="Q130" s="112" t="n">
        <f aca="false">ABS(E130)/$P$3</f>
        <v>0</v>
      </c>
      <c r="R130" s="112" t="n">
        <f aca="false">ABS(F130)/$P$3</f>
        <v>0</v>
      </c>
      <c r="S130" s="112" t="n">
        <f aca="false">ABS(G130)/$P$3</f>
        <v>0</v>
      </c>
      <c r="T130" s="112" t="n">
        <f aca="false">ABS(H130)/$P$3</f>
        <v>0</v>
      </c>
      <c r="U130" s="112" t="n">
        <f aca="false">ABS(I130)/$P$3</f>
        <v>0</v>
      </c>
      <c r="V130" s="112" t="n">
        <f aca="false">ABS(J130)/$P$3</f>
        <v>0</v>
      </c>
      <c r="W130" s="112" t="n">
        <f aca="false">ABS(K130)/$P$3</f>
        <v>0</v>
      </c>
      <c r="X130" s="112" t="n">
        <f aca="false">ABS(L130)/$P$3</f>
        <v>0</v>
      </c>
      <c r="Y130" s="112" t="n">
        <f aca="false">ABS(M130)/$P$3</f>
        <v>0</v>
      </c>
      <c r="Z130" s="112" t="n">
        <f aca="false">ABS(N130)/$P$3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Data'!$A$2:$B$8,MATCH(WEEKDAY('RAC V@r Total'!A131,3),'Master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H131" s="112" t="n">
        <v>0</v>
      </c>
      <c r="I131" s="112" t="n">
        <v>0</v>
      </c>
      <c r="J131" s="112" t="n">
        <v>0</v>
      </c>
      <c r="K131" s="112" t="n">
        <v>0</v>
      </c>
      <c r="L131" s="112" t="n">
        <v>0</v>
      </c>
      <c r="M131" s="112" t="n">
        <v>0</v>
      </c>
      <c r="N131" s="112" t="n">
        <v>0</v>
      </c>
      <c r="P131" s="112" t="n">
        <f aca="false">ABS(D131)/$P$3</f>
        <v>0</v>
      </c>
      <c r="Q131" s="112" t="n">
        <f aca="false">ABS(E131)/$P$3</f>
        <v>0</v>
      </c>
      <c r="R131" s="112" t="n">
        <f aca="false">ABS(F131)/$P$3</f>
        <v>0</v>
      </c>
      <c r="S131" s="112" t="n">
        <f aca="false">ABS(G131)/$P$3</f>
        <v>0</v>
      </c>
      <c r="T131" s="112" t="n">
        <f aca="false">ABS(H131)/$P$3</f>
        <v>0</v>
      </c>
      <c r="U131" s="112" t="n">
        <f aca="false">ABS(I131)/$P$3</f>
        <v>0</v>
      </c>
      <c r="V131" s="112" t="n">
        <f aca="false">ABS(J131)/$P$3</f>
        <v>0</v>
      </c>
      <c r="W131" s="112" t="n">
        <f aca="false">ABS(K131)/$P$3</f>
        <v>0</v>
      </c>
      <c r="X131" s="112" t="n">
        <f aca="false">ABS(L131)/$P$3</f>
        <v>0</v>
      </c>
      <c r="Y131" s="112" t="n">
        <f aca="false">ABS(M131)/$P$3</f>
        <v>0</v>
      </c>
      <c r="Z131" s="112" t="n">
        <f aca="false">ABS(N131)/$P$3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Data'!$A$2:$B$8,MATCH(WEEKDAY('RAC V@r Total'!A132,3),'Master Data'!$A$2:$A$8,0),2)</f>
        <v>M</v>
      </c>
      <c r="D132" s="112" t="n">
        <v>-622954</v>
      </c>
      <c r="E132" s="112" t="n">
        <v>0</v>
      </c>
      <c r="F132" s="112" t="n">
        <v>0</v>
      </c>
      <c r="G132" s="112" t="n">
        <v>-429021</v>
      </c>
      <c r="H132" s="112" t="n">
        <v>-53935</v>
      </c>
      <c r="I132" s="112" t="n">
        <v>-622954</v>
      </c>
      <c r="J132" s="112" t="n">
        <v>-426955</v>
      </c>
      <c r="K132" s="112" t="n">
        <v>-1016142</v>
      </c>
      <c r="L132" s="112" t="n">
        <v>0</v>
      </c>
      <c r="M132" s="112" t="n">
        <v>-25003</v>
      </c>
      <c r="N132" s="112" t="n">
        <v>-1025650</v>
      </c>
      <c r="P132" s="112" t="n">
        <f aca="false">ABS(D132)/$P$3</f>
        <v>622.954</v>
      </c>
      <c r="Q132" s="112" t="n">
        <f aca="false">ABS(E132)/$P$3</f>
        <v>0</v>
      </c>
      <c r="R132" s="112" t="n">
        <f aca="false">ABS(F132)/$P$3</f>
        <v>0</v>
      </c>
      <c r="S132" s="112" t="n">
        <f aca="false">ABS(G132)/$P$3</f>
        <v>429.021</v>
      </c>
      <c r="T132" s="112" t="n">
        <f aca="false">ABS(H132)/$P$3</f>
        <v>53.935</v>
      </c>
      <c r="U132" s="112" t="n">
        <f aca="false">ABS(I132)/$P$3</f>
        <v>622.954</v>
      </c>
      <c r="V132" s="112" t="n">
        <f aca="false">ABS(J132)/$P$3</f>
        <v>426.955</v>
      </c>
      <c r="W132" s="112" t="n">
        <f aca="false">ABS(K132)/$P$3</f>
        <v>1016.142</v>
      </c>
      <c r="X132" s="112" t="n">
        <f aca="false">ABS(L132)/$P$3</f>
        <v>0</v>
      </c>
      <c r="Y132" s="112" t="n">
        <f aca="false">ABS(M132)/$P$3</f>
        <v>25.003</v>
      </c>
      <c r="Z132" s="112" t="n">
        <f aca="false">ABS(N132)/$P$3</f>
        <v>1025.65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Data'!$A$2:$B$8,MATCH(WEEKDAY('RAC V@r Total'!A133,3),'Master Data'!$A$2:$A$8,0),2)</f>
        <v>T</v>
      </c>
      <c r="D133" s="112" t="n">
        <v>-623292</v>
      </c>
      <c r="E133" s="112" t="n">
        <v>0</v>
      </c>
      <c r="F133" s="112" t="n">
        <v>0</v>
      </c>
      <c r="G133" s="112" t="n">
        <v>-429902</v>
      </c>
      <c r="H133" s="112" t="n">
        <v>-53496</v>
      </c>
      <c r="I133" s="112" t="n">
        <v>-623292</v>
      </c>
      <c r="J133" s="112" t="n">
        <v>-427535</v>
      </c>
      <c r="K133" s="112" t="n">
        <v>-1017558</v>
      </c>
      <c r="L133" s="112" t="n">
        <v>0</v>
      </c>
      <c r="M133" s="112" t="n">
        <v>-25001</v>
      </c>
      <c r="N133" s="112" t="n">
        <v>-1026285</v>
      </c>
      <c r="P133" s="112" t="n">
        <f aca="false">ABS(D133)/$P$3</f>
        <v>623.292</v>
      </c>
      <c r="Q133" s="112" t="n">
        <f aca="false">ABS(E133)/$P$3</f>
        <v>0</v>
      </c>
      <c r="R133" s="112" t="n">
        <f aca="false">ABS(F133)/$P$3</f>
        <v>0</v>
      </c>
      <c r="S133" s="112" t="n">
        <f aca="false">ABS(G133)/$P$3</f>
        <v>429.902</v>
      </c>
      <c r="T133" s="112" t="n">
        <f aca="false">ABS(H133)/$P$3</f>
        <v>53.496</v>
      </c>
      <c r="U133" s="112" t="n">
        <f aca="false">ABS(I133)/$P$3</f>
        <v>623.292</v>
      </c>
      <c r="V133" s="112" t="n">
        <f aca="false">ABS(J133)/$P$3</f>
        <v>427.535</v>
      </c>
      <c r="W133" s="112" t="n">
        <f aca="false">ABS(K133)/$P$3</f>
        <v>1017.558</v>
      </c>
      <c r="X133" s="112" t="n">
        <f aca="false">ABS(L133)/$P$3</f>
        <v>0</v>
      </c>
      <c r="Y133" s="112" t="n">
        <f aca="false">ABS(M133)/$P$3</f>
        <v>25.001</v>
      </c>
      <c r="Z133" s="112" t="n">
        <f aca="false">ABS(N133)/$P$3</f>
        <v>1026.285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Data'!$A$2:$B$8,MATCH(WEEKDAY('RAC V@r Total'!A134,3),'Master Data'!$A$2:$A$8,0),2)</f>
        <v>W</v>
      </c>
      <c r="D134" s="112" t="n">
        <v>-623630</v>
      </c>
      <c r="E134" s="112" t="n">
        <v>0</v>
      </c>
      <c r="F134" s="112" t="n">
        <v>0</v>
      </c>
      <c r="G134" s="112" t="n">
        <v>-565704</v>
      </c>
      <c r="H134" s="112" t="n">
        <v>-54032</v>
      </c>
      <c r="I134" s="112" t="n">
        <v>-623630</v>
      </c>
      <c r="J134" s="112" t="n">
        <v>-567217</v>
      </c>
      <c r="K134" s="112" t="n">
        <v>-1192238</v>
      </c>
      <c r="L134" s="112" t="n">
        <v>0</v>
      </c>
      <c r="M134" s="112" t="n">
        <v>-25124</v>
      </c>
      <c r="N134" s="112" t="n">
        <v>-1206910</v>
      </c>
      <c r="P134" s="112" t="n">
        <f aca="false">ABS(D134)/$P$3</f>
        <v>623.63</v>
      </c>
      <c r="Q134" s="112" t="n">
        <f aca="false">ABS(E134)/$P$3</f>
        <v>0</v>
      </c>
      <c r="R134" s="112" t="n">
        <f aca="false">ABS(F134)/$P$3</f>
        <v>0</v>
      </c>
      <c r="S134" s="112" t="n">
        <f aca="false">ABS(G134)/$P$3</f>
        <v>565.704</v>
      </c>
      <c r="T134" s="112" t="n">
        <f aca="false">ABS(H134)/$P$3</f>
        <v>54.032</v>
      </c>
      <c r="U134" s="112" t="n">
        <f aca="false">ABS(I134)/$P$3</f>
        <v>623.63</v>
      </c>
      <c r="V134" s="112" t="n">
        <f aca="false">ABS(J134)/$P$3</f>
        <v>567.217</v>
      </c>
      <c r="W134" s="112" t="n">
        <f aca="false">ABS(K134)/$P$3</f>
        <v>1192.238</v>
      </c>
      <c r="X134" s="112" t="n">
        <f aca="false">ABS(L134)/$P$3</f>
        <v>0</v>
      </c>
      <c r="Y134" s="112" t="n">
        <f aca="false">ABS(M134)/$P$3</f>
        <v>25.124</v>
      </c>
      <c r="Z134" s="112" t="n">
        <f aca="false">ABS(N134)/$P$3</f>
        <v>1206.91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Data'!$A$2:$B$8,MATCH(WEEKDAY('RAC V@r Total'!A135,3),'Master Data'!$A$2:$A$8,0),2)</f>
        <v>Th</v>
      </c>
      <c r="D135" s="112" t="n">
        <v>-623967</v>
      </c>
      <c r="E135" s="112" t="n">
        <v>0</v>
      </c>
      <c r="F135" s="112" t="n">
        <v>0</v>
      </c>
      <c r="G135" s="112" t="n">
        <v>-565372</v>
      </c>
      <c r="H135" s="112" t="n">
        <v>-53824</v>
      </c>
      <c r="I135" s="112" t="n">
        <v>-623967</v>
      </c>
      <c r="J135" s="112" t="n">
        <v>-567353</v>
      </c>
      <c r="K135" s="112" t="n">
        <v>-1192235</v>
      </c>
      <c r="L135" s="112" t="n">
        <v>0</v>
      </c>
      <c r="M135" s="112" t="n">
        <v>-24808</v>
      </c>
      <c r="N135" s="112" t="n">
        <v>-1207011</v>
      </c>
      <c r="P135" s="112" t="n">
        <f aca="false">ABS(D135)/$P$3</f>
        <v>623.967</v>
      </c>
      <c r="Q135" s="112" t="n">
        <f aca="false">ABS(E135)/$P$3</f>
        <v>0</v>
      </c>
      <c r="R135" s="112" t="n">
        <f aca="false">ABS(F135)/$P$3</f>
        <v>0</v>
      </c>
      <c r="S135" s="112" t="n">
        <f aca="false">ABS(G135)/$P$3</f>
        <v>565.372</v>
      </c>
      <c r="T135" s="112" t="n">
        <f aca="false">ABS(H135)/$P$3</f>
        <v>53.824</v>
      </c>
      <c r="U135" s="112" t="n">
        <f aca="false">ABS(I135)/$P$3</f>
        <v>623.967</v>
      </c>
      <c r="V135" s="112" t="n">
        <f aca="false">ABS(J135)/$P$3</f>
        <v>567.353</v>
      </c>
      <c r="W135" s="112" t="n">
        <f aca="false">ABS(K135)/$P$3</f>
        <v>1192.235</v>
      </c>
      <c r="X135" s="112" t="n">
        <f aca="false">ABS(L135)/$P$3</f>
        <v>0</v>
      </c>
      <c r="Y135" s="112" t="n">
        <f aca="false">ABS(M135)/$P$3</f>
        <v>24.808</v>
      </c>
      <c r="Z135" s="112" t="n">
        <f aca="false">ABS(N135)/$P$3</f>
        <v>1207.011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Data'!$A$2:$B$8,MATCH(WEEKDAY('RAC V@r Total'!A136,3),'Master Data'!$A$2:$A$8,0),2)</f>
        <v>F</v>
      </c>
      <c r="D136" s="112" t="n">
        <v>-624303</v>
      </c>
      <c r="E136" s="112" t="n">
        <v>0</v>
      </c>
      <c r="F136" s="112" t="n">
        <v>0</v>
      </c>
      <c r="G136" s="112" t="n">
        <v>-564393</v>
      </c>
      <c r="H136" s="112" t="n">
        <v>-53533</v>
      </c>
      <c r="I136" s="112" t="n">
        <v>-624303</v>
      </c>
      <c r="J136" s="112" t="n">
        <v>-567214</v>
      </c>
      <c r="K136" s="112" t="n">
        <v>-1191838</v>
      </c>
      <c r="L136" s="112" t="n">
        <v>0</v>
      </c>
      <c r="M136" s="112" t="n">
        <v>-24382</v>
      </c>
      <c r="N136" s="112" t="n">
        <v>-1206504</v>
      </c>
      <c r="P136" s="112" t="n">
        <f aca="false">ABS(D136)/$P$3</f>
        <v>624.303</v>
      </c>
      <c r="Q136" s="112" t="n">
        <f aca="false">ABS(E136)/$P$3</f>
        <v>0</v>
      </c>
      <c r="R136" s="112" t="n">
        <f aca="false">ABS(F136)/$P$3</f>
        <v>0</v>
      </c>
      <c r="S136" s="112" t="n">
        <f aca="false">ABS(G136)/$P$3</f>
        <v>564.393</v>
      </c>
      <c r="T136" s="112" t="n">
        <f aca="false">ABS(H136)/$P$3</f>
        <v>53.533</v>
      </c>
      <c r="U136" s="112" t="n">
        <f aca="false">ABS(I136)/$P$3</f>
        <v>624.303</v>
      </c>
      <c r="V136" s="112" t="n">
        <f aca="false">ABS(J136)/$P$3</f>
        <v>567.214</v>
      </c>
      <c r="W136" s="112" t="n">
        <f aca="false">ABS(K136)/$P$3</f>
        <v>1191.838</v>
      </c>
      <c r="X136" s="112" t="n">
        <f aca="false">ABS(L136)/$P$3</f>
        <v>0</v>
      </c>
      <c r="Y136" s="112" t="n">
        <f aca="false">ABS(M136)/$P$3</f>
        <v>24.382</v>
      </c>
      <c r="Z136" s="112" t="n">
        <f aca="false">ABS(N136)/$P$3</f>
        <v>1206.504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Data'!$A$2:$B$8,MATCH(WEEKDAY('RAC V@r Total'!A137,3),'Master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H137" s="112" t="n">
        <v>0</v>
      </c>
      <c r="I137" s="112" t="n">
        <v>0</v>
      </c>
      <c r="J137" s="112" t="n">
        <v>0</v>
      </c>
      <c r="K137" s="112" t="n">
        <v>0</v>
      </c>
      <c r="L137" s="112" t="n">
        <v>0</v>
      </c>
      <c r="M137" s="112" t="n">
        <v>0</v>
      </c>
      <c r="N137" s="112" t="n">
        <v>0</v>
      </c>
      <c r="P137" s="112" t="n">
        <f aca="false">ABS(D137)/$P$3</f>
        <v>0</v>
      </c>
      <c r="Q137" s="112" t="n">
        <f aca="false">ABS(E137)/$P$3</f>
        <v>0</v>
      </c>
      <c r="R137" s="112" t="n">
        <f aca="false">ABS(F137)/$P$3</f>
        <v>0</v>
      </c>
      <c r="S137" s="112" t="n">
        <f aca="false">ABS(G137)/$P$3</f>
        <v>0</v>
      </c>
      <c r="T137" s="112" t="n">
        <f aca="false">ABS(H137)/$P$3</f>
        <v>0</v>
      </c>
      <c r="U137" s="112" t="n">
        <f aca="false">ABS(I137)/$P$3</f>
        <v>0</v>
      </c>
      <c r="V137" s="112" t="n">
        <f aca="false">ABS(J137)/$P$3</f>
        <v>0</v>
      </c>
      <c r="W137" s="112" t="n">
        <f aca="false">ABS(K137)/$P$3</f>
        <v>0</v>
      </c>
      <c r="X137" s="112" t="n">
        <f aca="false">ABS(L137)/$P$3</f>
        <v>0</v>
      </c>
      <c r="Y137" s="112" t="n">
        <f aca="false">ABS(M137)/$P$3</f>
        <v>0</v>
      </c>
      <c r="Z137" s="112" t="n">
        <f aca="false">ABS(N137)/$P$3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Data'!$A$2:$B$8,MATCH(WEEKDAY('RAC V@r Total'!A138,3),'Master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H138" s="112" t="n">
        <v>0</v>
      </c>
      <c r="I138" s="112" t="n">
        <v>0</v>
      </c>
      <c r="J138" s="112" t="n">
        <v>0</v>
      </c>
      <c r="K138" s="112" t="n">
        <v>0</v>
      </c>
      <c r="L138" s="112" t="n">
        <v>0</v>
      </c>
      <c r="M138" s="112" t="n">
        <v>0</v>
      </c>
      <c r="N138" s="112" t="n">
        <v>0</v>
      </c>
      <c r="P138" s="112" t="n">
        <f aca="false">ABS(D138)/$P$3</f>
        <v>0</v>
      </c>
      <c r="Q138" s="112" t="n">
        <f aca="false">ABS(E138)/$P$3</f>
        <v>0</v>
      </c>
      <c r="R138" s="112" t="n">
        <f aca="false">ABS(F138)/$P$3</f>
        <v>0</v>
      </c>
      <c r="S138" s="112" t="n">
        <f aca="false">ABS(G138)/$P$3</f>
        <v>0</v>
      </c>
      <c r="T138" s="112" t="n">
        <f aca="false">ABS(H138)/$P$3</f>
        <v>0</v>
      </c>
      <c r="U138" s="112" t="n">
        <f aca="false">ABS(I138)/$P$3</f>
        <v>0</v>
      </c>
      <c r="V138" s="112" t="n">
        <f aca="false">ABS(J138)/$P$3</f>
        <v>0</v>
      </c>
      <c r="W138" s="112" t="n">
        <f aca="false">ABS(K138)/$P$3</f>
        <v>0</v>
      </c>
      <c r="X138" s="112" t="n">
        <f aca="false">ABS(L138)/$P$3</f>
        <v>0</v>
      </c>
      <c r="Y138" s="112" t="n">
        <f aca="false">ABS(M138)/$P$3</f>
        <v>0</v>
      </c>
      <c r="Z138" s="112" t="n">
        <f aca="false">ABS(N138)/$P$3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Data'!$A$2:$B$8,MATCH(WEEKDAY('RAC V@r Total'!A139,3),'Master Data'!$A$2:$A$8,0),2)</f>
        <v>M</v>
      </c>
      <c r="D139" s="112" t="n">
        <v>-624831</v>
      </c>
      <c r="E139" s="112" t="n">
        <v>0</v>
      </c>
      <c r="F139" s="112" t="n">
        <v>0</v>
      </c>
      <c r="G139" s="112" t="n">
        <v>-428807</v>
      </c>
      <c r="H139" s="112" t="n">
        <v>-53605</v>
      </c>
      <c r="I139" s="112" t="n">
        <v>-624831</v>
      </c>
      <c r="J139" s="112" t="n">
        <v>-426746</v>
      </c>
      <c r="K139" s="112" t="n">
        <v>-1022722</v>
      </c>
      <c r="L139" s="112" t="n">
        <v>0</v>
      </c>
      <c r="M139" s="112" t="n">
        <v>-24468</v>
      </c>
      <c r="N139" s="112" t="n">
        <v>-1023566</v>
      </c>
      <c r="P139" s="112" t="n">
        <f aca="false">ABS(D139)/$P$3</f>
        <v>624.831</v>
      </c>
      <c r="Q139" s="112" t="n">
        <f aca="false">ABS(E139)/$P$3</f>
        <v>0</v>
      </c>
      <c r="R139" s="112" t="n">
        <f aca="false">ABS(F139)/$P$3</f>
        <v>0</v>
      </c>
      <c r="S139" s="112" t="n">
        <f aca="false">ABS(G139)/$P$3</f>
        <v>428.807</v>
      </c>
      <c r="T139" s="112" t="n">
        <f aca="false">ABS(H139)/$P$3</f>
        <v>53.605</v>
      </c>
      <c r="U139" s="112" t="n">
        <f aca="false">ABS(I139)/$P$3</f>
        <v>624.831</v>
      </c>
      <c r="V139" s="112" t="n">
        <f aca="false">ABS(J139)/$P$3</f>
        <v>426.746</v>
      </c>
      <c r="W139" s="112" t="n">
        <f aca="false">ABS(K139)/$P$3</f>
        <v>1022.722</v>
      </c>
      <c r="X139" s="112" t="n">
        <f aca="false">ABS(L139)/$P$3</f>
        <v>0</v>
      </c>
      <c r="Y139" s="112" t="n">
        <f aca="false">ABS(M139)/$P$3</f>
        <v>24.468</v>
      </c>
      <c r="Z139" s="112" t="n">
        <f aca="false">ABS(N139)/$P$3</f>
        <v>1023.566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Data'!$A$2:$B$8,MATCH(WEEKDAY('RAC V@r Total'!A140,3),'Master Data'!$A$2:$A$8,0),2)</f>
        <v>T</v>
      </c>
      <c r="D140" s="112" t="n">
        <v>-625188</v>
      </c>
      <c r="E140" s="112" t="n">
        <v>0</v>
      </c>
      <c r="F140" s="112" t="n">
        <v>0</v>
      </c>
      <c r="G140" s="112" t="n">
        <v>-409225</v>
      </c>
      <c r="H140" s="112" t="n">
        <v>-53528</v>
      </c>
      <c r="I140" s="112" t="n">
        <v>-625188</v>
      </c>
      <c r="J140" s="112" t="n">
        <v>-407455</v>
      </c>
      <c r="K140" s="112" t="n">
        <v>-1001043</v>
      </c>
      <c r="L140" s="112" t="n">
        <v>0</v>
      </c>
      <c r="M140" s="112" t="n">
        <v>-24341</v>
      </c>
      <c r="N140" s="112" t="n">
        <v>-1002689</v>
      </c>
      <c r="P140" s="112" t="n">
        <f aca="false">ABS(D140)/$P$3</f>
        <v>625.188</v>
      </c>
      <c r="Q140" s="112" t="n">
        <f aca="false">ABS(E140)/$P$3</f>
        <v>0</v>
      </c>
      <c r="R140" s="112" t="n">
        <f aca="false">ABS(F140)/$P$3</f>
        <v>0</v>
      </c>
      <c r="S140" s="112" t="n">
        <f aca="false">ABS(G140)/$P$3</f>
        <v>409.225</v>
      </c>
      <c r="T140" s="112" t="n">
        <f aca="false">ABS(H140)/$P$3</f>
        <v>53.528</v>
      </c>
      <c r="U140" s="112" t="n">
        <f aca="false">ABS(I140)/$P$3</f>
        <v>625.188</v>
      </c>
      <c r="V140" s="112" t="n">
        <f aca="false">ABS(J140)/$P$3</f>
        <v>407.455</v>
      </c>
      <c r="W140" s="112" t="n">
        <f aca="false">ABS(K140)/$P$3</f>
        <v>1001.043</v>
      </c>
      <c r="X140" s="112" t="n">
        <f aca="false">ABS(L140)/$P$3</f>
        <v>0</v>
      </c>
      <c r="Y140" s="112" t="n">
        <f aca="false">ABS(M140)/$P$3</f>
        <v>24.341</v>
      </c>
      <c r="Z140" s="112" t="n">
        <f aca="false">ABS(N140)/$P$3</f>
        <v>1002.689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Data'!$A$2:$B$8,MATCH(WEEKDAY('RAC V@r Total'!A141,3),'Master Data'!$A$2:$A$8,0),2)</f>
        <v>W</v>
      </c>
      <c r="D141" s="112" t="n">
        <v>-625537</v>
      </c>
      <c r="E141" s="112" t="n">
        <v>0</v>
      </c>
      <c r="F141" s="112" t="n">
        <v>0</v>
      </c>
      <c r="G141" s="112" t="n">
        <v>-409770</v>
      </c>
      <c r="H141" s="112" t="n">
        <v>-53637</v>
      </c>
      <c r="I141" s="112" t="n">
        <v>-625537</v>
      </c>
      <c r="J141" s="112" t="n">
        <v>-408606</v>
      </c>
      <c r="K141" s="112" t="n">
        <v>-1002480</v>
      </c>
      <c r="L141" s="112" t="n">
        <v>0</v>
      </c>
      <c r="M141" s="112" t="n">
        <v>-24493</v>
      </c>
      <c r="N141" s="112" t="n">
        <v>-1002285</v>
      </c>
      <c r="P141" s="112" t="n">
        <f aca="false">ABS(D141)/$P$3</f>
        <v>625.537</v>
      </c>
      <c r="Q141" s="112" t="n">
        <f aca="false">ABS(E141)/$P$3</f>
        <v>0</v>
      </c>
      <c r="R141" s="112" t="n">
        <f aca="false">ABS(F141)/$P$3</f>
        <v>0</v>
      </c>
      <c r="S141" s="112" t="n">
        <f aca="false">ABS(G141)/$P$3</f>
        <v>409.77</v>
      </c>
      <c r="T141" s="112" t="n">
        <f aca="false">ABS(H141)/$P$3</f>
        <v>53.637</v>
      </c>
      <c r="U141" s="112" t="n">
        <f aca="false">ABS(I141)/$P$3</f>
        <v>625.537</v>
      </c>
      <c r="V141" s="112" t="n">
        <f aca="false">ABS(J141)/$P$3</f>
        <v>408.606</v>
      </c>
      <c r="W141" s="112" t="n">
        <f aca="false">ABS(K141)/$P$3</f>
        <v>1002.48</v>
      </c>
      <c r="X141" s="112" t="n">
        <f aca="false">ABS(L141)/$P$3</f>
        <v>0</v>
      </c>
      <c r="Y141" s="112" t="n">
        <f aca="false">ABS(M141)/$P$3</f>
        <v>24.493</v>
      </c>
      <c r="Z141" s="112" t="n">
        <f aca="false">ABS(N141)/$P$3</f>
        <v>1002.285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Data'!$A$2:$B$8,MATCH(WEEKDAY('RAC V@r Total'!A142,3),'Master Data'!$A$2:$A$8,0),2)</f>
        <v>Th</v>
      </c>
      <c r="D142" s="112" t="n">
        <v>-625884</v>
      </c>
      <c r="E142" s="112" t="n">
        <v>0</v>
      </c>
      <c r="F142" s="112" t="n">
        <v>0</v>
      </c>
      <c r="G142" s="112" t="n">
        <v>-410258</v>
      </c>
      <c r="H142" s="112" t="n">
        <v>-53711</v>
      </c>
      <c r="I142" s="112" t="n">
        <v>-625884</v>
      </c>
      <c r="J142" s="112" t="n">
        <v>-409324</v>
      </c>
      <c r="K142" s="112" t="n">
        <v>-1004005</v>
      </c>
      <c r="L142" s="112" t="n">
        <v>0</v>
      </c>
      <c r="M142" s="112" t="n">
        <v>-24603</v>
      </c>
      <c r="N142" s="112" t="n">
        <v>-1003834</v>
      </c>
      <c r="P142" s="112" t="n">
        <f aca="false">ABS(D142)/$P$3</f>
        <v>625.884</v>
      </c>
      <c r="Q142" s="112" t="n">
        <f aca="false">ABS(E142)/$P$3</f>
        <v>0</v>
      </c>
      <c r="R142" s="112" t="n">
        <f aca="false">ABS(F142)/$P$3</f>
        <v>0</v>
      </c>
      <c r="S142" s="112" t="n">
        <f aca="false">ABS(G142)/$P$3</f>
        <v>410.258</v>
      </c>
      <c r="T142" s="112" t="n">
        <f aca="false">ABS(H142)/$P$3</f>
        <v>53.711</v>
      </c>
      <c r="U142" s="112" t="n">
        <f aca="false">ABS(I142)/$P$3</f>
        <v>625.884</v>
      </c>
      <c r="V142" s="112" t="n">
        <f aca="false">ABS(J142)/$P$3</f>
        <v>409.324</v>
      </c>
      <c r="W142" s="112" t="n">
        <f aca="false">ABS(K142)/$P$3</f>
        <v>1004.005</v>
      </c>
      <c r="X142" s="112" t="n">
        <f aca="false">ABS(L142)/$P$3</f>
        <v>0</v>
      </c>
      <c r="Y142" s="112" t="n">
        <f aca="false">ABS(M142)/$P$3</f>
        <v>24.603</v>
      </c>
      <c r="Z142" s="112" t="n">
        <f aca="false">ABS(N142)/$P$3</f>
        <v>1003.834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Data'!$A$2:$B$8,MATCH(WEEKDAY('RAC V@r Total'!A143,3),'Master Data'!$A$2:$A$8,0),2)</f>
        <v>F</v>
      </c>
      <c r="D143" s="112" t="n">
        <v>-407058</v>
      </c>
      <c r="E143" s="112" t="n">
        <v>0</v>
      </c>
      <c r="F143" s="112" t="n">
        <v>0</v>
      </c>
      <c r="G143" s="112" t="n">
        <v>-410158</v>
      </c>
      <c r="H143" s="112" t="n">
        <v>-53739</v>
      </c>
      <c r="I143" s="112" t="n">
        <v>-407058</v>
      </c>
      <c r="J143" s="112" t="n">
        <v>-409312</v>
      </c>
      <c r="K143" s="112" t="n">
        <v>-829195</v>
      </c>
      <c r="L143" s="112" t="n">
        <v>0</v>
      </c>
      <c r="M143" s="112" t="n">
        <v>-25138</v>
      </c>
      <c r="N143" s="112" t="n">
        <v>-833047</v>
      </c>
      <c r="P143" s="112" t="n">
        <f aca="false">ABS(D143)/$P$3</f>
        <v>407.058</v>
      </c>
      <c r="Q143" s="112" t="n">
        <f aca="false">ABS(E143)/$P$3</f>
        <v>0</v>
      </c>
      <c r="R143" s="112" t="n">
        <f aca="false">ABS(F143)/$P$3</f>
        <v>0</v>
      </c>
      <c r="S143" s="112" t="n">
        <f aca="false">ABS(G143)/$P$3</f>
        <v>410.158</v>
      </c>
      <c r="T143" s="112" t="n">
        <f aca="false">ABS(H143)/$P$3</f>
        <v>53.739</v>
      </c>
      <c r="U143" s="112" t="n">
        <f aca="false">ABS(I143)/$P$3</f>
        <v>407.058</v>
      </c>
      <c r="V143" s="112" t="n">
        <f aca="false">ABS(J143)/$P$3</f>
        <v>409.312</v>
      </c>
      <c r="W143" s="112" t="n">
        <f aca="false">ABS(K143)/$P$3</f>
        <v>829.195</v>
      </c>
      <c r="X143" s="112" t="n">
        <f aca="false">ABS(L143)/$P$3</f>
        <v>0</v>
      </c>
      <c r="Y143" s="112" t="n">
        <f aca="false">ABS(M143)/$P$3</f>
        <v>25.138</v>
      </c>
      <c r="Z143" s="112" t="n">
        <f aca="false">ABS(N143)/$P$3</f>
        <v>833.047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Data'!$A$2:$B$8,MATCH(WEEKDAY('RAC V@r Total'!A144,3),'Master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H144" s="112" t="n">
        <v>0</v>
      </c>
      <c r="I144" s="112" t="n">
        <v>0</v>
      </c>
      <c r="J144" s="112" t="n">
        <v>0</v>
      </c>
      <c r="K144" s="112" t="n">
        <v>0</v>
      </c>
      <c r="L144" s="112" t="n">
        <v>0</v>
      </c>
      <c r="M144" s="112" t="n">
        <v>0</v>
      </c>
      <c r="N144" s="112" t="n">
        <v>0</v>
      </c>
      <c r="P144" s="112" t="n">
        <f aca="false">ABS(D144)/$P$3</f>
        <v>0</v>
      </c>
      <c r="Q144" s="112" t="n">
        <f aca="false">ABS(E144)/$P$3</f>
        <v>0</v>
      </c>
      <c r="R144" s="112" t="n">
        <f aca="false">ABS(F144)/$P$3</f>
        <v>0</v>
      </c>
      <c r="S144" s="112" t="n">
        <f aca="false">ABS(G144)/$P$3</f>
        <v>0</v>
      </c>
      <c r="T144" s="112" t="n">
        <f aca="false">ABS(H144)/$P$3</f>
        <v>0</v>
      </c>
      <c r="U144" s="112" t="n">
        <f aca="false">ABS(I144)/$P$3</f>
        <v>0</v>
      </c>
      <c r="V144" s="112" t="n">
        <f aca="false">ABS(J144)/$P$3</f>
        <v>0</v>
      </c>
      <c r="W144" s="112" t="n">
        <f aca="false">ABS(K144)/$P$3</f>
        <v>0</v>
      </c>
      <c r="X144" s="112" t="n">
        <f aca="false">ABS(L144)/$P$3</f>
        <v>0</v>
      </c>
      <c r="Y144" s="112" t="n">
        <f aca="false">ABS(M144)/$P$3</f>
        <v>0</v>
      </c>
      <c r="Z144" s="112" t="n">
        <f aca="false">ABS(N144)/$P$3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Data'!$A$2:$B$8,MATCH(WEEKDAY('RAC V@r Total'!A145,3),'Master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H145" s="112" t="n">
        <v>0</v>
      </c>
      <c r="I145" s="112" t="n">
        <v>0</v>
      </c>
      <c r="J145" s="112" t="n">
        <v>0</v>
      </c>
      <c r="K145" s="112" t="n">
        <v>0</v>
      </c>
      <c r="L145" s="112" t="n">
        <v>0</v>
      </c>
      <c r="M145" s="112" t="n">
        <v>0</v>
      </c>
      <c r="N145" s="112" t="n">
        <v>0</v>
      </c>
      <c r="P145" s="112" t="n">
        <f aca="false">ABS(D145)/$P$3</f>
        <v>0</v>
      </c>
      <c r="Q145" s="112" t="n">
        <f aca="false">ABS(E145)/$P$3</f>
        <v>0</v>
      </c>
      <c r="R145" s="112" t="n">
        <f aca="false">ABS(F145)/$P$3</f>
        <v>0</v>
      </c>
      <c r="S145" s="112" t="n">
        <f aca="false">ABS(G145)/$P$3</f>
        <v>0</v>
      </c>
      <c r="T145" s="112" t="n">
        <f aca="false">ABS(H145)/$P$3</f>
        <v>0</v>
      </c>
      <c r="U145" s="112" t="n">
        <f aca="false">ABS(I145)/$P$3</f>
        <v>0</v>
      </c>
      <c r="V145" s="112" t="n">
        <f aca="false">ABS(J145)/$P$3</f>
        <v>0</v>
      </c>
      <c r="W145" s="112" t="n">
        <f aca="false">ABS(K145)/$P$3</f>
        <v>0</v>
      </c>
      <c r="X145" s="112" t="n">
        <f aca="false">ABS(L145)/$P$3</f>
        <v>0</v>
      </c>
      <c r="Y145" s="112" t="n">
        <f aca="false">ABS(M145)/$P$3</f>
        <v>0</v>
      </c>
      <c r="Z145" s="112" t="n">
        <f aca="false">ABS(N145)/$P$3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Data'!$A$2:$B$8,MATCH(WEEKDAY('RAC V@r Total'!A146,3),'Master Data'!$A$2:$A$8,0),2)</f>
        <v>M</v>
      </c>
      <c r="D146" s="112" t="n">
        <v>-407750</v>
      </c>
      <c r="E146" s="112" t="n">
        <v>0</v>
      </c>
      <c r="F146" s="112" t="n">
        <v>0</v>
      </c>
      <c r="G146" s="112" t="n">
        <v>-412575</v>
      </c>
      <c r="H146" s="112" t="n">
        <v>-53758</v>
      </c>
      <c r="I146" s="112" t="n">
        <v>-407750</v>
      </c>
      <c r="J146" s="112" t="n">
        <v>-410487</v>
      </c>
      <c r="K146" s="112" t="n">
        <v>-831346</v>
      </c>
      <c r="L146" s="112" t="n">
        <v>0</v>
      </c>
      <c r="M146" s="112" t="n">
        <v>-25154</v>
      </c>
      <c r="N146" s="112" t="n">
        <v>-835530</v>
      </c>
      <c r="P146" s="112" t="n">
        <f aca="false">ABS(D146)/$P$3</f>
        <v>407.75</v>
      </c>
      <c r="Q146" s="112" t="n">
        <f aca="false">ABS(E146)/$P$3</f>
        <v>0</v>
      </c>
      <c r="R146" s="112" t="n">
        <f aca="false">ABS(F146)/$P$3</f>
        <v>0</v>
      </c>
      <c r="S146" s="112" t="n">
        <f aca="false">ABS(G146)/$P$3</f>
        <v>412.575</v>
      </c>
      <c r="T146" s="112" t="n">
        <f aca="false">ABS(H146)/$P$3</f>
        <v>53.758</v>
      </c>
      <c r="U146" s="112" t="n">
        <f aca="false">ABS(I146)/$P$3</f>
        <v>407.75</v>
      </c>
      <c r="V146" s="112" t="n">
        <f aca="false">ABS(J146)/$P$3</f>
        <v>410.487</v>
      </c>
      <c r="W146" s="112" t="n">
        <f aca="false">ABS(K146)/$P$3</f>
        <v>831.346</v>
      </c>
      <c r="X146" s="112" t="n">
        <f aca="false">ABS(L146)/$P$3</f>
        <v>0</v>
      </c>
      <c r="Y146" s="112" t="n">
        <f aca="false">ABS(M146)/$P$3</f>
        <v>25.154</v>
      </c>
      <c r="Z146" s="112" t="n">
        <f aca="false">ABS(N146)/$P$3</f>
        <v>835.53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Data'!$A$2:$B$8,MATCH(WEEKDAY('RAC V@r Total'!A147,3),'Master Data'!$A$2:$A$8,0),2)</f>
        <v>T</v>
      </c>
      <c r="D147" s="112" t="n">
        <v>-655889</v>
      </c>
      <c r="E147" s="112" t="n">
        <v>0</v>
      </c>
      <c r="F147" s="112" t="n">
        <v>0</v>
      </c>
      <c r="G147" s="112" t="n">
        <v>-413459</v>
      </c>
      <c r="H147" s="112" t="n">
        <v>-53778</v>
      </c>
      <c r="I147" s="112" t="n">
        <v>-655889</v>
      </c>
      <c r="J147" s="112" t="n">
        <v>-410786</v>
      </c>
      <c r="K147" s="112" t="n">
        <v>-1074625</v>
      </c>
      <c r="L147" s="112" t="n">
        <v>0</v>
      </c>
      <c r="M147" s="112" t="n">
        <v>-25176</v>
      </c>
      <c r="N147" s="112" t="n">
        <v>-1037029</v>
      </c>
      <c r="P147" s="112" t="n">
        <f aca="false">ABS(D147)/$P$3</f>
        <v>655.889</v>
      </c>
      <c r="Q147" s="112" t="n">
        <f aca="false">ABS(E147)/$P$3</f>
        <v>0</v>
      </c>
      <c r="R147" s="112" t="n">
        <f aca="false">ABS(F147)/$P$3</f>
        <v>0</v>
      </c>
      <c r="S147" s="112" t="n">
        <f aca="false">ABS(G147)/$P$3</f>
        <v>413.459</v>
      </c>
      <c r="T147" s="112" t="n">
        <f aca="false">ABS(H147)/$P$3</f>
        <v>53.778</v>
      </c>
      <c r="U147" s="112" t="n">
        <f aca="false">ABS(I147)/$P$3</f>
        <v>655.889</v>
      </c>
      <c r="V147" s="112" t="n">
        <f aca="false">ABS(J147)/$P$3</f>
        <v>410.786</v>
      </c>
      <c r="W147" s="112" t="n">
        <f aca="false">ABS(K147)/$P$3</f>
        <v>1074.625</v>
      </c>
      <c r="X147" s="112" t="n">
        <f aca="false">ABS(L147)/$P$3</f>
        <v>0</v>
      </c>
      <c r="Y147" s="112" t="n">
        <f aca="false">ABS(M147)/$P$3</f>
        <v>25.176</v>
      </c>
      <c r="Z147" s="112" t="n">
        <f aca="false">ABS(N147)/$P$3</f>
        <v>1037.029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Data'!$A$2:$B$8,MATCH(WEEKDAY('RAC V@r Total'!A148,3),'Master Data'!$A$2:$A$8,0),2)</f>
        <v>W</v>
      </c>
      <c r="D148" s="112" t="n">
        <v>-682171</v>
      </c>
      <c r="E148" s="112" t="n">
        <v>0</v>
      </c>
      <c r="F148" s="112" t="n">
        <v>0</v>
      </c>
      <c r="G148" s="112" t="n">
        <v>-413232</v>
      </c>
      <c r="H148" s="112" t="n">
        <v>-53795</v>
      </c>
      <c r="I148" s="112" t="n">
        <v>-682171</v>
      </c>
      <c r="J148" s="112" t="n">
        <v>-410889</v>
      </c>
      <c r="K148" s="112" t="n">
        <v>-1098934</v>
      </c>
      <c r="L148" s="112" t="n">
        <v>0</v>
      </c>
      <c r="M148" s="112" t="n">
        <v>-25192</v>
      </c>
      <c r="N148" s="112" t="n">
        <v>-1063019</v>
      </c>
      <c r="P148" s="112" t="n">
        <f aca="false">ABS(D148)/$P$3</f>
        <v>682.171</v>
      </c>
      <c r="Q148" s="112" t="n">
        <f aca="false">ABS(E148)/$P$3</f>
        <v>0</v>
      </c>
      <c r="R148" s="112" t="n">
        <f aca="false">ABS(F148)/$P$3</f>
        <v>0</v>
      </c>
      <c r="S148" s="112" t="n">
        <f aca="false">ABS(G148)/$P$3</f>
        <v>413.232</v>
      </c>
      <c r="T148" s="112" t="n">
        <f aca="false">ABS(H148)/$P$3</f>
        <v>53.795</v>
      </c>
      <c r="U148" s="112" t="n">
        <f aca="false">ABS(I148)/$P$3</f>
        <v>682.171</v>
      </c>
      <c r="V148" s="112" t="n">
        <f aca="false">ABS(J148)/$P$3</f>
        <v>410.889</v>
      </c>
      <c r="W148" s="112" t="n">
        <f aca="false">ABS(K148)/$P$3</f>
        <v>1098.934</v>
      </c>
      <c r="X148" s="112" t="n">
        <f aca="false">ABS(L148)/$P$3</f>
        <v>0</v>
      </c>
      <c r="Y148" s="112" t="n">
        <f aca="false">ABS(M148)/$P$3</f>
        <v>25.192</v>
      </c>
      <c r="Z148" s="112" t="n">
        <f aca="false">ABS(N148)/$P$3</f>
        <v>1063.019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Data'!$A$2:$B$8,MATCH(WEEKDAY('RAC V@r Total'!A149,3),'Master Data'!$A$2:$A$8,0),2)</f>
        <v>Th</v>
      </c>
      <c r="D149" s="112" t="n">
        <v>-682598</v>
      </c>
      <c r="E149" s="112" t="n">
        <v>0</v>
      </c>
      <c r="F149" s="112" t="n">
        <v>0</v>
      </c>
      <c r="G149" s="112" t="n">
        <v>-413032</v>
      </c>
      <c r="H149" s="112" t="n">
        <v>-53648</v>
      </c>
      <c r="I149" s="112" t="n">
        <v>-682598</v>
      </c>
      <c r="J149" s="112" t="n">
        <v>-410854</v>
      </c>
      <c r="K149" s="112" t="n">
        <v>-1099153</v>
      </c>
      <c r="L149" s="112" t="n">
        <v>0</v>
      </c>
      <c r="M149" s="112" t="n">
        <v>-24997</v>
      </c>
      <c r="N149" s="112" t="n">
        <v>-1063421</v>
      </c>
      <c r="P149" s="112" t="n">
        <f aca="false">ABS(D149)/$P$3</f>
        <v>682.598</v>
      </c>
      <c r="Q149" s="112" t="n">
        <f aca="false">ABS(E149)/$P$3</f>
        <v>0</v>
      </c>
      <c r="R149" s="112" t="n">
        <f aca="false">ABS(F149)/$P$3</f>
        <v>0</v>
      </c>
      <c r="S149" s="112" t="n">
        <f aca="false">ABS(G149)/$P$3</f>
        <v>413.032</v>
      </c>
      <c r="T149" s="112" t="n">
        <f aca="false">ABS(H149)/$P$3</f>
        <v>53.648</v>
      </c>
      <c r="U149" s="112" t="n">
        <f aca="false">ABS(I149)/$P$3</f>
        <v>682.598</v>
      </c>
      <c r="V149" s="112" t="n">
        <f aca="false">ABS(J149)/$P$3</f>
        <v>410.854</v>
      </c>
      <c r="W149" s="112" t="n">
        <f aca="false">ABS(K149)/$P$3</f>
        <v>1099.153</v>
      </c>
      <c r="X149" s="112" t="n">
        <f aca="false">ABS(L149)/$P$3</f>
        <v>0</v>
      </c>
      <c r="Y149" s="112" t="n">
        <f aca="false">ABS(M149)/$P$3</f>
        <v>24.997</v>
      </c>
      <c r="Z149" s="112" t="n">
        <f aca="false">ABS(N149)/$P$3</f>
        <v>1063.421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Data'!$A$2:$B$8,MATCH(WEEKDAY('RAC V@r Total'!A150,3),'Master Data'!$A$2:$A$8,0),2)</f>
        <v>F</v>
      </c>
      <c r="D150" s="112" t="n">
        <v>-683025</v>
      </c>
      <c r="E150" s="112" t="n">
        <v>0</v>
      </c>
      <c r="F150" s="112" t="n">
        <v>0</v>
      </c>
      <c r="G150" s="112" t="n">
        <v>-413961</v>
      </c>
      <c r="H150" s="112" t="n">
        <v>-53660</v>
      </c>
      <c r="I150" s="112" t="n">
        <v>-683025</v>
      </c>
      <c r="J150" s="112" t="n">
        <v>-411007</v>
      </c>
      <c r="K150" s="112" t="n">
        <v>-1100425</v>
      </c>
      <c r="L150" s="112" t="n">
        <v>0</v>
      </c>
      <c r="M150" s="112" t="n">
        <v>-25005</v>
      </c>
      <c r="N150" s="112" t="n">
        <v>-1064231</v>
      </c>
      <c r="P150" s="112" t="n">
        <f aca="false">ABS(D150)/$P$3</f>
        <v>683.025</v>
      </c>
      <c r="Q150" s="112" t="n">
        <f aca="false">ABS(E150)/$P$3</f>
        <v>0</v>
      </c>
      <c r="R150" s="112" t="n">
        <f aca="false">ABS(F150)/$P$3</f>
        <v>0</v>
      </c>
      <c r="S150" s="112" t="n">
        <f aca="false">ABS(G150)/$P$3</f>
        <v>413.961</v>
      </c>
      <c r="T150" s="112" t="n">
        <f aca="false">ABS(H150)/$P$3</f>
        <v>53.66</v>
      </c>
      <c r="U150" s="112" t="n">
        <f aca="false">ABS(I150)/$P$3</f>
        <v>683.025</v>
      </c>
      <c r="V150" s="112" t="n">
        <f aca="false">ABS(J150)/$P$3</f>
        <v>411.007</v>
      </c>
      <c r="W150" s="112" t="n">
        <f aca="false">ABS(K150)/$P$3</f>
        <v>1100.425</v>
      </c>
      <c r="X150" s="112" t="n">
        <f aca="false">ABS(L150)/$P$3</f>
        <v>0</v>
      </c>
      <c r="Y150" s="112" t="n">
        <f aca="false">ABS(M150)/$P$3</f>
        <v>25.005</v>
      </c>
      <c r="Z150" s="112" t="n">
        <f aca="false">ABS(N150)/$P$3</f>
        <v>1064.231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Data'!$A$2:$B$8,MATCH(WEEKDAY('RAC V@r Total'!A151,3),'Master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H151" s="112" t="n">
        <v>0</v>
      </c>
      <c r="I151" s="112" t="n">
        <v>0</v>
      </c>
      <c r="J151" s="112" t="n">
        <v>0</v>
      </c>
      <c r="K151" s="112" t="n">
        <v>0</v>
      </c>
      <c r="L151" s="112" t="n">
        <v>0</v>
      </c>
      <c r="M151" s="112" t="n">
        <v>0</v>
      </c>
      <c r="N151" s="112" t="n">
        <v>0</v>
      </c>
      <c r="P151" s="112" t="n">
        <f aca="false">ABS(D151)/$P$3</f>
        <v>0</v>
      </c>
      <c r="Q151" s="112" t="n">
        <f aca="false">ABS(E151)/$P$3</f>
        <v>0</v>
      </c>
      <c r="R151" s="112" t="n">
        <f aca="false">ABS(F151)/$P$3</f>
        <v>0</v>
      </c>
      <c r="S151" s="112" t="n">
        <f aca="false">ABS(G151)/$P$3</f>
        <v>0</v>
      </c>
      <c r="T151" s="112" t="n">
        <f aca="false">ABS(H151)/$P$3</f>
        <v>0</v>
      </c>
      <c r="U151" s="112" t="n">
        <f aca="false">ABS(I151)/$P$3</f>
        <v>0</v>
      </c>
      <c r="V151" s="112" t="n">
        <f aca="false">ABS(J151)/$P$3</f>
        <v>0</v>
      </c>
      <c r="W151" s="112" t="n">
        <f aca="false">ABS(K151)/$P$3</f>
        <v>0</v>
      </c>
      <c r="X151" s="112" t="n">
        <f aca="false">ABS(L151)/$P$3</f>
        <v>0</v>
      </c>
      <c r="Y151" s="112" t="n">
        <f aca="false">ABS(M151)/$P$3</f>
        <v>0</v>
      </c>
      <c r="Z151" s="112" t="n">
        <f aca="false">ABS(N151)/$P$3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Data'!$A$2:$B$8,MATCH(WEEKDAY('RAC V@r Total'!A152,3),'Master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H152" s="112" t="n">
        <v>0</v>
      </c>
      <c r="I152" s="112" t="n">
        <v>0</v>
      </c>
      <c r="J152" s="112" t="n">
        <v>0</v>
      </c>
      <c r="K152" s="112" t="n">
        <v>0</v>
      </c>
      <c r="L152" s="112" t="n">
        <v>0</v>
      </c>
      <c r="M152" s="112" t="n">
        <v>0</v>
      </c>
      <c r="N152" s="112" t="n">
        <v>0</v>
      </c>
      <c r="P152" s="112" t="n">
        <f aca="false">ABS(D152)/$P$3</f>
        <v>0</v>
      </c>
      <c r="Q152" s="112" t="n">
        <f aca="false">ABS(E152)/$P$3</f>
        <v>0</v>
      </c>
      <c r="R152" s="112" t="n">
        <f aca="false">ABS(F152)/$P$3</f>
        <v>0</v>
      </c>
      <c r="S152" s="112" t="n">
        <f aca="false">ABS(G152)/$P$3</f>
        <v>0</v>
      </c>
      <c r="T152" s="112" t="n">
        <f aca="false">ABS(H152)/$P$3</f>
        <v>0</v>
      </c>
      <c r="U152" s="112" t="n">
        <f aca="false">ABS(I152)/$P$3</f>
        <v>0</v>
      </c>
      <c r="V152" s="112" t="n">
        <f aca="false">ABS(J152)/$P$3</f>
        <v>0</v>
      </c>
      <c r="W152" s="112" t="n">
        <f aca="false">ABS(K152)/$P$3</f>
        <v>0</v>
      </c>
      <c r="X152" s="112" t="n">
        <f aca="false">ABS(L152)/$P$3</f>
        <v>0</v>
      </c>
      <c r="Y152" s="112" t="n">
        <f aca="false">ABS(M152)/$P$3</f>
        <v>0</v>
      </c>
      <c r="Z152" s="112" t="n">
        <f aca="false">ABS(N152)/$P$3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Data'!$A$2:$B$8,MATCH(WEEKDAY('RAC V@r Total'!A153,3),'Master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H153" s="112" t="n">
        <v>0</v>
      </c>
      <c r="I153" s="112" t="n">
        <v>0</v>
      </c>
      <c r="J153" s="112" t="n">
        <v>0</v>
      </c>
      <c r="K153" s="112" t="n">
        <v>0</v>
      </c>
      <c r="L153" s="112" t="n">
        <v>0</v>
      </c>
      <c r="M153" s="112" t="n">
        <v>0</v>
      </c>
      <c r="N153" s="112" t="n">
        <v>0</v>
      </c>
      <c r="P153" s="112" t="n">
        <f aca="false">ABS(D153)/$P$3</f>
        <v>0</v>
      </c>
      <c r="Q153" s="112" t="n">
        <f aca="false">ABS(E153)/$P$3</f>
        <v>0</v>
      </c>
      <c r="R153" s="112" t="n">
        <f aca="false">ABS(F153)/$P$3</f>
        <v>0</v>
      </c>
      <c r="S153" s="112" t="n">
        <f aca="false">ABS(G153)/$P$3</f>
        <v>0</v>
      </c>
      <c r="T153" s="112" t="n">
        <f aca="false">ABS(H153)/$P$3</f>
        <v>0</v>
      </c>
      <c r="U153" s="112" t="n">
        <f aca="false">ABS(I153)/$P$3</f>
        <v>0</v>
      </c>
      <c r="V153" s="112" t="n">
        <f aca="false">ABS(J153)/$P$3</f>
        <v>0</v>
      </c>
      <c r="W153" s="112" t="n">
        <f aca="false">ABS(K153)/$P$3</f>
        <v>0</v>
      </c>
      <c r="X153" s="112" t="n">
        <f aca="false">ABS(L153)/$P$3</f>
        <v>0</v>
      </c>
      <c r="Y153" s="112" t="n">
        <f aca="false">ABS(M153)/$P$3</f>
        <v>0</v>
      </c>
      <c r="Z153" s="112" t="n">
        <f aca="false">ABS(N153)/$P$3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Data'!$A$2:$B$8,MATCH(WEEKDAY('RAC V@r Total'!A154,3),'Master Data'!$A$2:$A$8,0),2)</f>
        <v>T</v>
      </c>
      <c r="D154" s="112" t="n">
        <v>-684728</v>
      </c>
      <c r="E154" s="112" t="n">
        <v>0</v>
      </c>
      <c r="F154" s="112" t="n">
        <v>0</v>
      </c>
      <c r="G154" s="112" t="n">
        <v>-454905</v>
      </c>
      <c r="H154" s="112" t="n">
        <v>-53616</v>
      </c>
      <c r="I154" s="112" t="n">
        <v>-684728</v>
      </c>
      <c r="J154" s="112" t="n">
        <v>-451564</v>
      </c>
      <c r="K154" s="112" t="n">
        <v>-1145220</v>
      </c>
      <c r="L154" s="112" t="n">
        <v>0</v>
      </c>
      <c r="M154" s="112" t="n">
        <v>-24935</v>
      </c>
      <c r="N154" s="112" t="n">
        <v>-1102460</v>
      </c>
      <c r="P154" s="112" t="n">
        <f aca="false">ABS(D154)/$P$3</f>
        <v>684.728</v>
      </c>
      <c r="Q154" s="112" t="n">
        <f aca="false">ABS(E154)/$P$3</f>
        <v>0</v>
      </c>
      <c r="R154" s="112" t="n">
        <f aca="false">ABS(F154)/$P$3</f>
        <v>0</v>
      </c>
      <c r="S154" s="112" t="n">
        <f aca="false">ABS(G154)/$P$3</f>
        <v>454.905</v>
      </c>
      <c r="T154" s="112" t="n">
        <f aca="false">ABS(H154)/$P$3</f>
        <v>53.616</v>
      </c>
      <c r="U154" s="112" t="n">
        <f aca="false">ABS(I154)/$P$3</f>
        <v>684.728</v>
      </c>
      <c r="V154" s="112" t="n">
        <f aca="false">ABS(J154)/$P$3</f>
        <v>451.564</v>
      </c>
      <c r="W154" s="112" t="n">
        <f aca="false">ABS(K154)/$P$3</f>
        <v>1145.22</v>
      </c>
      <c r="X154" s="112" t="n">
        <f aca="false">ABS(L154)/$P$3</f>
        <v>0</v>
      </c>
      <c r="Y154" s="112" t="n">
        <f aca="false">ABS(M154)/$P$3</f>
        <v>24.935</v>
      </c>
      <c r="Z154" s="112" t="n">
        <f aca="false">ABS(N154)/$P$3</f>
        <v>1102.46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Data'!$A$2:$B$8,MATCH(WEEKDAY('RAC V@r Total'!A155,3),'Master Data'!$A$2:$A$8,0),2)</f>
        <v>W</v>
      </c>
      <c r="D155" s="112" t="n">
        <v>-685152</v>
      </c>
      <c r="E155" s="112" t="n">
        <v>0</v>
      </c>
      <c r="F155" s="112" t="n">
        <v>0</v>
      </c>
      <c r="G155" s="112" t="n">
        <v>-453446</v>
      </c>
      <c r="H155" s="112" t="n">
        <v>-53660</v>
      </c>
      <c r="I155" s="112" t="n">
        <v>-685152</v>
      </c>
      <c r="J155" s="112" t="n">
        <v>-449395</v>
      </c>
      <c r="K155" s="112" t="n">
        <v>-1143123</v>
      </c>
      <c r="L155" s="112" t="n">
        <v>0</v>
      </c>
      <c r="M155" s="112" t="n">
        <v>-24990</v>
      </c>
      <c r="N155" s="112" t="n">
        <v>-1100645</v>
      </c>
      <c r="P155" s="112" t="n">
        <f aca="false">ABS(D155)/$P$3</f>
        <v>685.152</v>
      </c>
      <c r="Q155" s="112" t="n">
        <f aca="false">ABS(E155)/$P$3</f>
        <v>0</v>
      </c>
      <c r="R155" s="112" t="n">
        <f aca="false">ABS(F155)/$P$3</f>
        <v>0</v>
      </c>
      <c r="S155" s="112" t="n">
        <f aca="false">ABS(G155)/$P$3</f>
        <v>453.446</v>
      </c>
      <c r="T155" s="112" t="n">
        <f aca="false">ABS(H155)/$P$3</f>
        <v>53.66</v>
      </c>
      <c r="U155" s="112" t="n">
        <f aca="false">ABS(I155)/$P$3</f>
        <v>685.152</v>
      </c>
      <c r="V155" s="112" t="n">
        <f aca="false">ABS(J155)/$P$3</f>
        <v>449.395</v>
      </c>
      <c r="W155" s="112" t="n">
        <f aca="false">ABS(K155)/$P$3</f>
        <v>1143.123</v>
      </c>
      <c r="X155" s="112" t="n">
        <f aca="false">ABS(L155)/$P$3</f>
        <v>0</v>
      </c>
      <c r="Y155" s="112" t="n">
        <f aca="false">ABS(M155)/$P$3</f>
        <v>24.99</v>
      </c>
      <c r="Z155" s="112" t="n">
        <f aca="false">ABS(N155)/$P$3</f>
        <v>1100.645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Data'!$A$2:$B$8,MATCH(WEEKDAY('RAC V@r Total'!A156,3),'Master Data'!$A$2:$A$8,0),2)</f>
        <v>Th</v>
      </c>
      <c r="D156" s="112" t="n">
        <v>-669399</v>
      </c>
      <c r="E156" s="112" t="n">
        <v>0</v>
      </c>
      <c r="F156" s="112" t="n">
        <v>0</v>
      </c>
      <c r="G156" s="112" t="n">
        <v>-453446</v>
      </c>
      <c r="H156" s="112" t="n">
        <v>-48251</v>
      </c>
      <c r="I156" s="112" t="n">
        <v>-669399</v>
      </c>
      <c r="J156" s="112" t="n">
        <v>-449395</v>
      </c>
      <c r="K156" s="112" t="n">
        <v>-1143123</v>
      </c>
      <c r="L156" s="112" t="n">
        <v>0</v>
      </c>
      <c r="M156" s="112" t="n">
        <v>-24312</v>
      </c>
      <c r="N156" s="112" t="n">
        <v>-1100645</v>
      </c>
      <c r="P156" s="112" t="n">
        <f aca="false">ABS(D156)/$P$3</f>
        <v>669.399</v>
      </c>
      <c r="Q156" s="112" t="n">
        <f aca="false">ABS(E156)/$P$3</f>
        <v>0</v>
      </c>
      <c r="R156" s="112" t="n">
        <f aca="false">ABS(F156)/$P$3</f>
        <v>0</v>
      </c>
      <c r="S156" s="112" t="n">
        <f aca="false">ABS(G156)/$P$3</f>
        <v>453.446</v>
      </c>
      <c r="T156" s="112" t="n">
        <f aca="false">ABS(H156)/$P$3</f>
        <v>48.251</v>
      </c>
      <c r="U156" s="112" t="n">
        <f aca="false">ABS(I156)/$P$3</f>
        <v>669.399</v>
      </c>
      <c r="V156" s="112" t="n">
        <f aca="false">ABS(J156)/$P$3</f>
        <v>449.395</v>
      </c>
      <c r="W156" s="112" t="n">
        <f aca="false">ABS(K156)/$P$3</f>
        <v>1143.123</v>
      </c>
      <c r="X156" s="112" t="n">
        <f aca="false">ABS(L156)/$P$3</f>
        <v>0</v>
      </c>
      <c r="Y156" s="112" t="n">
        <f aca="false">ABS(M156)/$P$3</f>
        <v>24.312</v>
      </c>
      <c r="Z156" s="112" t="n">
        <f aca="false">ABS(N156)/$P$3</f>
        <v>1100.645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Data'!$A$2:$B$8,MATCH(WEEKDAY('RAC V@r Total'!A157,3),'Master Data'!$A$2:$A$8,0),2)</f>
        <v>F</v>
      </c>
      <c r="D157" s="112" t="n">
        <v>-661227</v>
      </c>
      <c r="E157" s="112" t="n">
        <v>0</v>
      </c>
      <c r="F157" s="112" t="n">
        <v>0</v>
      </c>
      <c r="G157" s="112" t="n">
        <v>-455892</v>
      </c>
      <c r="H157" s="112" t="n">
        <v>-47446</v>
      </c>
      <c r="I157" s="112" t="n">
        <v>-661227</v>
      </c>
      <c r="J157" s="112" t="n">
        <v>-452836</v>
      </c>
      <c r="K157" s="112" t="n">
        <v>-1099364</v>
      </c>
      <c r="L157" s="112" t="n">
        <v>0</v>
      </c>
      <c r="M157" s="112" t="n">
        <v>-24692</v>
      </c>
      <c r="N157" s="112" t="n">
        <v>-1102859</v>
      </c>
      <c r="P157" s="112" t="n">
        <f aca="false">ABS(D157)/$P$3</f>
        <v>661.227</v>
      </c>
      <c r="Q157" s="112" t="n">
        <f aca="false">ABS(E157)/$P$3</f>
        <v>0</v>
      </c>
      <c r="R157" s="112" t="n">
        <f aca="false">ABS(F157)/$P$3</f>
        <v>0</v>
      </c>
      <c r="S157" s="112" t="n">
        <f aca="false">ABS(G157)/$P$3</f>
        <v>455.892</v>
      </c>
      <c r="T157" s="112" t="n">
        <f aca="false">ABS(H157)/$P$3</f>
        <v>47.446</v>
      </c>
      <c r="U157" s="112" t="n">
        <f aca="false">ABS(I157)/$P$3</f>
        <v>661.227</v>
      </c>
      <c r="V157" s="112" t="n">
        <f aca="false">ABS(J157)/$P$3</f>
        <v>452.836</v>
      </c>
      <c r="W157" s="112" t="n">
        <f aca="false">ABS(K157)/$P$3</f>
        <v>1099.364</v>
      </c>
      <c r="X157" s="112" t="n">
        <f aca="false">ABS(L157)/$P$3</f>
        <v>0</v>
      </c>
      <c r="Y157" s="112" t="n">
        <f aca="false">ABS(M157)/$P$3</f>
        <v>24.692</v>
      </c>
      <c r="Z157" s="112" t="n">
        <f aca="false">ABS(N157)/$P$3</f>
        <v>1102.859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Data'!$A$2:$B$8,MATCH(WEEKDAY('RAC V@r Total'!A158,3),'Master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H158" s="112" t="n">
        <v>0</v>
      </c>
      <c r="I158" s="112" t="n">
        <v>0</v>
      </c>
      <c r="J158" s="112" t="n">
        <v>0</v>
      </c>
      <c r="K158" s="112" t="n">
        <v>0</v>
      </c>
      <c r="L158" s="112" t="n">
        <v>0</v>
      </c>
      <c r="M158" s="112" t="n">
        <v>0</v>
      </c>
      <c r="N158" s="112" t="n">
        <v>0</v>
      </c>
      <c r="P158" s="112" t="n">
        <f aca="false">ABS(D158)/$P$3</f>
        <v>0</v>
      </c>
      <c r="Q158" s="112" t="n">
        <f aca="false">ABS(E158)/$P$3</f>
        <v>0</v>
      </c>
      <c r="R158" s="112" t="n">
        <f aca="false">ABS(F158)/$P$3</f>
        <v>0</v>
      </c>
      <c r="S158" s="112" t="n">
        <f aca="false">ABS(G158)/$P$3</f>
        <v>0</v>
      </c>
      <c r="T158" s="112" t="n">
        <f aca="false">ABS(H158)/$P$3</f>
        <v>0</v>
      </c>
      <c r="U158" s="112" t="n">
        <f aca="false">ABS(I158)/$P$3</f>
        <v>0</v>
      </c>
      <c r="V158" s="112" t="n">
        <f aca="false">ABS(J158)/$P$3</f>
        <v>0</v>
      </c>
      <c r="W158" s="112" t="n">
        <f aca="false">ABS(K158)/$P$3</f>
        <v>0</v>
      </c>
      <c r="X158" s="112" t="n">
        <f aca="false">ABS(L158)/$P$3</f>
        <v>0</v>
      </c>
      <c r="Y158" s="112" t="n">
        <f aca="false">ABS(M158)/$P$3</f>
        <v>0</v>
      </c>
      <c r="Z158" s="112" t="n">
        <f aca="false">ABS(N158)/$P$3</f>
        <v>0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Data'!$A$2:$B$8,MATCH(WEEKDAY('RAC V@r Total'!A159,3),'Master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H159" s="112" t="n">
        <v>0</v>
      </c>
      <c r="I159" s="112" t="n">
        <v>0</v>
      </c>
      <c r="J159" s="112" t="n">
        <v>0</v>
      </c>
      <c r="K159" s="112" t="n">
        <v>0</v>
      </c>
      <c r="L159" s="112" t="n">
        <v>0</v>
      </c>
      <c r="M159" s="112" t="n">
        <v>0</v>
      </c>
      <c r="N159" s="112" t="n">
        <v>0</v>
      </c>
      <c r="P159" s="112" t="n">
        <f aca="false">ABS(D159)/$P$3</f>
        <v>0</v>
      </c>
      <c r="Q159" s="112" t="n">
        <f aca="false">ABS(E159)/$P$3</f>
        <v>0</v>
      </c>
      <c r="R159" s="112" t="n">
        <f aca="false">ABS(F159)/$P$3</f>
        <v>0</v>
      </c>
      <c r="S159" s="112" t="n">
        <f aca="false">ABS(G159)/$P$3</f>
        <v>0</v>
      </c>
      <c r="T159" s="112" t="n">
        <f aca="false">ABS(H159)/$P$3</f>
        <v>0</v>
      </c>
      <c r="U159" s="112" t="n">
        <f aca="false">ABS(I159)/$P$3</f>
        <v>0</v>
      </c>
      <c r="V159" s="112" t="n">
        <f aca="false">ABS(J159)/$P$3</f>
        <v>0</v>
      </c>
      <c r="W159" s="112" t="n">
        <f aca="false">ABS(K159)/$P$3</f>
        <v>0</v>
      </c>
      <c r="X159" s="112" t="n">
        <f aca="false">ABS(L159)/$P$3</f>
        <v>0</v>
      </c>
      <c r="Y159" s="112" t="n">
        <f aca="false">ABS(M159)/$P$3</f>
        <v>0</v>
      </c>
      <c r="Z159" s="112" t="n">
        <f aca="false">ABS(N159)/$P$3</f>
        <v>0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Data'!$A$2:$B$8,MATCH(WEEKDAY('RAC V@r Total'!A160,3),'Master Data'!$A$2:$A$8,0),2)</f>
        <v>M</v>
      </c>
      <c r="D160" s="112" t="n">
        <v>-729260</v>
      </c>
      <c r="E160" s="112" t="n">
        <v>0</v>
      </c>
      <c r="F160" s="112" t="n">
        <v>0</v>
      </c>
      <c r="G160" s="112" t="n">
        <v>-454751</v>
      </c>
      <c r="H160" s="112" t="n">
        <v>-47601</v>
      </c>
      <c r="I160" s="112" t="n">
        <v>-729260</v>
      </c>
      <c r="J160" s="112" t="n">
        <v>-451051</v>
      </c>
      <c r="K160" s="112" t="n">
        <v>-1169918</v>
      </c>
      <c r="L160" s="112" t="n">
        <v>0</v>
      </c>
      <c r="M160" s="112" t="n">
        <v>-24816</v>
      </c>
      <c r="N160" s="112" t="n">
        <v>-1171229</v>
      </c>
      <c r="P160" s="112" t="n">
        <f aca="false">ABS(D160)/$P$3</f>
        <v>729.26</v>
      </c>
      <c r="Q160" s="112" t="n">
        <f aca="false">ABS(E160)/$P$3</f>
        <v>0</v>
      </c>
      <c r="R160" s="112" t="n">
        <f aca="false">ABS(F160)/$P$3</f>
        <v>0</v>
      </c>
      <c r="S160" s="112" t="n">
        <f aca="false">ABS(G160)/$P$3</f>
        <v>454.751</v>
      </c>
      <c r="T160" s="112" t="n">
        <f aca="false">ABS(H160)/$P$3</f>
        <v>47.601</v>
      </c>
      <c r="U160" s="112" t="n">
        <f aca="false">ABS(I160)/$P$3</f>
        <v>729.26</v>
      </c>
      <c r="V160" s="112" t="n">
        <f aca="false">ABS(J160)/$P$3</f>
        <v>451.051</v>
      </c>
      <c r="W160" s="112" t="n">
        <f aca="false">ABS(K160)/$P$3</f>
        <v>1169.918</v>
      </c>
      <c r="X160" s="112" t="n">
        <f aca="false">ABS(L160)/$P$3</f>
        <v>0</v>
      </c>
      <c r="Y160" s="112" t="n">
        <f aca="false">ABS(M160)/$P$3</f>
        <v>24.816</v>
      </c>
      <c r="Z160" s="112" t="n">
        <f aca="false">ABS(N160)/$P$3</f>
        <v>1171.229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Data'!$A$2:$B$8,MATCH(WEEKDAY('RAC V@r Total'!A161,3),'Master Data'!$A$2:$A$8,0),2)</f>
        <v>T</v>
      </c>
      <c r="D161" s="112" t="n">
        <v>-831386</v>
      </c>
      <c r="E161" s="112" t="n">
        <v>0</v>
      </c>
      <c r="F161" s="112" t="n">
        <v>0</v>
      </c>
      <c r="G161" s="112" t="n">
        <v>-453713</v>
      </c>
      <c r="H161" s="112" t="n">
        <v>-47791</v>
      </c>
      <c r="I161" s="112" t="n">
        <v>-831386</v>
      </c>
      <c r="J161" s="112" t="n">
        <v>-449586</v>
      </c>
      <c r="K161" s="112" t="n">
        <v>-1246742</v>
      </c>
      <c r="L161" s="112" t="n">
        <v>0</v>
      </c>
      <c r="M161" s="112" t="n">
        <v>-24972</v>
      </c>
      <c r="N161" s="112" t="n">
        <v>-1258661</v>
      </c>
      <c r="P161" s="112" t="n">
        <f aca="false">ABS(D161)/$P$3</f>
        <v>831.386</v>
      </c>
      <c r="Q161" s="112" t="n">
        <f aca="false">ABS(E161)/$P$3</f>
        <v>0</v>
      </c>
      <c r="R161" s="112" t="n">
        <f aca="false">ABS(F161)/$P$3</f>
        <v>0</v>
      </c>
      <c r="S161" s="112" t="n">
        <f aca="false">ABS(G161)/$P$3</f>
        <v>453.713</v>
      </c>
      <c r="T161" s="112" t="n">
        <f aca="false">ABS(H161)/$P$3</f>
        <v>47.791</v>
      </c>
      <c r="U161" s="112" t="n">
        <f aca="false">ABS(I161)/$P$3</f>
        <v>831.386</v>
      </c>
      <c r="V161" s="112" t="n">
        <f aca="false">ABS(J161)/$P$3</f>
        <v>449.586</v>
      </c>
      <c r="W161" s="112" t="n">
        <f aca="false">ABS(K161)/$P$3</f>
        <v>1246.742</v>
      </c>
      <c r="X161" s="112" t="n">
        <f aca="false">ABS(L161)/$P$3</f>
        <v>0</v>
      </c>
      <c r="Y161" s="112" t="n">
        <f aca="false">ABS(M161)/$P$3</f>
        <v>24.972</v>
      </c>
      <c r="Z161" s="112" t="n">
        <f aca="false">ABS(N161)/$P$3</f>
        <v>1258.661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Data'!$A$2:$B$8,MATCH(WEEKDAY('RAC V@r Total'!A162,3),'Master Data'!$A$2:$A$8,0),2)</f>
        <v>W</v>
      </c>
      <c r="D162" s="112" t="n">
        <v>-831824</v>
      </c>
      <c r="E162" s="112" t="n">
        <v>0</v>
      </c>
      <c r="F162" s="112" t="n">
        <v>0</v>
      </c>
      <c r="G162" s="112" t="n">
        <v>-453980</v>
      </c>
      <c r="H162" s="112" t="n">
        <v>-47824</v>
      </c>
      <c r="I162" s="112" t="n">
        <v>-831824</v>
      </c>
      <c r="J162" s="112" t="n">
        <v>-449773</v>
      </c>
      <c r="K162" s="112" t="n">
        <v>-1247354</v>
      </c>
      <c r="L162" s="112" t="n">
        <v>0</v>
      </c>
      <c r="M162" s="112" t="n">
        <v>-24997</v>
      </c>
      <c r="N162" s="112" t="n">
        <v>-1260204</v>
      </c>
      <c r="P162" s="112" t="n">
        <f aca="false">ABS(D162)/$P$3</f>
        <v>831.824</v>
      </c>
      <c r="Q162" s="112" t="n">
        <f aca="false">ABS(E162)/$P$3</f>
        <v>0</v>
      </c>
      <c r="R162" s="112" t="n">
        <f aca="false">ABS(F162)/$P$3</f>
        <v>0</v>
      </c>
      <c r="S162" s="112" t="n">
        <f aca="false">ABS(G162)/$P$3</f>
        <v>453.98</v>
      </c>
      <c r="T162" s="112" t="n">
        <f aca="false">ABS(H162)/$P$3</f>
        <v>47.824</v>
      </c>
      <c r="U162" s="112" t="n">
        <f aca="false">ABS(I162)/$P$3</f>
        <v>831.824</v>
      </c>
      <c r="V162" s="112" t="n">
        <f aca="false">ABS(J162)/$P$3</f>
        <v>449.773</v>
      </c>
      <c r="W162" s="112" t="n">
        <f aca="false">ABS(K162)/$P$3</f>
        <v>1247.354</v>
      </c>
      <c r="X162" s="112" t="n">
        <f aca="false">ABS(L162)/$P$3</f>
        <v>0</v>
      </c>
      <c r="Y162" s="112" t="n">
        <f aca="false">ABS(M162)/$P$3</f>
        <v>24.997</v>
      </c>
      <c r="Z162" s="112" t="n">
        <f aca="false">ABS(N162)/$P$3</f>
        <v>1260.204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Data'!$A$2:$B$8,MATCH(WEEKDAY('RAC V@r Total'!A163,3),'Master Data'!$A$2:$A$8,0),2)</f>
        <v>Th</v>
      </c>
      <c r="D163" s="112" t="n">
        <v>-818888</v>
      </c>
      <c r="E163" s="112" t="n">
        <v>0</v>
      </c>
      <c r="F163" s="112" t="n">
        <v>0</v>
      </c>
      <c r="G163" s="112" t="n">
        <v>-447369</v>
      </c>
      <c r="H163" s="112" t="n">
        <v>-49313</v>
      </c>
      <c r="I163" s="112" t="n">
        <v>-818888</v>
      </c>
      <c r="J163" s="112" t="n">
        <v>-451500</v>
      </c>
      <c r="K163" s="112" t="n">
        <v>-1251742</v>
      </c>
      <c r="L163" s="112" t="n">
        <v>0</v>
      </c>
      <c r="M163" s="112" t="n">
        <v>-25484</v>
      </c>
      <c r="N163" s="112" t="n">
        <v>-1235612</v>
      </c>
      <c r="P163" s="112" t="n">
        <f aca="false">ABS(D163)/$P$3</f>
        <v>818.888</v>
      </c>
      <c r="Q163" s="112" t="n">
        <f aca="false">ABS(E163)/$P$3</f>
        <v>0</v>
      </c>
      <c r="R163" s="112" t="n">
        <f aca="false">ABS(F163)/$P$3</f>
        <v>0</v>
      </c>
      <c r="S163" s="112" t="n">
        <f aca="false">ABS(G163)/$P$3</f>
        <v>447.369</v>
      </c>
      <c r="T163" s="112" t="n">
        <f aca="false">ABS(H163)/$P$3</f>
        <v>49.313</v>
      </c>
      <c r="U163" s="112" t="n">
        <f aca="false">ABS(I163)/$P$3</f>
        <v>818.888</v>
      </c>
      <c r="V163" s="112" t="n">
        <f aca="false">ABS(J163)/$P$3</f>
        <v>451.5</v>
      </c>
      <c r="W163" s="112" t="n">
        <f aca="false">ABS(K163)/$P$3</f>
        <v>1251.742</v>
      </c>
      <c r="X163" s="112" t="n">
        <f aca="false">ABS(L163)/$P$3</f>
        <v>0</v>
      </c>
      <c r="Y163" s="112" t="n">
        <f aca="false">ABS(M163)/$P$3</f>
        <v>25.484</v>
      </c>
      <c r="Z163" s="112" t="n">
        <f aca="false">ABS(N163)/$P$3</f>
        <v>1235.612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Data'!$A$2:$B$8,MATCH(WEEKDAY('RAC V@r Total'!A164,3),'Master Data'!$A$2:$A$8,0),2)</f>
        <v>F</v>
      </c>
      <c r="D164" s="112" t="n">
        <v>-819315</v>
      </c>
      <c r="E164" s="112" t="n">
        <v>0</v>
      </c>
      <c r="F164" s="112" t="n">
        <v>0</v>
      </c>
      <c r="G164" s="112" t="n">
        <v>-446529</v>
      </c>
      <c r="H164" s="112" t="n">
        <v>-49126</v>
      </c>
      <c r="I164" s="112" t="n">
        <v>-819315</v>
      </c>
      <c r="J164" s="112" t="n">
        <v>-449679</v>
      </c>
      <c r="K164" s="112" t="n">
        <v>-1251728</v>
      </c>
      <c r="L164" s="112" t="n">
        <v>0</v>
      </c>
      <c r="M164" s="112" t="n">
        <v>-25263</v>
      </c>
      <c r="N164" s="112" t="n">
        <v>-1235105</v>
      </c>
      <c r="P164" s="112" t="n">
        <f aca="false">ABS(D164)/$P$3</f>
        <v>819.315</v>
      </c>
      <c r="Q164" s="112" t="n">
        <f aca="false">ABS(E164)/$P$3</f>
        <v>0</v>
      </c>
      <c r="R164" s="112" t="n">
        <f aca="false">ABS(F164)/$P$3</f>
        <v>0</v>
      </c>
      <c r="S164" s="112" t="n">
        <f aca="false">ABS(G164)/$P$3</f>
        <v>446.529</v>
      </c>
      <c r="T164" s="112" t="n">
        <f aca="false">ABS(H164)/$P$3</f>
        <v>49.126</v>
      </c>
      <c r="U164" s="112" t="n">
        <f aca="false">ABS(I164)/$P$3</f>
        <v>819.315</v>
      </c>
      <c r="V164" s="112" t="n">
        <f aca="false">ABS(J164)/$P$3</f>
        <v>449.679</v>
      </c>
      <c r="W164" s="112" t="n">
        <f aca="false">ABS(K164)/$P$3</f>
        <v>1251.728</v>
      </c>
      <c r="X164" s="112" t="n">
        <f aca="false">ABS(L164)/$P$3</f>
        <v>0</v>
      </c>
      <c r="Y164" s="112" t="n">
        <f aca="false">ABS(M164)/$P$3</f>
        <v>25.263</v>
      </c>
      <c r="Z164" s="112" t="n">
        <f aca="false">ABS(N164)/$P$3</f>
        <v>1235.105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Data'!$A$2:$B$8,MATCH(WEEKDAY('RAC V@r Total'!A165,3),'Master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H165" s="112" t="n">
        <v>0</v>
      </c>
      <c r="I165" s="112" t="n">
        <v>0</v>
      </c>
      <c r="J165" s="112" t="n">
        <v>0</v>
      </c>
      <c r="K165" s="112" t="n">
        <v>0</v>
      </c>
      <c r="L165" s="112" t="n">
        <v>0</v>
      </c>
      <c r="M165" s="112" t="n">
        <v>0</v>
      </c>
      <c r="N165" s="112" t="n">
        <v>0</v>
      </c>
      <c r="P165" s="112" t="n">
        <f aca="false">ABS(D165)/$P$3</f>
        <v>0</v>
      </c>
      <c r="Q165" s="112" t="n">
        <f aca="false">ABS(E165)/$P$3</f>
        <v>0</v>
      </c>
      <c r="R165" s="112" t="n">
        <f aca="false">ABS(F165)/$P$3</f>
        <v>0</v>
      </c>
      <c r="S165" s="112" t="n">
        <f aca="false">ABS(G165)/$P$3</f>
        <v>0</v>
      </c>
      <c r="T165" s="112" t="n">
        <f aca="false">ABS(H165)/$P$3</f>
        <v>0</v>
      </c>
      <c r="U165" s="112" t="n">
        <f aca="false">ABS(I165)/$P$3</f>
        <v>0</v>
      </c>
      <c r="V165" s="112" t="n">
        <f aca="false">ABS(J165)/$P$3</f>
        <v>0</v>
      </c>
      <c r="W165" s="112" t="n">
        <f aca="false">ABS(K165)/$P$3</f>
        <v>0</v>
      </c>
      <c r="X165" s="112" t="n">
        <f aca="false">ABS(L165)/$P$3</f>
        <v>0</v>
      </c>
      <c r="Y165" s="112" t="n">
        <f aca="false">ABS(M165)/$P$3</f>
        <v>0</v>
      </c>
      <c r="Z165" s="112" t="n">
        <f aca="false">ABS(N165)/$P$3</f>
        <v>0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Data'!$A$2:$B$8,MATCH(WEEKDAY('RAC V@r Total'!A166,3),'Master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H166" s="112" t="n">
        <v>0</v>
      </c>
      <c r="I166" s="112" t="n">
        <v>0</v>
      </c>
      <c r="J166" s="112" t="n">
        <v>0</v>
      </c>
      <c r="K166" s="112" t="n">
        <v>0</v>
      </c>
      <c r="L166" s="112" t="n">
        <v>0</v>
      </c>
      <c r="M166" s="112" t="n">
        <v>0</v>
      </c>
      <c r="N166" s="112" t="n">
        <v>0</v>
      </c>
      <c r="P166" s="112" t="n">
        <f aca="false">ABS(D166)/$P$3</f>
        <v>0</v>
      </c>
      <c r="Q166" s="112" t="n">
        <f aca="false">ABS(E166)/$P$3</f>
        <v>0</v>
      </c>
      <c r="R166" s="112" t="n">
        <f aca="false">ABS(F166)/$P$3</f>
        <v>0</v>
      </c>
      <c r="S166" s="112" t="n">
        <f aca="false">ABS(G166)/$P$3</f>
        <v>0</v>
      </c>
      <c r="T166" s="112" t="n">
        <f aca="false">ABS(H166)/$P$3</f>
        <v>0</v>
      </c>
      <c r="U166" s="112" t="n">
        <f aca="false">ABS(I166)/$P$3</f>
        <v>0</v>
      </c>
      <c r="V166" s="112" t="n">
        <f aca="false">ABS(J166)/$P$3</f>
        <v>0</v>
      </c>
      <c r="W166" s="112" t="n">
        <f aca="false">ABS(K166)/$P$3</f>
        <v>0</v>
      </c>
      <c r="X166" s="112" t="n">
        <f aca="false">ABS(L166)/$P$3</f>
        <v>0</v>
      </c>
      <c r="Y166" s="112" t="n">
        <f aca="false">ABS(M166)/$P$3</f>
        <v>0</v>
      </c>
      <c r="Z166" s="112" t="n">
        <f aca="false">ABS(N166)/$P$3</f>
        <v>0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Data'!$A$2:$B$8,MATCH(WEEKDAY('RAC V@r Total'!A167,3),'Master Data'!$A$2:$A$8,0),2)</f>
        <v>M</v>
      </c>
      <c r="D167" s="112" t="n">
        <v>-820597</v>
      </c>
      <c r="E167" s="112" t="n">
        <v>0</v>
      </c>
      <c r="F167" s="112" t="n">
        <v>0</v>
      </c>
      <c r="G167" s="112" t="n">
        <v>-445556</v>
      </c>
      <c r="H167" s="112" t="n">
        <v>-49186</v>
      </c>
      <c r="I167" s="112" t="n">
        <v>-820597</v>
      </c>
      <c r="J167" s="112" t="n">
        <v>-447888</v>
      </c>
      <c r="K167" s="112" t="n">
        <v>-1251671</v>
      </c>
      <c r="L167" s="112" t="n">
        <v>0</v>
      </c>
      <c r="M167" s="112" t="n">
        <v>-25323</v>
      </c>
      <c r="N167" s="112" t="n">
        <v>-1235417</v>
      </c>
      <c r="P167" s="112" t="n">
        <f aca="false">ABS(D167)/$P$3</f>
        <v>820.597</v>
      </c>
      <c r="Q167" s="112" t="n">
        <f aca="false">ABS(E167)/$P$3</f>
        <v>0</v>
      </c>
      <c r="R167" s="112" t="n">
        <f aca="false">ABS(F167)/$P$3</f>
        <v>0</v>
      </c>
      <c r="S167" s="112" t="n">
        <f aca="false">ABS(G167)/$P$3</f>
        <v>445.556</v>
      </c>
      <c r="T167" s="112" t="n">
        <f aca="false">ABS(H167)/$P$3</f>
        <v>49.186</v>
      </c>
      <c r="U167" s="112" t="n">
        <f aca="false">ABS(I167)/$P$3</f>
        <v>820.597</v>
      </c>
      <c r="V167" s="112" t="n">
        <f aca="false">ABS(J167)/$P$3</f>
        <v>447.888</v>
      </c>
      <c r="W167" s="112" t="n">
        <f aca="false">ABS(K167)/$P$3</f>
        <v>1251.671</v>
      </c>
      <c r="X167" s="112" t="n">
        <f aca="false">ABS(L167)/$P$3</f>
        <v>0</v>
      </c>
      <c r="Y167" s="112" t="n">
        <f aca="false">ABS(M167)/$P$3</f>
        <v>25.323</v>
      </c>
      <c r="Z167" s="112" t="n">
        <f aca="false">ABS(N167)/$P$3</f>
        <v>1235.417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Data'!$A$2:$B$8,MATCH(WEEKDAY('RAC V@r Total'!A168,3),'Master Data'!$A$2:$A$8,0),2)</f>
        <v>T</v>
      </c>
      <c r="D168" s="112" t="n">
        <v>-821025</v>
      </c>
      <c r="E168" s="112" t="n">
        <v>0</v>
      </c>
      <c r="F168" s="112" t="n">
        <v>0</v>
      </c>
      <c r="G168" s="112" t="n">
        <v>-446156</v>
      </c>
      <c r="H168" s="112" t="n">
        <v>-49441</v>
      </c>
      <c r="I168" s="112" t="n">
        <v>-821025</v>
      </c>
      <c r="J168" s="112" t="n">
        <v>-448234</v>
      </c>
      <c r="K168" s="112" t="n">
        <v>-1252150</v>
      </c>
      <c r="L168" s="112" t="n">
        <v>0</v>
      </c>
      <c r="M168" s="112" t="n">
        <v>-25621</v>
      </c>
      <c r="N168" s="112" t="n">
        <v>-1236556</v>
      </c>
      <c r="P168" s="112" t="n">
        <f aca="false">ABS(D168)/$P$3</f>
        <v>821.025</v>
      </c>
      <c r="Q168" s="112" t="n">
        <f aca="false">ABS(E168)/$P$3</f>
        <v>0</v>
      </c>
      <c r="R168" s="112" t="n">
        <f aca="false">ABS(F168)/$P$3</f>
        <v>0</v>
      </c>
      <c r="S168" s="112" t="n">
        <f aca="false">ABS(G168)/$P$3</f>
        <v>446.156</v>
      </c>
      <c r="T168" s="112" t="n">
        <f aca="false">ABS(H168)/$P$3</f>
        <v>49.441</v>
      </c>
      <c r="U168" s="112" t="n">
        <f aca="false">ABS(I168)/$P$3</f>
        <v>821.025</v>
      </c>
      <c r="V168" s="112" t="n">
        <f aca="false">ABS(J168)/$P$3</f>
        <v>448.234</v>
      </c>
      <c r="W168" s="112" t="n">
        <f aca="false">ABS(K168)/$P$3</f>
        <v>1252.15</v>
      </c>
      <c r="X168" s="112" t="n">
        <f aca="false">ABS(L168)/$P$3</f>
        <v>0</v>
      </c>
      <c r="Y168" s="112" t="n">
        <f aca="false">ABS(M168)/$P$3</f>
        <v>25.621</v>
      </c>
      <c r="Z168" s="112" t="n">
        <f aca="false">ABS(N168)/$P$3</f>
        <v>1236.556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Data'!$A$2:$B$8,MATCH(WEEKDAY('RAC V@r Total'!A169,3),'Master Data'!$A$2:$A$8,0),2)</f>
        <v>W</v>
      </c>
      <c r="D169" s="112" t="n">
        <v>-821453</v>
      </c>
      <c r="E169" s="112" t="n">
        <v>0</v>
      </c>
      <c r="F169" s="112" t="n">
        <v>0</v>
      </c>
      <c r="G169" s="112" t="n">
        <v>-446475</v>
      </c>
      <c r="H169" s="112" t="n">
        <v>-49478</v>
      </c>
      <c r="I169" s="112" t="n">
        <v>-821453</v>
      </c>
      <c r="J169" s="112" t="n">
        <v>-448300</v>
      </c>
      <c r="K169" s="112" t="n">
        <v>-1252482</v>
      </c>
      <c r="L169" s="112" t="n">
        <v>0</v>
      </c>
      <c r="M169" s="112" t="n">
        <v>-25662</v>
      </c>
      <c r="N169" s="112" t="n">
        <v>-1237292</v>
      </c>
      <c r="P169" s="112" t="n">
        <f aca="false">ABS(D169)/$P$3</f>
        <v>821.453</v>
      </c>
      <c r="Q169" s="112" t="n">
        <f aca="false">ABS(E169)/$P$3</f>
        <v>0</v>
      </c>
      <c r="R169" s="112" t="n">
        <f aca="false">ABS(F169)/$P$3</f>
        <v>0</v>
      </c>
      <c r="S169" s="112" t="n">
        <f aca="false">ABS(G169)/$P$3</f>
        <v>446.475</v>
      </c>
      <c r="T169" s="112" t="n">
        <f aca="false">ABS(H169)/$P$3</f>
        <v>49.478</v>
      </c>
      <c r="U169" s="112" t="n">
        <f aca="false">ABS(I169)/$P$3</f>
        <v>821.453</v>
      </c>
      <c r="V169" s="112" t="n">
        <f aca="false">ABS(J169)/$P$3</f>
        <v>448.3</v>
      </c>
      <c r="W169" s="112" t="n">
        <f aca="false">ABS(K169)/$P$3</f>
        <v>1252.482</v>
      </c>
      <c r="X169" s="112" t="n">
        <f aca="false">ABS(L169)/$P$3</f>
        <v>0</v>
      </c>
      <c r="Y169" s="112" t="n">
        <f aca="false">ABS(M169)/$P$3</f>
        <v>25.662</v>
      </c>
      <c r="Z169" s="112" t="n">
        <f aca="false">ABS(N169)/$P$3</f>
        <v>1237.292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Data'!$A$2:$B$8,MATCH(WEEKDAY('RAC V@r Total'!A170,3),'Master Data'!$A$2:$A$8,0),2)</f>
        <v>Th</v>
      </c>
      <c r="D170" s="112" t="n">
        <v>-821881</v>
      </c>
      <c r="E170" s="112" t="n">
        <v>0</v>
      </c>
      <c r="F170" s="112" t="n">
        <v>0</v>
      </c>
      <c r="G170" s="112" t="n">
        <v>-446497</v>
      </c>
      <c r="H170" s="112" t="n">
        <v>-49538</v>
      </c>
      <c r="I170" s="112" t="n">
        <v>-821881</v>
      </c>
      <c r="J170" s="112" t="n">
        <v>-448066</v>
      </c>
      <c r="K170" s="112" t="n">
        <v>-1252658</v>
      </c>
      <c r="L170" s="112" t="n">
        <v>0</v>
      </c>
      <c r="M170" s="112" t="n">
        <v>-25729</v>
      </c>
      <c r="N170" s="112" t="n">
        <v>-1237758</v>
      </c>
      <c r="P170" s="112" t="n">
        <f aca="false">ABS(D170)/$P$3</f>
        <v>821.881</v>
      </c>
      <c r="Q170" s="112" t="n">
        <f aca="false">ABS(E170)/$P$3</f>
        <v>0</v>
      </c>
      <c r="R170" s="112" t="n">
        <f aca="false">ABS(F170)/$P$3</f>
        <v>0</v>
      </c>
      <c r="S170" s="112" t="n">
        <f aca="false">ABS(G170)/$P$3</f>
        <v>446.497</v>
      </c>
      <c r="T170" s="112" t="n">
        <f aca="false">ABS(H170)/$P$3</f>
        <v>49.538</v>
      </c>
      <c r="U170" s="112" t="n">
        <f aca="false">ABS(I170)/$P$3</f>
        <v>821.881</v>
      </c>
      <c r="V170" s="112" t="n">
        <f aca="false">ABS(J170)/$P$3</f>
        <v>448.066</v>
      </c>
      <c r="W170" s="112" t="n">
        <f aca="false">ABS(K170)/$P$3</f>
        <v>1252.658</v>
      </c>
      <c r="X170" s="112" t="n">
        <f aca="false">ABS(L170)/$P$3</f>
        <v>0</v>
      </c>
      <c r="Y170" s="112" t="n">
        <f aca="false">ABS(M170)/$P$3</f>
        <v>25.729</v>
      </c>
      <c r="Z170" s="112" t="n">
        <f aca="false">ABS(N170)/$P$3</f>
        <v>1237.758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Data'!$A$2:$B$8,MATCH(WEEKDAY('RAC V@r Total'!A171,3),'Master Data'!$A$2:$A$8,0),2)</f>
        <v>F</v>
      </c>
      <c r="D171" s="112" t="n">
        <v>-822309</v>
      </c>
      <c r="E171" s="112" t="n">
        <v>0</v>
      </c>
      <c r="F171" s="112" t="n">
        <v>0</v>
      </c>
      <c r="G171" s="112" t="n">
        <v>-447032</v>
      </c>
      <c r="H171" s="112" t="n">
        <v>-49464</v>
      </c>
      <c r="I171" s="112" t="n">
        <v>-822309</v>
      </c>
      <c r="J171" s="112" t="n">
        <v>-448684</v>
      </c>
      <c r="K171" s="112" t="n">
        <v>-1253375</v>
      </c>
      <c r="L171" s="112" t="n">
        <v>0</v>
      </c>
      <c r="M171" s="112" t="n">
        <v>-25637</v>
      </c>
      <c r="N171" s="112" t="n">
        <v>-1238800</v>
      </c>
      <c r="P171" s="112" t="n">
        <f aca="false">ABS(D171)/$P$3</f>
        <v>822.309</v>
      </c>
      <c r="Q171" s="112" t="n">
        <f aca="false">ABS(E171)/$P$3</f>
        <v>0</v>
      </c>
      <c r="R171" s="112" t="n">
        <f aca="false">ABS(F171)/$P$3</f>
        <v>0</v>
      </c>
      <c r="S171" s="112" t="n">
        <f aca="false">ABS(G171)/$P$3</f>
        <v>447.032</v>
      </c>
      <c r="T171" s="112" t="n">
        <f aca="false">ABS(H171)/$P$3</f>
        <v>49.464</v>
      </c>
      <c r="U171" s="112" t="n">
        <f aca="false">ABS(I171)/$P$3</f>
        <v>822.309</v>
      </c>
      <c r="V171" s="112" t="n">
        <f aca="false">ABS(J171)/$P$3</f>
        <v>448.684</v>
      </c>
      <c r="W171" s="112" t="n">
        <f aca="false">ABS(K171)/$P$3</f>
        <v>1253.375</v>
      </c>
      <c r="X171" s="112" t="n">
        <f aca="false">ABS(L171)/$P$3</f>
        <v>0</v>
      </c>
      <c r="Y171" s="112" t="n">
        <f aca="false">ABS(M171)/$P$3</f>
        <v>25.637</v>
      </c>
      <c r="Z171" s="112" t="n">
        <f aca="false">ABS(N171)/$P$3</f>
        <v>1238.8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Data'!$A$2:$B$8,MATCH(WEEKDAY('RAC V@r Total'!A172,3),'Master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H172" s="112" t="n">
        <v>0</v>
      </c>
      <c r="I172" s="112" t="n">
        <v>0</v>
      </c>
      <c r="J172" s="112" t="n">
        <v>0</v>
      </c>
      <c r="K172" s="112" t="n">
        <v>0</v>
      </c>
      <c r="L172" s="112" t="n">
        <v>0</v>
      </c>
      <c r="M172" s="112" t="n">
        <v>0</v>
      </c>
      <c r="N172" s="112" t="n">
        <v>0</v>
      </c>
      <c r="P172" s="112" t="n">
        <f aca="false">ABS(D172)/$P$3</f>
        <v>0</v>
      </c>
      <c r="Q172" s="112" t="n">
        <f aca="false">ABS(E172)/$P$3</f>
        <v>0</v>
      </c>
      <c r="R172" s="112" t="n">
        <f aca="false">ABS(F172)/$P$3</f>
        <v>0</v>
      </c>
      <c r="S172" s="112" t="n">
        <f aca="false">ABS(G172)/$P$3</f>
        <v>0</v>
      </c>
      <c r="T172" s="112" t="n">
        <f aca="false">ABS(H172)/$P$3</f>
        <v>0</v>
      </c>
      <c r="U172" s="112" t="n">
        <f aca="false">ABS(I172)/$P$3</f>
        <v>0</v>
      </c>
      <c r="V172" s="112" t="n">
        <f aca="false">ABS(J172)/$P$3</f>
        <v>0</v>
      </c>
      <c r="W172" s="112" t="n">
        <f aca="false">ABS(K172)/$P$3</f>
        <v>0</v>
      </c>
      <c r="X172" s="112" t="n">
        <f aca="false">ABS(L172)/$P$3</f>
        <v>0</v>
      </c>
      <c r="Y172" s="112" t="n">
        <f aca="false">ABS(M172)/$P$3</f>
        <v>0</v>
      </c>
      <c r="Z172" s="112" t="n">
        <f aca="false">ABS(N172)/$P$3</f>
        <v>0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Data'!$A$2:$B$8,MATCH(WEEKDAY('RAC V@r Total'!A173,3),'Master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H173" s="112" t="n">
        <v>0</v>
      </c>
      <c r="I173" s="112" t="n">
        <v>0</v>
      </c>
      <c r="J173" s="112" t="n">
        <v>0</v>
      </c>
      <c r="K173" s="112" t="n">
        <v>0</v>
      </c>
      <c r="L173" s="112" t="n">
        <v>0</v>
      </c>
      <c r="M173" s="112" t="n">
        <v>0</v>
      </c>
      <c r="N173" s="112" t="n">
        <v>0</v>
      </c>
      <c r="P173" s="112" t="n">
        <f aca="false">ABS(D173)/$P$3</f>
        <v>0</v>
      </c>
      <c r="Q173" s="112" t="n">
        <f aca="false">ABS(E173)/$P$3</f>
        <v>0</v>
      </c>
      <c r="R173" s="112" t="n">
        <f aca="false">ABS(F173)/$P$3</f>
        <v>0</v>
      </c>
      <c r="S173" s="112" t="n">
        <f aca="false">ABS(G173)/$P$3</f>
        <v>0</v>
      </c>
      <c r="T173" s="112" t="n">
        <f aca="false">ABS(H173)/$P$3</f>
        <v>0</v>
      </c>
      <c r="U173" s="112" t="n">
        <f aca="false">ABS(I173)/$P$3</f>
        <v>0</v>
      </c>
      <c r="V173" s="112" t="n">
        <f aca="false">ABS(J173)/$P$3</f>
        <v>0</v>
      </c>
      <c r="W173" s="112" t="n">
        <f aca="false">ABS(K173)/$P$3</f>
        <v>0</v>
      </c>
      <c r="X173" s="112" t="n">
        <f aca="false">ABS(L173)/$P$3</f>
        <v>0</v>
      </c>
      <c r="Y173" s="112" t="n">
        <f aca="false">ABS(M173)/$P$3</f>
        <v>0</v>
      </c>
      <c r="Z173" s="112" t="n">
        <f aca="false">ABS(N173)/$P$3</f>
        <v>0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Data'!$A$2:$B$8,MATCH(WEEKDAY('RAC V@r Total'!A174,3),'Master Data'!$A$2:$A$8,0),2)</f>
        <v>M</v>
      </c>
      <c r="D174" s="112" t="n">
        <v>-823595</v>
      </c>
      <c r="E174" s="112" t="n">
        <v>0</v>
      </c>
      <c r="F174" s="112" t="n">
        <v>0</v>
      </c>
      <c r="G174" s="112" t="n">
        <v>-446735</v>
      </c>
      <c r="H174" s="112" t="n">
        <v>-49437</v>
      </c>
      <c r="I174" s="112" t="n">
        <v>-823595</v>
      </c>
      <c r="J174" s="112" t="n">
        <v>-447478</v>
      </c>
      <c r="K174" s="112" t="n">
        <v>-1253582</v>
      </c>
      <c r="L174" s="112" t="n">
        <v>0</v>
      </c>
      <c r="M174" s="112" t="n">
        <v>-25594</v>
      </c>
      <c r="N174" s="112" t="n">
        <v>-1239664</v>
      </c>
      <c r="P174" s="112" t="n">
        <f aca="false">ABS(D174)/$P$3</f>
        <v>823.595</v>
      </c>
      <c r="Q174" s="112" t="n">
        <f aca="false">ABS(E174)/$P$3</f>
        <v>0</v>
      </c>
      <c r="R174" s="112" t="n">
        <f aca="false">ABS(F174)/$P$3</f>
        <v>0</v>
      </c>
      <c r="S174" s="112" t="n">
        <f aca="false">ABS(G174)/$P$3</f>
        <v>446.735</v>
      </c>
      <c r="T174" s="112" t="n">
        <f aca="false">ABS(H174)/$P$3</f>
        <v>49.437</v>
      </c>
      <c r="U174" s="112" t="n">
        <f aca="false">ABS(I174)/$P$3</f>
        <v>823.595</v>
      </c>
      <c r="V174" s="112" t="n">
        <f aca="false">ABS(J174)/$P$3</f>
        <v>447.478</v>
      </c>
      <c r="W174" s="112" t="n">
        <f aca="false">ABS(K174)/$P$3</f>
        <v>1253.582</v>
      </c>
      <c r="X174" s="112" t="n">
        <f aca="false">ABS(L174)/$P$3</f>
        <v>0</v>
      </c>
      <c r="Y174" s="112" t="n">
        <f aca="false">ABS(M174)/$P$3</f>
        <v>25.594</v>
      </c>
      <c r="Z174" s="112" t="n">
        <f aca="false">ABS(N174)/$P$3</f>
        <v>1239.664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Data'!$A$2:$B$8,MATCH(WEEKDAY('RAC V@r Total'!A175,3),'Master Data'!$A$2:$A$8,0),2)</f>
        <v>T</v>
      </c>
      <c r="D175" s="112" t="n">
        <v>-824024</v>
      </c>
      <c r="E175" s="112" t="n">
        <v>0</v>
      </c>
      <c r="F175" s="112" t="n">
        <v>0</v>
      </c>
      <c r="G175" s="112" t="n">
        <v>-446916</v>
      </c>
      <c r="H175" s="112" t="n">
        <v>-49510</v>
      </c>
      <c r="I175" s="112" t="n">
        <v>-824024</v>
      </c>
      <c r="J175" s="112" t="n">
        <v>-447428</v>
      </c>
      <c r="K175" s="112" t="n">
        <v>-1253817</v>
      </c>
      <c r="L175" s="112" t="n">
        <v>0</v>
      </c>
      <c r="M175" s="112" t="n">
        <v>-25680</v>
      </c>
      <c r="N175" s="112" t="n">
        <v>-1240279</v>
      </c>
      <c r="P175" s="112" t="n">
        <f aca="false">ABS(D175)/$P$3</f>
        <v>824.024</v>
      </c>
      <c r="Q175" s="112" t="n">
        <f aca="false">ABS(E175)/$P$3</f>
        <v>0</v>
      </c>
      <c r="R175" s="112" t="n">
        <f aca="false">ABS(F175)/$P$3</f>
        <v>0</v>
      </c>
      <c r="S175" s="112" t="n">
        <f aca="false">ABS(G175)/$P$3</f>
        <v>446.916</v>
      </c>
      <c r="T175" s="112" t="n">
        <f aca="false">ABS(H175)/$P$3</f>
        <v>49.51</v>
      </c>
      <c r="U175" s="112" t="n">
        <f aca="false">ABS(I175)/$P$3</f>
        <v>824.024</v>
      </c>
      <c r="V175" s="112" t="n">
        <f aca="false">ABS(J175)/$P$3</f>
        <v>447.428</v>
      </c>
      <c r="W175" s="112" t="n">
        <f aca="false">ABS(K175)/$P$3</f>
        <v>1253.817</v>
      </c>
      <c r="X175" s="112" t="n">
        <f aca="false">ABS(L175)/$P$3</f>
        <v>0</v>
      </c>
      <c r="Y175" s="112" t="n">
        <f aca="false">ABS(M175)/$P$3</f>
        <v>25.68</v>
      </c>
      <c r="Z175" s="112" t="n">
        <f aca="false">ABS(N175)/$P$3</f>
        <v>1240.279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Data'!$A$2:$B$8,MATCH(WEEKDAY('RAC V@r Total'!A176,3),'Master Data'!$A$2:$A$8,0),2)</f>
        <v>W</v>
      </c>
      <c r="D176" s="112" t="n">
        <v>-824453</v>
      </c>
      <c r="E176" s="112" t="n">
        <v>0</v>
      </c>
      <c r="F176" s="112" t="n">
        <v>0</v>
      </c>
      <c r="G176" s="112" t="n">
        <v>-448467</v>
      </c>
      <c r="H176" s="112" t="n">
        <v>-25733</v>
      </c>
      <c r="I176" s="112" t="n">
        <v>-824453</v>
      </c>
      <c r="J176" s="112" t="n">
        <v>-451680</v>
      </c>
      <c r="K176" s="112" t="n">
        <v>-1254783</v>
      </c>
      <c r="L176" s="112" t="n">
        <v>0</v>
      </c>
      <c r="M176" s="112" t="n">
        <v>-25733</v>
      </c>
      <c r="N176" s="112" t="n">
        <v>-1247627</v>
      </c>
      <c r="P176" s="112" t="n">
        <f aca="false">ABS(D176)/$P$3</f>
        <v>824.453</v>
      </c>
      <c r="Q176" s="112" t="n">
        <f aca="false">ABS(E176)/$P$3</f>
        <v>0</v>
      </c>
      <c r="R176" s="112" t="n">
        <f aca="false">ABS(F176)/$P$3</f>
        <v>0</v>
      </c>
      <c r="S176" s="112" t="n">
        <f aca="false">ABS(G176)/$P$3</f>
        <v>448.467</v>
      </c>
      <c r="T176" s="112" t="n">
        <f aca="false">ABS(H176)/$P$3</f>
        <v>25.733</v>
      </c>
      <c r="U176" s="112" t="n">
        <f aca="false">ABS(I176)/$P$3</f>
        <v>824.453</v>
      </c>
      <c r="V176" s="112" t="n">
        <f aca="false">ABS(J176)/$P$3</f>
        <v>451.68</v>
      </c>
      <c r="W176" s="112" t="n">
        <f aca="false">ABS(K176)/$P$3</f>
        <v>1254.783</v>
      </c>
      <c r="X176" s="112" t="n">
        <f aca="false">ABS(L176)/$P$3</f>
        <v>0</v>
      </c>
      <c r="Y176" s="112" t="n">
        <f aca="false">ABS(M176)/$P$3</f>
        <v>25.733</v>
      </c>
      <c r="Z176" s="112" t="n">
        <f aca="false">ABS(N176)/$P$3</f>
        <v>1247.627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Data'!$A$2:$B$8,MATCH(WEEKDAY('RAC V@r Total'!A177,3),'Master Data'!$A$2:$A$8,0),2)</f>
        <v>Th</v>
      </c>
      <c r="D177" s="112" t="n">
        <v>-824882</v>
      </c>
      <c r="E177" s="112" t="n">
        <v>0</v>
      </c>
      <c r="F177" s="112" t="n">
        <v>0</v>
      </c>
      <c r="G177" s="112" t="n">
        <v>-447112</v>
      </c>
      <c r="H177" s="112" t="n">
        <v>-25796</v>
      </c>
      <c r="I177" s="112" t="n">
        <v>-824882</v>
      </c>
      <c r="J177" s="112" t="n">
        <v>-450191</v>
      </c>
      <c r="K177" s="112" t="n">
        <v>-1254207</v>
      </c>
      <c r="L177" s="112" t="n">
        <v>0</v>
      </c>
      <c r="M177" s="112" t="n">
        <v>-25796</v>
      </c>
      <c r="N177" s="112" t="n">
        <v>-1247027</v>
      </c>
      <c r="P177" s="112" t="n">
        <f aca="false">ABS(D177)/$P$3</f>
        <v>824.882</v>
      </c>
      <c r="Q177" s="112" t="n">
        <f aca="false">ABS(E177)/$P$3</f>
        <v>0</v>
      </c>
      <c r="R177" s="112" t="n">
        <f aca="false">ABS(F177)/$P$3</f>
        <v>0</v>
      </c>
      <c r="S177" s="112" t="n">
        <f aca="false">ABS(G177)/$P$3</f>
        <v>447.112</v>
      </c>
      <c r="T177" s="112" t="n">
        <f aca="false">ABS(H177)/$P$3</f>
        <v>25.796</v>
      </c>
      <c r="U177" s="112" t="n">
        <f aca="false">ABS(I177)/$P$3</f>
        <v>824.882</v>
      </c>
      <c r="V177" s="112" t="n">
        <f aca="false">ABS(J177)/$P$3</f>
        <v>450.191</v>
      </c>
      <c r="W177" s="112" t="n">
        <f aca="false">ABS(K177)/$P$3</f>
        <v>1254.207</v>
      </c>
      <c r="X177" s="112" t="n">
        <f aca="false">ABS(L177)/$P$3</f>
        <v>0</v>
      </c>
      <c r="Y177" s="112" t="n">
        <f aca="false">ABS(M177)/$P$3</f>
        <v>25.796</v>
      </c>
      <c r="Z177" s="112" t="n">
        <f aca="false">ABS(N177)/$P$3</f>
        <v>1247.027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Data'!$A$2:$B$8,MATCH(WEEKDAY('RAC V@r Total'!A178,3),'Master Data'!$A$2:$A$8,0),2)</f>
        <v>F</v>
      </c>
      <c r="D178" s="112" t="n">
        <v>-825311</v>
      </c>
      <c r="E178" s="112" t="n">
        <v>0</v>
      </c>
      <c r="F178" s="112" t="n">
        <v>0</v>
      </c>
      <c r="G178" s="112" t="n">
        <v>-446832</v>
      </c>
      <c r="H178" s="112" t="n">
        <v>-26216</v>
      </c>
      <c r="I178" s="112" t="n">
        <v>-825311</v>
      </c>
      <c r="J178" s="112" t="n">
        <v>-449767</v>
      </c>
      <c r="K178" s="112" t="n">
        <v>-1254206</v>
      </c>
      <c r="L178" s="112" t="n">
        <v>0</v>
      </c>
      <c r="M178" s="112" t="n">
        <v>-26216</v>
      </c>
      <c r="N178" s="112" t="n">
        <v>-1246435</v>
      </c>
      <c r="P178" s="112" t="n">
        <f aca="false">ABS(D178)/$P$3</f>
        <v>825.311</v>
      </c>
      <c r="Q178" s="112" t="n">
        <f aca="false">ABS(E178)/$P$3</f>
        <v>0</v>
      </c>
      <c r="R178" s="112" t="n">
        <f aca="false">ABS(F178)/$P$3</f>
        <v>0</v>
      </c>
      <c r="S178" s="112" t="n">
        <f aca="false">ABS(G178)/$P$3</f>
        <v>446.832</v>
      </c>
      <c r="T178" s="112" t="n">
        <f aca="false">ABS(H178)/$P$3</f>
        <v>26.216</v>
      </c>
      <c r="U178" s="112" t="n">
        <f aca="false">ABS(I178)/$P$3</f>
        <v>825.311</v>
      </c>
      <c r="V178" s="112" t="n">
        <f aca="false">ABS(J178)/$P$3</f>
        <v>449.767</v>
      </c>
      <c r="W178" s="112" t="n">
        <f aca="false">ABS(K178)/$P$3</f>
        <v>1254.206</v>
      </c>
      <c r="X178" s="112" t="n">
        <f aca="false">ABS(L178)/$P$3</f>
        <v>0</v>
      </c>
      <c r="Y178" s="112" t="n">
        <f aca="false">ABS(M178)/$P$3</f>
        <v>26.216</v>
      </c>
      <c r="Z178" s="112" t="n">
        <f aca="false">ABS(N178)/$P$3</f>
        <v>1246.435</v>
      </c>
      <c r="AA178" s="132"/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Data'!$A$2:$B$8,MATCH(WEEKDAY('RAC V@r Total'!A179,3),'Master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H179" s="112" t="n">
        <v>0</v>
      </c>
      <c r="I179" s="112" t="n">
        <v>0</v>
      </c>
      <c r="J179" s="112" t="n">
        <v>0</v>
      </c>
      <c r="K179" s="112" t="n">
        <v>0</v>
      </c>
      <c r="L179" s="112" t="n">
        <v>0</v>
      </c>
      <c r="M179" s="112" t="n">
        <v>0</v>
      </c>
      <c r="N179" s="112" t="n">
        <v>0</v>
      </c>
      <c r="P179" s="112" t="n">
        <f aca="false">ABS(D179)/$P$3</f>
        <v>0</v>
      </c>
      <c r="Q179" s="112" t="n">
        <f aca="false">ABS(E179)/$P$3</f>
        <v>0</v>
      </c>
      <c r="R179" s="112" t="n">
        <f aca="false">ABS(F179)/$P$3</f>
        <v>0</v>
      </c>
      <c r="S179" s="112" t="n">
        <f aca="false">ABS(G179)/$P$3</f>
        <v>0</v>
      </c>
      <c r="T179" s="112" t="n">
        <f aca="false">ABS(H179)/$P$3</f>
        <v>0</v>
      </c>
      <c r="U179" s="112" t="n">
        <f aca="false">ABS(I179)/$P$3</f>
        <v>0</v>
      </c>
      <c r="V179" s="112" t="n">
        <f aca="false">ABS(J179)/$P$3</f>
        <v>0</v>
      </c>
      <c r="W179" s="112" t="n">
        <f aca="false">ABS(K179)/$P$3</f>
        <v>0</v>
      </c>
      <c r="X179" s="112" t="n">
        <f aca="false">ABS(L179)/$P$3</f>
        <v>0</v>
      </c>
      <c r="Y179" s="112" t="n">
        <f aca="false">ABS(M179)/$P$3</f>
        <v>0</v>
      </c>
      <c r="Z179" s="112" t="n">
        <f aca="false">ABS(N179)/$P$3</f>
        <v>0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Data'!$A$2:$B$8,MATCH(WEEKDAY('RAC V@r Total'!A180,3),'Master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H180" s="112" t="n">
        <v>0</v>
      </c>
      <c r="I180" s="112" t="n">
        <v>0</v>
      </c>
      <c r="J180" s="112" t="n">
        <v>0</v>
      </c>
      <c r="K180" s="112" t="n">
        <v>0</v>
      </c>
      <c r="L180" s="112" t="n">
        <v>0</v>
      </c>
      <c r="M180" s="112" t="n">
        <v>0</v>
      </c>
      <c r="N180" s="112" t="n">
        <v>0</v>
      </c>
      <c r="P180" s="112" t="n">
        <f aca="false">ABS(D180)/$P$3</f>
        <v>0</v>
      </c>
      <c r="Q180" s="112" t="n">
        <f aca="false">ABS(E180)/$P$3</f>
        <v>0</v>
      </c>
      <c r="R180" s="112" t="n">
        <f aca="false">ABS(F180)/$P$3</f>
        <v>0</v>
      </c>
      <c r="S180" s="112" t="n">
        <f aca="false">ABS(G180)/$P$3</f>
        <v>0</v>
      </c>
      <c r="T180" s="112" t="n">
        <f aca="false">ABS(H180)/$P$3</f>
        <v>0</v>
      </c>
      <c r="U180" s="112" t="n">
        <f aca="false">ABS(I180)/$P$3</f>
        <v>0</v>
      </c>
      <c r="V180" s="112" t="n">
        <f aca="false">ABS(J180)/$P$3</f>
        <v>0</v>
      </c>
      <c r="W180" s="112" t="n">
        <f aca="false">ABS(K180)/$P$3</f>
        <v>0</v>
      </c>
      <c r="X180" s="112" t="n">
        <f aca="false">ABS(L180)/$P$3</f>
        <v>0</v>
      </c>
      <c r="Y180" s="112" t="n">
        <f aca="false">ABS(M180)/$P$3</f>
        <v>0</v>
      </c>
      <c r="Z180" s="112" t="n">
        <f aca="false">ABS(N180)/$P$3</f>
        <v>0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Data'!$A$2:$B$8,MATCH(WEEKDAY('RAC V@r Total'!A181,3),'Master Data'!$A$2:$A$8,0),2)</f>
        <v>M</v>
      </c>
      <c r="D181" s="112" t="n">
        <v>-826692</v>
      </c>
      <c r="E181" s="112" t="n">
        <v>0</v>
      </c>
      <c r="F181" s="112" t="n">
        <v>0</v>
      </c>
      <c r="G181" s="112" t="n">
        <v>-446630</v>
      </c>
      <c r="H181" s="112" t="n">
        <v>-26299</v>
      </c>
      <c r="I181" s="112" t="n">
        <v>-826692</v>
      </c>
      <c r="J181" s="112" t="n">
        <v>-450056</v>
      </c>
      <c r="K181" s="112" t="n">
        <v>-1254657</v>
      </c>
      <c r="L181" s="112" t="n">
        <v>0</v>
      </c>
      <c r="M181" s="112" t="n">
        <v>-26299</v>
      </c>
      <c r="N181" s="112" t="n">
        <v>-1246951</v>
      </c>
      <c r="P181" s="112" t="n">
        <f aca="false">ABS(D181)/$P$3</f>
        <v>826.692</v>
      </c>
      <c r="Q181" s="112" t="n">
        <f aca="false">ABS(E181)/$P$3</f>
        <v>0</v>
      </c>
      <c r="R181" s="112" t="n">
        <f aca="false">ABS(F181)/$P$3</f>
        <v>0</v>
      </c>
      <c r="S181" s="112" t="n">
        <f aca="false">ABS(G181)/$P$3</f>
        <v>446.63</v>
      </c>
      <c r="T181" s="112" t="n">
        <f aca="false">ABS(H181)/$P$3</f>
        <v>26.299</v>
      </c>
      <c r="U181" s="112" t="n">
        <f aca="false">ABS(I181)/$P$3</f>
        <v>826.692</v>
      </c>
      <c r="V181" s="112" t="n">
        <f aca="false">ABS(J181)/$P$3</f>
        <v>450.056</v>
      </c>
      <c r="W181" s="112" t="n">
        <f aca="false">ABS(K181)/$P$3</f>
        <v>1254.657</v>
      </c>
      <c r="X181" s="112" t="n">
        <f aca="false">ABS(L181)/$P$3</f>
        <v>0</v>
      </c>
      <c r="Y181" s="112" t="n">
        <f aca="false">ABS(M181)/$P$3</f>
        <v>26.299</v>
      </c>
      <c r="Z181" s="112" t="n">
        <f aca="false">ABS(N181)/$P$3</f>
        <v>1246.951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Data'!$A$2:$B$8,MATCH(WEEKDAY('RAC V@r Total'!A182,3),'Master Data'!$A$2:$A$8,0),2)</f>
        <v>T</v>
      </c>
      <c r="D182" s="112" t="n">
        <v>-827156</v>
      </c>
      <c r="E182" s="112" t="n">
        <v>0</v>
      </c>
      <c r="F182" s="112" t="n">
        <v>0</v>
      </c>
      <c r="G182" s="112" t="n">
        <v>-446292</v>
      </c>
      <c r="H182" s="112" t="n">
        <v>-26158</v>
      </c>
      <c r="I182" s="112" t="n">
        <v>-827156</v>
      </c>
      <c r="J182" s="112" t="n">
        <v>-449960</v>
      </c>
      <c r="K182" s="112" t="n">
        <v>-1254716</v>
      </c>
      <c r="L182" s="112" t="n">
        <v>0</v>
      </c>
      <c r="M182" s="112" t="n">
        <v>-26158</v>
      </c>
      <c r="N182" s="112" t="n">
        <v>-1247086</v>
      </c>
      <c r="P182" s="112" t="n">
        <f aca="false">ABS(D182)/$P$3</f>
        <v>827.156</v>
      </c>
      <c r="Q182" s="112" t="n">
        <f aca="false">ABS(E182)/$P$3</f>
        <v>0</v>
      </c>
      <c r="R182" s="112" t="n">
        <f aca="false">ABS(F182)/$P$3</f>
        <v>0</v>
      </c>
      <c r="S182" s="112" t="n">
        <f aca="false">ABS(G182)/$P$3</f>
        <v>446.292</v>
      </c>
      <c r="T182" s="112" t="n">
        <f aca="false">ABS(H182)/$P$3</f>
        <v>26.158</v>
      </c>
      <c r="U182" s="112" t="n">
        <f aca="false">ABS(I182)/$P$3</f>
        <v>827.156</v>
      </c>
      <c r="V182" s="112" t="n">
        <f aca="false">ABS(J182)/$P$3</f>
        <v>449.96</v>
      </c>
      <c r="W182" s="112" t="n">
        <f aca="false">ABS(K182)/$P$3</f>
        <v>1254.716</v>
      </c>
      <c r="X182" s="112" t="n">
        <f aca="false">ABS(L182)/$P$3</f>
        <v>0</v>
      </c>
      <c r="Y182" s="112" t="n">
        <f aca="false">ABS(M182)/$P$3</f>
        <v>26.158</v>
      </c>
      <c r="Z182" s="112" t="n">
        <f aca="false">ABS(N182)/$P$3</f>
        <v>1247.086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Data'!$A$2:$B$8,MATCH(WEEKDAY('RAC V@r Total'!A183,3),'Master Data'!$A$2:$A$8,0),2)</f>
        <v>W</v>
      </c>
      <c r="D183" s="112" t="n">
        <v>-827620</v>
      </c>
      <c r="E183" s="112" t="n">
        <v>0</v>
      </c>
      <c r="F183" s="112" t="n">
        <v>0</v>
      </c>
      <c r="G183" s="112" t="n">
        <v>-445310</v>
      </c>
      <c r="H183" s="112" t="n">
        <v>-26076</v>
      </c>
      <c r="I183" s="112" t="n">
        <v>-827620</v>
      </c>
      <c r="J183" s="112" t="n">
        <v>-449116</v>
      </c>
      <c r="K183" s="112" t="n">
        <v>-1254443</v>
      </c>
      <c r="L183" s="112" t="n">
        <v>0</v>
      </c>
      <c r="M183" s="112" t="n">
        <v>-26076</v>
      </c>
      <c r="N183" s="112" t="n">
        <v>-1246857</v>
      </c>
      <c r="P183" s="112" t="n">
        <f aca="false">ABS(D183)/$P$3</f>
        <v>827.62</v>
      </c>
      <c r="Q183" s="112" t="n">
        <f aca="false">ABS(E183)/$P$3</f>
        <v>0</v>
      </c>
      <c r="R183" s="112" t="n">
        <f aca="false">ABS(F183)/$P$3</f>
        <v>0</v>
      </c>
      <c r="S183" s="112" t="n">
        <f aca="false">ABS(G183)/$P$3</f>
        <v>445.31</v>
      </c>
      <c r="T183" s="112" t="n">
        <f aca="false">ABS(H183)/$P$3</f>
        <v>26.076</v>
      </c>
      <c r="U183" s="112" t="n">
        <f aca="false">ABS(I183)/$P$3</f>
        <v>827.62</v>
      </c>
      <c r="V183" s="112" t="n">
        <f aca="false">ABS(J183)/$P$3</f>
        <v>449.116</v>
      </c>
      <c r="W183" s="112" t="n">
        <f aca="false">ABS(K183)/$P$3</f>
        <v>1254.443</v>
      </c>
      <c r="X183" s="112" t="n">
        <f aca="false">ABS(L183)/$P$3</f>
        <v>0</v>
      </c>
      <c r="Y183" s="112" t="n">
        <f aca="false">ABS(M183)/$P$3</f>
        <v>26.076</v>
      </c>
      <c r="Z183" s="112" t="n">
        <f aca="false">ABS(N183)/$P$3</f>
        <v>1246.857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Data'!$A$2:$B$8,MATCH(WEEKDAY('RAC V@r Total'!A184,3),'Master Data'!$A$2:$A$8,0),2)</f>
        <v>Th</v>
      </c>
      <c r="D184" s="112" t="n">
        <v>-828084</v>
      </c>
      <c r="E184" s="112" t="n">
        <v>0</v>
      </c>
      <c r="F184" s="112" t="n">
        <v>0</v>
      </c>
      <c r="G184" s="112" t="n">
        <v>-444435</v>
      </c>
      <c r="H184" s="112" t="n">
        <v>-25981</v>
      </c>
      <c r="I184" s="112" t="n">
        <v>-828084</v>
      </c>
      <c r="J184" s="112" t="n">
        <v>-448397</v>
      </c>
      <c r="K184" s="112" t="n">
        <v>-1254222</v>
      </c>
      <c r="L184" s="112" t="n">
        <v>0</v>
      </c>
      <c r="M184" s="112" t="n">
        <v>-25981</v>
      </c>
      <c r="N184" s="112" t="n">
        <v>-1246680</v>
      </c>
      <c r="P184" s="112" t="n">
        <f aca="false">ABS(D184)/$P$3</f>
        <v>828.084</v>
      </c>
      <c r="Q184" s="112" t="n">
        <f aca="false">ABS(E184)/$P$3</f>
        <v>0</v>
      </c>
      <c r="R184" s="112" t="n">
        <f aca="false">ABS(F184)/$P$3</f>
        <v>0</v>
      </c>
      <c r="S184" s="112" t="n">
        <f aca="false">ABS(G184)/$P$3</f>
        <v>444.435</v>
      </c>
      <c r="T184" s="112" t="n">
        <f aca="false">ABS(H184)/$P$3</f>
        <v>25.981</v>
      </c>
      <c r="U184" s="112" t="n">
        <f aca="false">ABS(I184)/$P$3</f>
        <v>828.084</v>
      </c>
      <c r="V184" s="112" t="n">
        <f aca="false">ABS(J184)/$P$3</f>
        <v>448.397</v>
      </c>
      <c r="W184" s="112" t="n">
        <f aca="false">ABS(K184)/$P$3</f>
        <v>1254.222</v>
      </c>
      <c r="X184" s="112" t="n">
        <f aca="false">ABS(L184)/$P$3</f>
        <v>0</v>
      </c>
      <c r="Y184" s="112" t="n">
        <f aca="false">ABS(M184)/$P$3</f>
        <v>25.981</v>
      </c>
      <c r="Z184" s="112" t="n">
        <f aca="false">ABS(N184)/$P$3</f>
        <v>1246.68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Data'!$A$2:$B$8,MATCH(WEEKDAY('RAC V@r Total'!A185,3),'Master Data'!$A$2:$A$8,0),2)</f>
        <v>F</v>
      </c>
      <c r="D185" s="112" t="n">
        <v>-725207</v>
      </c>
      <c r="E185" s="112" t="n">
        <v>0</v>
      </c>
      <c r="F185" s="112" t="n">
        <v>0</v>
      </c>
      <c r="G185" s="112" t="n">
        <v>-442586</v>
      </c>
      <c r="H185" s="112" t="n">
        <v>-80109</v>
      </c>
      <c r="I185" s="112" t="n">
        <v>-725207</v>
      </c>
      <c r="J185" s="112" t="n">
        <v>-450226</v>
      </c>
      <c r="K185" s="112" t="n">
        <v>-1120557</v>
      </c>
      <c r="L185" s="112" t="n">
        <v>0</v>
      </c>
      <c r="M185" s="112" t="n">
        <v>-80109</v>
      </c>
      <c r="N185" s="112" t="n">
        <v>-1141283</v>
      </c>
      <c r="P185" s="112" t="n">
        <f aca="false">ABS(D185)/$P$3</f>
        <v>725.207</v>
      </c>
      <c r="Q185" s="112" t="n">
        <f aca="false">ABS(E185)/$P$3</f>
        <v>0</v>
      </c>
      <c r="R185" s="112" t="n">
        <f aca="false">ABS(F185)/$P$3</f>
        <v>0</v>
      </c>
      <c r="S185" s="112" t="n">
        <f aca="false">ABS(G185)/$P$3</f>
        <v>442.586</v>
      </c>
      <c r="T185" s="112" t="n">
        <f aca="false">ABS(H185)/$P$3</f>
        <v>80.109</v>
      </c>
      <c r="U185" s="112" t="n">
        <f aca="false">ABS(I185)/$P$3</f>
        <v>725.207</v>
      </c>
      <c r="V185" s="112" t="n">
        <f aca="false">ABS(J185)/$P$3</f>
        <v>450.226</v>
      </c>
      <c r="W185" s="112" t="n">
        <f aca="false">ABS(K185)/$P$3</f>
        <v>1120.557</v>
      </c>
      <c r="X185" s="112" t="n">
        <f aca="false">ABS(L185)/$P$3</f>
        <v>0</v>
      </c>
      <c r="Y185" s="112" t="n">
        <f aca="false">ABS(M185)/$P$3</f>
        <v>80.109</v>
      </c>
      <c r="Z185" s="112" t="n">
        <f aca="false">ABS(N185)/$P$3</f>
        <v>1141.283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Data'!$A$2:$B$8,MATCH(WEEKDAY('RAC V@r Total'!A186,3),'Master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H186" s="112" t="n">
        <v>0</v>
      </c>
      <c r="I186" s="112" t="n">
        <v>0</v>
      </c>
      <c r="J186" s="112" t="n">
        <v>0</v>
      </c>
      <c r="K186" s="112" t="n">
        <v>0</v>
      </c>
      <c r="L186" s="112" t="n">
        <v>0</v>
      </c>
      <c r="M186" s="112" t="n">
        <v>0</v>
      </c>
      <c r="N186" s="112" t="n">
        <v>0</v>
      </c>
      <c r="P186" s="112" t="n">
        <f aca="false">ABS(D186)/$P$3</f>
        <v>0</v>
      </c>
      <c r="Q186" s="112" t="n">
        <f aca="false">ABS(E186)/$P$3</f>
        <v>0</v>
      </c>
      <c r="R186" s="112" t="n">
        <f aca="false">ABS(F186)/$P$3</f>
        <v>0</v>
      </c>
      <c r="S186" s="112" t="n">
        <f aca="false">ABS(G186)/$P$3</f>
        <v>0</v>
      </c>
      <c r="T186" s="112" t="n">
        <f aca="false">ABS(H186)/$P$3</f>
        <v>0</v>
      </c>
      <c r="U186" s="112" t="n">
        <f aca="false">ABS(I186)/$P$3</f>
        <v>0</v>
      </c>
      <c r="V186" s="112" t="n">
        <f aca="false">ABS(J186)/$P$3</f>
        <v>0</v>
      </c>
      <c r="W186" s="112" t="n">
        <f aca="false">ABS(K186)/$P$3</f>
        <v>0</v>
      </c>
      <c r="X186" s="112" t="n">
        <f aca="false">ABS(L186)/$P$3</f>
        <v>0</v>
      </c>
      <c r="Y186" s="112" t="n">
        <f aca="false">ABS(M186)/$P$3</f>
        <v>0</v>
      </c>
      <c r="Z186" s="112" t="n">
        <f aca="false">ABS(N186)/$P$3</f>
        <v>0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Data'!$A$2:$B$8,MATCH(WEEKDAY('RAC V@r Total'!A187,3),'Master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H187" s="112" t="n">
        <v>0</v>
      </c>
      <c r="I187" s="112" t="n">
        <v>0</v>
      </c>
      <c r="J187" s="112" t="n">
        <v>0</v>
      </c>
      <c r="K187" s="112" t="n">
        <v>0</v>
      </c>
      <c r="L187" s="112" t="n">
        <v>0</v>
      </c>
      <c r="M187" s="112" t="n">
        <v>0</v>
      </c>
      <c r="N187" s="112" t="n">
        <v>0</v>
      </c>
      <c r="P187" s="112" t="n">
        <f aca="false">ABS(D187)/$P$3</f>
        <v>0</v>
      </c>
      <c r="Q187" s="112" t="n">
        <f aca="false">ABS(E187)/$P$3</f>
        <v>0</v>
      </c>
      <c r="R187" s="112" t="n">
        <f aca="false">ABS(F187)/$P$3</f>
        <v>0</v>
      </c>
      <c r="S187" s="112" t="n">
        <f aca="false">ABS(G187)/$P$3</f>
        <v>0</v>
      </c>
      <c r="T187" s="112" t="n">
        <f aca="false">ABS(H187)/$P$3</f>
        <v>0</v>
      </c>
      <c r="U187" s="112" t="n">
        <f aca="false">ABS(I187)/$P$3</f>
        <v>0</v>
      </c>
      <c r="V187" s="112" t="n">
        <f aca="false">ABS(J187)/$P$3</f>
        <v>0</v>
      </c>
      <c r="W187" s="112" t="n">
        <f aca="false">ABS(K187)/$P$3</f>
        <v>0</v>
      </c>
      <c r="X187" s="112" t="n">
        <f aca="false">ABS(L187)/$P$3</f>
        <v>0</v>
      </c>
      <c r="Y187" s="112" t="n">
        <f aca="false">ABS(M187)/$P$3</f>
        <v>0</v>
      </c>
      <c r="Z187" s="112" t="n">
        <f aca="false">ABS(N187)/$P$3</f>
        <v>0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Data'!$A$2:$B$8,MATCH(WEEKDAY('RAC V@r Total'!A188,3),'Master Data'!$A$2:$A$8,0),2)</f>
        <v>M</v>
      </c>
      <c r="D188" s="112" t="n">
        <v>-717765</v>
      </c>
      <c r="E188" s="112" t="n">
        <v>0</v>
      </c>
      <c r="F188" s="112" t="n">
        <v>0</v>
      </c>
      <c r="G188" s="112" t="n">
        <v>-437123</v>
      </c>
      <c r="H188" s="112" t="n">
        <v>-63134</v>
      </c>
      <c r="I188" s="112" t="n">
        <v>-717765</v>
      </c>
      <c r="J188" s="112" t="n">
        <v>-438729</v>
      </c>
      <c r="K188" s="112" t="n">
        <v>-1122206</v>
      </c>
      <c r="L188" s="112" t="n">
        <v>0</v>
      </c>
      <c r="M188" s="112" t="n">
        <v>-63134</v>
      </c>
      <c r="N188" s="112" t="n">
        <v>-1107993</v>
      </c>
      <c r="P188" s="112" t="n">
        <f aca="false">ABS(D188)/$P$3</f>
        <v>717.765</v>
      </c>
      <c r="Q188" s="112" t="n">
        <f aca="false">ABS(E188)/$P$3</f>
        <v>0</v>
      </c>
      <c r="R188" s="112" t="n">
        <f aca="false">ABS(F188)/$P$3</f>
        <v>0</v>
      </c>
      <c r="S188" s="112" t="n">
        <f aca="false">ABS(G188)/$P$3</f>
        <v>437.123</v>
      </c>
      <c r="T188" s="112" t="n">
        <f aca="false">ABS(H188)/$P$3</f>
        <v>63.134</v>
      </c>
      <c r="U188" s="112" t="n">
        <f aca="false">ABS(I188)/$P$3</f>
        <v>717.765</v>
      </c>
      <c r="V188" s="112" t="n">
        <f aca="false">ABS(J188)/$P$3</f>
        <v>438.729</v>
      </c>
      <c r="W188" s="112" t="n">
        <f aca="false">ABS(K188)/$P$3</f>
        <v>1122.206</v>
      </c>
      <c r="X188" s="112" t="n">
        <f aca="false">ABS(L188)/$P$3</f>
        <v>0</v>
      </c>
      <c r="Y188" s="112" t="n">
        <f aca="false">ABS(M188)/$P$3</f>
        <v>63.134</v>
      </c>
      <c r="Z188" s="112" t="n">
        <f aca="false">ABS(N188)/$P$3</f>
        <v>1107.993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Data'!$A$2:$B$8,MATCH(WEEKDAY('RAC V@r Total'!A189,3),'Master Data'!$A$2:$A$8,0),2)</f>
        <v>T</v>
      </c>
      <c r="D189" s="112" t="n">
        <v>-718192</v>
      </c>
      <c r="E189" s="112" t="n">
        <v>0</v>
      </c>
      <c r="F189" s="112" t="n">
        <v>0</v>
      </c>
      <c r="G189" s="112" t="n">
        <v>-437559</v>
      </c>
      <c r="H189" s="112" t="n">
        <v>-62979</v>
      </c>
      <c r="I189" s="112" t="n">
        <v>-718192</v>
      </c>
      <c r="J189" s="112" t="n">
        <v>-439572</v>
      </c>
      <c r="K189" s="112" t="n">
        <v>-1123148</v>
      </c>
      <c r="L189" s="112" t="n">
        <v>0</v>
      </c>
      <c r="M189" s="112" t="n">
        <v>-62979</v>
      </c>
      <c r="N189" s="112" t="n">
        <v>-1109058</v>
      </c>
      <c r="P189" s="112" t="n">
        <f aca="false">ABS(D189)/$P$3</f>
        <v>718.192</v>
      </c>
      <c r="Q189" s="112" t="n">
        <f aca="false">ABS(E189)/$P$3</f>
        <v>0</v>
      </c>
      <c r="R189" s="112" t="n">
        <f aca="false">ABS(F189)/$P$3</f>
        <v>0</v>
      </c>
      <c r="S189" s="112" t="n">
        <f aca="false">ABS(G189)/$P$3</f>
        <v>437.559</v>
      </c>
      <c r="T189" s="112" t="n">
        <f aca="false">ABS(H189)/$P$3</f>
        <v>62.979</v>
      </c>
      <c r="U189" s="112" t="n">
        <f aca="false">ABS(I189)/$P$3</f>
        <v>718.192</v>
      </c>
      <c r="V189" s="112" t="n">
        <f aca="false">ABS(J189)/$P$3</f>
        <v>439.572</v>
      </c>
      <c r="W189" s="112" t="n">
        <f aca="false">ABS(K189)/$P$3</f>
        <v>1123.148</v>
      </c>
      <c r="X189" s="112" t="n">
        <f aca="false">ABS(L189)/$P$3</f>
        <v>0</v>
      </c>
      <c r="Y189" s="112" t="n">
        <f aca="false">ABS(M189)/$P$3</f>
        <v>62.979</v>
      </c>
      <c r="Z189" s="112" t="n">
        <f aca="false">ABS(N189)/$P$3</f>
        <v>1109.058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Data'!$A$2:$B$8,MATCH(WEEKDAY('RAC V@r Total'!A190,3),'Master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H190" s="112" t="n">
        <v>0</v>
      </c>
      <c r="I190" s="112" t="n">
        <v>0</v>
      </c>
      <c r="J190" s="112" t="n">
        <v>0</v>
      </c>
      <c r="K190" s="112" t="n">
        <v>0</v>
      </c>
      <c r="L190" s="112" t="n">
        <v>0</v>
      </c>
      <c r="M190" s="112" t="n">
        <v>0</v>
      </c>
      <c r="N190" s="112" t="n">
        <v>0</v>
      </c>
      <c r="P190" s="112" t="n">
        <f aca="false">ABS(D190)/$P$3</f>
        <v>0</v>
      </c>
      <c r="Q190" s="112" t="n">
        <f aca="false">ABS(E190)/$P$3</f>
        <v>0</v>
      </c>
      <c r="R190" s="112" t="n">
        <f aca="false">ABS(F190)/$P$3</f>
        <v>0</v>
      </c>
      <c r="S190" s="112" t="n">
        <f aca="false">ABS(G190)/$P$3</f>
        <v>0</v>
      </c>
      <c r="T190" s="112" t="n">
        <f aca="false">ABS(H190)/$P$3</f>
        <v>0</v>
      </c>
      <c r="U190" s="112" t="n">
        <f aca="false">ABS(I190)/$P$3</f>
        <v>0</v>
      </c>
      <c r="V190" s="112" t="n">
        <f aca="false">ABS(J190)/$P$3</f>
        <v>0</v>
      </c>
      <c r="W190" s="112" t="n">
        <f aca="false">ABS(K190)/$P$3</f>
        <v>0</v>
      </c>
      <c r="X190" s="112" t="n">
        <f aca="false">ABS(L190)/$P$3</f>
        <v>0</v>
      </c>
      <c r="Y190" s="112" t="n">
        <f aca="false">ABS(M190)/$P$3</f>
        <v>0</v>
      </c>
      <c r="Z190" s="112" t="n">
        <f aca="false">ABS(N190)/$P$3</f>
        <v>0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Data'!$A$2:$B$8,MATCH(WEEKDAY('RAC V@r Total'!A191,3),'Master Data'!$A$2:$A$8,0),2)</f>
        <v>Th</v>
      </c>
      <c r="D191" s="112" t="n">
        <v>-614001</v>
      </c>
      <c r="E191" s="112" t="n">
        <v>0</v>
      </c>
      <c r="F191" s="112" t="n">
        <v>0</v>
      </c>
      <c r="G191" s="112" t="n">
        <v>-437509</v>
      </c>
      <c r="H191" s="112" t="n">
        <v>-62942</v>
      </c>
      <c r="I191" s="112" t="n">
        <v>-614001</v>
      </c>
      <c r="J191" s="112" t="n">
        <v>-439706</v>
      </c>
      <c r="K191" s="112" t="n">
        <v>-1015819</v>
      </c>
      <c r="L191" s="112" t="n">
        <v>0</v>
      </c>
      <c r="M191" s="112" t="n">
        <v>-62942</v>
      </c>
      <c r="N191" s="112" t="n">
        <v>-1013484</v>
      </c>
      <c r="P191" s="112" t="n">
        <f aca="false">ABS(D191)/$P$3</f>
        <v>614.001</v>
      </c>
      <c r="Q191" s="112" t="n">
        <f aca="false">ABS(E191)/$P$3</f>
        <v>0</v>
      </c>
      <c r="R191" s="112" t="n">
        <f aca="false">ABS(F191)/$P$3</f>
        <v>0</v>
      </c>
      <c r="S191" s="112" t="n">
        <f aca="false">ABS(G191)/$P$3</f>
        <v>437.509</v>
      </c>
      <c r="T191" s="112" t="n">
        <f aca="false">ABS(H191)/$P$3</f>
        <v>62.942</v>
      </c>
      <c r="U191" s="112" t="n">
        <f aca="false">ABS(I191)/$P$3</f>
        <v>614.001</v>
      </c>
      <c r="V191" s="112" t="n">
        <f aca="false">ABS(J191)/$P$3</f>
        <v>439.706</v>
      </c>
      <c r="W191" s="112" t="n">
        <f aca="false">ABS(K191)/$P$3</f>
        <v>1015.819</v>
      </c>
      <c r="X191" s="112" t="n">
        <f aca="false">ABS(L191)/$P$3</f>
        <v>0</v>
      </c>
      <c r="Y191" s="112" t="n">
        <f aca="false">ABS(M191)/$P$3</f>
        <v>62.942</v>
      </c>
      <c r="Z191" s="112" t="n">
        <f aca="false">ABS(N191)/$P$3</f>
        <v>1013.484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Data'!$A$2:$B$8,MATCH(WEEKDAY('RAC V@r Total'!A192,3),'Master Data'!$A$2:$A$8,0),2)</f>
        <v>F</v>
      </c>
      <c r="D192" s="112" t="n">
        <v>-614301</v>
      </c>
      <c r="E192" s="112" t="n">
        <v>0</v>
      </c>
      <c r="F192" s="112" t="n">
        <v>0</v>
      </c>
      <c r="G192" s="112" t="n">
        <v>-437415</v>
      </c>
      <c r="H192" s="112" t="n">
        <v>-63223</v>
      </c>
      <c r="I192" s="112" t="n">
        <v>-614301</v>
      </c>
      <c r="J192" s="112" t="n">
        <v>-439469</v>
      </c>
      <c r="K192" s="112" t="n">
        <v>-1016095</v>
      </c>
      <c r="L192" s="112" t="n">
        <v>0</v>
      </c>
      <c r="M192" s="112" t="n">
        <v>-63223</v>
      </c>
      <c r="N192" s="112" t="n">
        <v>-1013745</v>
      </c>
      <c r="P192" s="112" t="n">
        <f aca="false">ABS(D192)/$P$3</f>
        <v>614.301</v>
      </c>
      <c r="Q192" s="112" t="n">
        <f aca="false">ABS(E192)/$P$3</f>
        <v>0</v>
      </c>
      <c r="R192" s="112" t="n">
        <f aca="false">ABS(F192)/$P$3</f>
        <v>0</v>
      </c>
      <c r="S192" s="112" t="n">
        <f aca="false">ABS(G192)/$P$3</f>
        <v>437.415</v>
      </c>
      <c r="T192" s="112" t="n">
        <f aca="false">ABS(H192)/$P$3</f>
        <v>63.223</v>
      </c>
      <c r="U192" s="112" t="n">
        <f aca="false">ABS(I192)/$P$3</f>
        <v>614.301</v>
      </c>
      <c r="V192" s="112" t="n">
        <f aca="false">ABS(J192)/$P$3</f>
        <v>439.469</v>
      </c>
      <c r="W192" s="112" t="n">
        <f aca="false">ABS(K192)/$P$3</f>
        <v>1016.095</v>
      </c>
      <c r="X192" s="112" t="n">
        <f aca="false">ABS(L192)/$P$3</f>
        <v>0</v>
      </c>
      <c r="Y192" s="112" t="n">
        <f aca="false">ABS(M192)/$P$3</f>
        <v>63.223</v>
      </c>
      <c r="Z192" s="112" t="n">
        <f aca="false">ABS(N192)/$P$3</f>
        <v>1013.745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Data'!$A$2:$B$8,MATCH(WEEKDAY('RAC V@r Total'!A193,3),'Master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H193" s="112" t="n">
        <v>0</v>
      </c>
      <c r="I193" s="112" t="n">
        <v>0</v>
      </c>
      <c r="J193" s="112" t="n">
        <v>0</v>
      </c>
      <c r="K193" s="112" t="n">
        <v>0</v>
      </c>
      <c r="L193" s="112" t="n">
        <v>0</v>
      </c>
      <c r="M193" s="112" t="n">
        <v>0</v>
      </c>
      <c r="N193" s="112" t="n">
        <v>0</v>
      </c>
      <c r="P193" s="112" t="n">
        <f aca="false">ABS(D193)/$P$3</f>
        <v>0</v>
      </c>
      <c r="Q193" s="112" t="n">
        <f aca="false">ABS(E193)/$P$3</f>
        <v>0</v>
      </c>
      <c r="R193" s="112" t="n">
        <f aca="false">ABS(F193)/$P$3</f>
        <v>0</v>
      </c>
      <c r="S193" s="112" t="n">
        <f aca="false">ABS(G193)/$P$3</f>
        <v>0</v>
      </c>
      <c r="T193" s="112" t="n">
        <f aca="false">ABS(H193)/$P$3</f>
        <v>0</v>
      </c>
      <c r="U193" s="112" t="n">
        <f aca="false">ABS(I193)/$P$3</f>
        <v>0</v>
      </c>
      <c r="V193" s="112" t="n">
        <f aca="false">ABS(J193)/$P$3</f>
        <v>0</v>
      </c>
      <c r="W193" s="112" t="n">
        <f aca="false">ABS(K193)/$P$3</f>
        <v>0</v>
      </c>
      <c r="X193" s="112" t="n">
        <f aca="false">ABS(L193)/$P$3</f>
        <v>0</v>
      </c>
      <c r="Y193" s="112" t="n">
        <f aca="false">ABS(M193)/$P$3</f>
        <v>0</v>
      </c>
      <c r="Z193" s="112" t="n">
        <f aca="false">ABS(N193)/$P$3</f>
        <v>0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Data'!$A$2:$B$8,MATCH(WEEKDAY('RAC V@r Total'!A194,3),'Master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H194" s="112" t="n">
        <v>0</v>
      </c>
      <c r="I194" s="112" t="n">
        <v>0</v>
      </c>
      <c r="J194" s="112" t="n">
        <v>0</v>
      </c>
      <c r="K194" s="112" t="n">
        <v>0</v>
      </c>
      <c r="L194" s="112" t="n">
        <v>0</v>
      </c>
      <c r="M194" s="112" t="n">
        <v>0</v>
      </c>
      <c r="N194" s="112" t="n">
        <v>0</v>
      </c>
      <c r="P194" s="112" t="n">
        <f aca="false">ABS(D194)/$P$3</f>
        <v>0</v>
      </c>
      <c r="Q194" s="112" t="n">
        <f aca="false">ABS(E194)/$P$3</f>
        <v>0</v>
      </c>
      <c r="R194" s="112" t="n">
        <f aca="false">ABS(F194)/$P$3</f>
        <v>0</v>
      </c>
      <c r="S194" s="112" t="n">
        <f aca="false">ABS(G194)/$P$3</f>
        <v>0</v>
      </c>
      <c r="T194" s="112" t="n">
        <f aca="false">ABS(H194)/$P$3</f>
        <v>0</v>
      </c>
      <c r="U194" s="112" t="n">
        <f aca="false">ABS(I194)/$P$3</f>
        <v>0</v>
      </c>
      <c r="V194" s="112" t="n">
        <f aca="false">ABS(J194)/$P$3</f>
        <v>0</v>
      </c>
      <c r="W194" s="112" t="n">
        <f aca="false">ABS(K194)/$P$3</f>
        <v>0</v>
      </c>
      <c r="X194" s="112" t="n">
        <f aca="false">ABS(L194)/$P$3</f>
        <v>0</v>
      </c>
      <c r="Y194" s="112" t="n">
        <f aca="false">ABS(M194)/$P$3</f>
        <v>0</v>
      </c>
      <c r="Z194" s="112" t="n">
        <f aca="false">ABS(N194)/$P$3</f>
        <v>0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Data'!$A$2:$B$8,MATCH(WEEKDAY('RAC V@r Total'!A195,3),'Master Data'!$A$2:$A$8,0),2)</f>
        <v>M</v>
      </c>
      <c r="D195" s="112" t="n">
        <v>-615201</v>
      </c>
      <c r="E195" s="112" t="n">
        <v>0</v>
      </c>
      <c r="F195" s="112" t="n">
        <v>0</v>
      </c>
      <c r="G195" s="112" t="n">
        <v>-438176</v>
      </c>
      <c r="H195" s="112" t="n">
        <v>-63301</v>
      </c>
      <c r="I195" s="112" t="n">
        <v>-615201</v>
      </c>
      <c r="J195" s="112" t="n">
        <v>-440935</v>
      </c>
      <c r="K195" s="112" t="n">
        <v>-1018514</v>
      </c>
      <c r="L195" s="112" t="n">
        <v>0</v>
      </c>
      <c r="M195" s="112" t="n">
        <v>-63301</v>
      </c>
      <c r="N195" s="112" t="n">
        <v>-1015696</v>
      </c>
      <c r="P195" s="112" t="n">
        <f aca="false">ABS(D195)/$P$3</f>
        <v>615.201</v>
      </c>
      <c r="Q195" s="112" t="n">
        <f aca="false">ABS(E195)/$P$3</f>
        <v>0</v>
      </c>
      <c r="R195" s="112" t="n">
        <f aca="false">ABS(F195)/$P$3</f>
        <v>0</v>
      </c>
      <c r="S195" s="112" t="n">
        <f aca="false">ABS(G195)/$P$3</f>
        <v>438.176</v>
      </c>
      <c r="T195" s="112" t="n">
        <f aca="false">ABS(H195)/$P$3</f>
        <v>63.301</v>
      </c>
      <c r="U195" s="112" t="n">
        <f aca="false">ABS(I195)/$P$3</f>
        <v>615.201</v>
      </c>
      <c r="V195" s="112" t="n">
        <f aca="false">ABS(J195)/$P$3</f>
        <v>440.935</v>
      </c>
      <c r="W195" s="112" t="n">
        <f aca="false">ABS(K195)/$P$3</f>
        <v>1018.514</v>
      </c>
      <c r="X195" s="112" t="n">
        <f aca="false">ABS(L195)/$P$3</f>
        <v>0</v>
      </c>
      <c r="Y195" s="112" t="n">
        <f aca="false">ABS(M195)/$P$3</f>
        <v>63.301</v>
      </c>
      <c r="Z195" s="112" t="n">
        <f aca="false">ABS(N195)/$P$3</f>
        <v>1015.696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Data'!$A$2:$B$8,MATCH(WEEKDAY('RAC V@r Total'!A196,3),'Master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H196" s="112" t="n">
        <v>0</v>
      </c>
      <c r="I196" s="112" t="n">
        <v>0</v>
      </c>
      <c r="J196" s="112" t="n">
        <v>0</v>
      </c>
      <c r="K196" s="112" t="n">
        <v>0</v>
      </c>
      <c r="L196" s="112" t="n">
        <v>0</v>
      </c>
      <c r="M196" s="112" t="n">
        <v>0</v>
      </c>
      <c r="N196" s="112" t="n">
        <v>0</v>
      </c>
      <c r="P196" s="112" t="n">
        <f aca="false">ABS(D196)/$P$3</f>
        <v>0</v>
      </c>
      <c r="Q196" s="112" t="n">
        <f aca="false">ABS(E196)/$P$3</f>
        <v>0</v>
      </c>
      <c r="R196" s="112" t="n">
        <f aca="false">ABS(F196)/$P$3</f>
        <v>0</v>
      </c>
      <c r="S196" s="112" t="n">
        <f aca="false">ABS(G196)/$P$3</f>
        <v>0</v>
      </c>
      <c r="T196" s="112" t="n">
        <f aca="false">ABS(H196)/$P$3</f>
        <v>0</v>
      </c>
      <c r="U196" s="112" t="n">
        <f aca="false">ABS(I196)/$P$3</f>
        <v>0</v>
      </c>
      <c r="V196" s="112" t="n">
        <f aca="false">ABS(J196)/$P$3</f>
        <v>0</v>
      </c>
      <c r="W196" s="112" t="n">
        <f aca="false">ABS(K196)/$P$3</f>
        <v>0</v>
      </c>
      <c r="X196" s="112" t="n">
        <f aca="false">ABS(L196)/$P$3</f>
        <v>0</v>
      </c>
      <c r="Y196" s="112" t="n">
        <f aca="false">ABS(M196)/$P$3</f>
        <v>0</v>
      </c>
      <c r="Z196" s="112" t="n">
        <f aca="false">ABS(N196)/$P$3</f>
        <v>0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Data'!$A$2:$B$8,MATCH(WEEKDAY('RAC V@r Total'!A197,3),'Master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H197" s="112" t="n">
        <v>0</v>
      </c>
      <c r="I197" s="112" t="n">
        <v>0</v>
      </c>
      <c r="J197" s="112" t="n">
        <v>0</v>
      </c>
      <c r="K197" s="112" t="n">
        <v>0</v>
      </c>
      <c r="L197" s="112" t="n">
        <v>0</v>
      </c>
      <c r="M197" s="112" t="n">
        <v>0</v>
      </c>
      <c r="N197" s="112" t="n">
        <v>0</v>
      </c>
      <c r="P197" s="112" t="n">
        <f aca="false">ABS(D197)/$P$3</f>
        <v>0</v>
      </c>
      <c r="Q197" s="112" t="n">
        <f aca="false">ABS(E197)/$P$3</f>
        <v>0</v>
      </c>
      <c r="R197" s="112" t="n">
        <f aca="false">ABS(F197)/$P$3</f>
        <v>0</v>
      </c>
      <c r="S197" s="112" t="n">
        <f aca="false">ABS(G197)/$P$3</f>
        <v>0</v>
      </c>
      <c r="T197" s="112" t="n">
        <f aca="false">ABS(H197)/$P$3</f>
        <v>0</v>
      </c>
      <c r="U197" s="112" t="n">
        <f aca="false">ABS(I197)/$P$3</f>
        <v>0</v>
      </c>
      <c r="V197" s="112" t="n">
        <f aca="false">ABS(J197)/$P$3</f>
        <v>0</v>
      </c>
      <c r="W197" s="112" t="n">
        <f aca="false">ABS(K197)/$P$3</f>
        <v>0</v>
      </c>
      <c r="X197" s="112" t="n">
        <f aca="false">ABS(L197)/$P$3</f>
        <v>0</v>
      </c>
      <c r="Y197" s="112" t="n">
        <f aca="false">ABS(M197)/$P$3</f>
        <v>0</v>
      </c>
      <c r="Z197" s="112" t="n">
        <f aca="false">ABS(N197)/$P$3</f>
        <v>0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Data'!$A$2:$B$8,MATCH(WEEKDAY('RAC V@r Total'!A198,3),'Master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H198" s="112" t="n">
        <v>0</v>
      </c>
      <c r="I198" s="112" t="n">
        <v>0</v>
      </c>
      <c r="J198" s="112" t="n">
        <v>0</v>
      </c>
      <c r="K198" s="112" t="n">
        <v>0</v>
      </c>
      <c r="L198" s="112" t="n">
        <v>0</v>
      </c>
      <c r="M198" s="112" t="n">
        <v>0</v>
      </c>
      <c r="N198" s="112" t="n">
        <v>0</v>
      </c>
      <c r="P198" s="112" t="n">
        <f aca="false">ABS(D198)/$P$3</f>
        <v>0</v>
      </c>
      <c r="Q198" s="112" t="n">
        <f aca="false">ABS(E198)/$P$3</f>
        <v>0</v>
      </c>
      <c r="R198" s="112" t="n">
        <f aca="false">ABS(F198)/$P$3</f>
        <v>0</v>
      </c>
      <c r="S198" s="112" t="n">
        <f aca="false">ABS(G198)/$P$3</f>
        <v>0</v>
      </c>
      <c r="T198" s="112" t="n">
        <f aca="false">ABS(H198)/$P$3</f>
        <v>0</v>
      </c>
      <c r="U198" s="112" t="n">
        <f aca="false">ABS(I198)/$P$3</f>
        <v>0</v>
      </c>
      <c r="V198" s="112" t="n">
        <f aca="false">ABS(J198)/$P$3</f>
        <v>0</v>
      </c>
      <c r="W198" s="112" t="n">
        <f aca="false">ABS(K198)/$P$3</f>
        <v>0</v>
      </c>
      <c r="X198" s="112" t="n">
        <f aca="false">ABS(L198)/$P$3</f>
        <v>0</v>
      </c>
      <c r="Y198" s="112" t="n">
        <f aca="false">ABS(M198)/$P$3</f>
        <v>0</v>
      </c>
      <c r="Z198" s="112" t="n">
        <f aca="false">ABS(N198)/$P$3</f>
        <v>0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Data'!$A$2:$B$8,MATCH(WEEKDAY('RAC V@r Total'!A199,3),'Master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H199" s="112" t="n">
        <v>0</v>
      </c>
      <c r="I199" s="112" t="n">
        <v>0</v>
      </c>
      <c r="J199" s="112" t="n">
        <v>0</v>
      </c>
      <c r="K199" s="112" t="n">
        <v>0</v>
      </c>
      <c r="L199" s="112" t="n">
        <v>0</v>
      </c>
      <c r="M199" s="112" t="n">
        <v>0</v>
      </c>
      <c r="N199" s="112" t="n">
        <v>0</v>
      </c>
      <c r="P199" s="112" t="n">
        <f aca="false">ABS(D199)/$P$3</f>
        <v>0</v>
      </c>
      <c r="Q199" s="112" t="n">
        <f aca="false">ABS(E199)/$P$3</f>
        <v>0</v>
      </c>
      <c r="R199" s="112" t="n">
        <f aca="false">ABS(F199)/$P$3</f>
        <v>0</v>
      </c>
      <c r="S199" s="112" t="n">
        <f aca="false">ABS(G199)/$P$3</f>
        <v>0</v>
      </c>
      <c r="T199" s="112" t="n">
        <f aca="false">ABS(H199)/$P$3</f>
        <v>0</v>
      </c>
      <c r="U199" s="112" t="n">
        <f aca="false">ABS(I199)/$P$3</f>
        <v>0</v>
      </c>
      <c r="V199" s="112" t="n">
        <f aca="false">ABS(J199)/$P$3</f>
        <v>0</v>
      </c>
      <c r="W199" s="112" t="n">
        <f aca="false">ABS(K199)/$P$3</f>
        <v>0</v>
      </c>
      <c r="X199" s="112" t="n">
        <f aca="false">ABS(L199)/$P$3</f>
        <v>0</v>
      </c>
      <c r="Y199" s="112" t="n">
        <f aca="false">ABS(M199)/$P$3</f>
        <v>0</v>
      </c>
      <c r="Z199" s="112" t="n">
        <f aca="false">ABS(N199)/$P$3</f>
        <v>0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Data'!$A$2:$B$8,MATCH(WEEKDAY('RAC V@r Total'!A200,3),'Master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H200" s="112" t="n">
        <v>0</v>
      </c>
      <c r="I200" s="112" t="n">
        <v>0</v>
      </c>
      <c r="J200" s="112" t="n">
        <v>0</v>
      </c>
      <c r="K200" s="112" t="n">
        <v>0</v>
      </c>
      <c r="L200" s="112" t="n">
        <v>0</v>
      </c>
      <c r="M200" s="112" t="n">
        <v>0</v>
      </c>
      <c r="N200" s="112" t="n">
        <v>0</v>
      </c>
      <c r="P200" s="112" t="n">
        <f aca="false">ABS(D200)/$P$3</f>
        <v>0</v>
      </c>
      <c r="Q200" s="112" t="n">
        <f aca="false">ABS(E200)/$P$3</f>
        <v>0</v>
      </c>
      <c r="R200" s="112" t="n">
        <f aca="false">ABS(F200)/$P$3</f>
        <v>0</v>
      </c>
      <c r="S200" s="112" t="n">
        <f aca="false">ABS(G200)/$P$3</f>
        <v>0</v>
      </c>
      <c r="T200" s="112" t="n">
        <f aca="false">ABS(H200)/$P$3</f>
        <v>0</v>
      </c>
      <c r="U200" s="112" t="n">
        <f aca="false">ABS(I200)/$P$3</f>
        <v>0</v>
      </c>
      <c r="V200" s="112" t="n">
        <f aca="false">ABS(J200)/$P$3</f>
        <v>0</v>
      </c>
      <c r="W200" s="112" t="n">
        <f aca="false">ABS(K200)/$P$3</f>
        <v>0</v>
      </c>
      <c r="X200" s="112" t="n">
        <f aca="false">ABS(L200)/$P$3</f>
        <v>0</v>
      </c>
      <c r="Y200" s="112" t="n">
        <f aca="false">ABS(M200)/$P$3</f>
        <v>0</v>
      </c>
      <c r="Z200" s="112" t="n">
        <f aca="false">ABS(N200)/$P$3</f>
        <v>0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Data'!$A$2:$B$8,MATCH(WEEKDAY('RAC V@r Total'!A201,3),'Master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H201" s="112" t="n">
        <v>0</v>
      </c>
      <c r="I201" s="112" t="n">
        <v>0</v>
      </c>
      <c r="J201" s="112" t="n">
        <v>0</v>
      </c>
      <c r="K201" s="112" t="n">
        <v>0</v>
      </c>
      <c r="L201" s="112" t="n">
        <v>0</v>
      </c>
      <c r="M201" s="112" t="n">
        <v>0</v>
      </c>
      <c r="N201" s="112" t="n">
        <v>0</v>
      </c>
      <c r="P201" s="112" t="n">
        <f aca="false">ABS(D201)/$P$3</f>
        <v>0</v>
      </c>
      <c r="Q201" s="112" t="n">
        <f aca="false">ABS(E201)/$P$3</f>
        <v>0</v>
      </c>
      <c r="R201" s="112" t="n">
        <f aca="false">ABS(F201)/$P$3</f>
        <v>0</v>
      </c>
      <c r="S201" s="112" t="n">
        <f aca="false">ABS(G201)/$P$3</f>
        <v>0</v>
      </c>
      <c r="T201" s="112" t="n">
        <f aca="false">ABS(H201)/$P$3</f>
        <v>0</v>
      </c>
      <c r="U201" s="112" t="n">
        <f aca="false">ABS(I201)/$P$3</f>
        <v>0</v>
      </c>
      <c r="V201" s="112" t="n">
        <f aca="false">ABS(J201)/$P$3</f>
        <v>0</v>
      </c>
      <c r="W201" s="112" t="n">
        <f aca="false">ABS(K201)/$P$3</f>
        <v>0</v>
      </c>
      <c r="X201" s="112" t="n">
        <f aca="false">ABS(L201)/$P$3</f>
        <v>0</v>
      </c>
      <c r="Y201" s="112" t="n">
        <f aca="false">ABS(M201)/$P$3</f>
        <v>0</v>
      </c>
      <c r="Z201" s="112" t="n">
        <f aca="false">ABS(N201)/$P$3</f>
        <v>0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Data'!$A$2:$B$8,MATCH(WEEKDAY('RAC V@r Total'!A202,3),'Master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H202" s="112" t="n">
        <v>0</v>
      </c>
      <c r="I202" s="112" t="n">
        <v>0</v>
      </c>
      <c r="J202" s="112" t="n">
        <v>0</v>
      </c>
      <c r="K202" s="112" t="n">
        <v>0</v>
      </c>
      <c r="L202" s="112" t="n">
        <v>0</v>
      </c>
      <c r="M202" s="112" t="n">
        <v>0</v>
      </c>
      <c r="N202" s="112" t="n">
        <v>0</v>
      </c>
      <c r="P202" s="112" t="n">
        <f aca="false">ABS(D202)/$P$3</f>
        <v>0</v>
      </c>
      <c r="Q202" s="112" t="n">
        <f aca="false">ABS(E202)/$P$3</f>
        <v>0</v>
      </c>
      <c r="R202" s="112" t="n">
        <f aca="false">ABS(F202)/$P$3</f>
        <v>0</v>
      </c>
      <c r="S202" s="112" t="n">
        <f aca="false">ABS(G202)/$P$3</f>
        <v>0</v>
      </c>
      <c r="T202" s="112" t="n">
        <f aca="false">ABS(H202)/$P$3</f>
        <v>0</v>
      </c>
      <c r="U202" s="112" t="n">
        <f aca="false">ABS(I202)/$P$3</f>
        <v>0</v>
      </c>
      <c r="V202" s="112" t="n">
        <f aca="false">ABS(J202)/$P$3</f>
        <v>0</v>
      </c>
      <c r="W202" s="112" t="n">
        <f aca="false">ABS(K202)/$P$3</f>
        <v>0</v>
      </c>
      <c r="X202" s="112" t="n">
        <f aca="false">ABS(L202)/$P$3</f>
        <v>0</v>
      </c>
      <c r="Y202" s="112" t="n">
        <f aca="false">ABS(M202)/$P$3</f>
        <v>0</v>
      </c>
      <c r="Z202" s="112" t="n">
        <f aca="false">ABS(N202)/$P$3</f>
        <v>0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Data'!$A$2:$B$8,MATCH(WEEKDAY('RAC V@r Total'!A203,3),'Master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H203" s="112" t="n">
        <v>0</v>
      </c>
      <c r="I203" s="112" t="n">
        <v>0</v>
      </c>
      <c r="J203" s="112" t="n">
        <v>0</v>
      </c>
      <c r="K203" s="112" t="n">
        <v>0</v>
      </c>
      <c r="L203" s="112" t="n">
        <v>0</v>
      </c>
      <c r="M203" s="112" t="n">
        <v>0</v>
      </c>
      <c r="N203" s="112" t="n">
        <v>0</v>
      </c>
      <c r="P203" s="112" t="n">
        <f aca="false">ABS(D203)/$P$3</f>
        <v>0</v>
      </c>
      <c r="Q203" s="112" t="n">
        <f aca="false">ABS(E203)/$P$3</f>
        <v>0</v>
      </c>
      <c r="R203" s="112" t="n">
        <f aca="false">ABS(F203)/$P$3</f>
        <v>0</v>
      </c>
      <c r="S203" s="112" t="n">
        <f aca="false">ABS(G203)/$P$3</f>
        <v>0</v>
      </c>
      <c r="T203" s="112" t="n">
        <f aca="false">ABS(H203)/$P$3</f>
        <v>0</v>
      </c>
      <c r="U203" s="112" t="n">
        <f aca="false">ABS(I203)/$P$3</f>
        <v>0</v>
      </c>
      <c r="V203" s="112" t="n">
        <f aca="false">ABS(J203)/$P$3</f>
        <v>0</v>
      </c>
      <c r="W203" s="112" t="n">
        <f aca="false">ABS(K203)/$P$3</f>
        <v>0</v>
      </c>
      <c r="X203" s="112" t="n">
        <f aca="false">ABS(L203)/$P$3</f>
        <v>0</v>
      </c>
      <c r="Y203" s="112" t="n">
        <f aca="false">ABS(M203)/$P$3</f>
        <v>0</v>
      </c>
      <c r="Z203" s="112" t="n">
        <f aca="false">ABS(N203)/$P$3</f>
        <v>0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Data'!$A$2:$B$8,MATCH(WEEKDAY('RAC V@r Total'!A204,3),'Master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H204" s="112" t="n">
        <v>0</v>
      </c>
      <c r="I204" s="112" t="n">
        <v>0</v>
      </c>
      <c r="J204" s="112" t="n">
        <v>0</v>
      </c>
      <c r="K204" s="112" t="n">
        <v>0</v>
      </c>
      <c r="L204" s="112" t="n">
        <v>0</v>
      </c>
      <c r="M204" s="112" t="n">
        <v>0</v>
      </c>
      <c r="N204" s="112" t="n">
        <v>0</v>
      </c>
      <c r="P204" s="112" t="n">
        <f aca="false">ABS(D204)/$P$3</f>
        <v>0</v>
      </c>
      <c r="Q204" s="112" t="n">
        <f aca="false">ABS(E204)/$P$3</f>
        <v>0</v>
      </c>
      <c r="R204" s="112" t="n">
        <f aca="false">ABS(F204)/$P$3</f>
        <v>0</v>
      </c>
      <c r="S204" s="112" t="n">
        <f aca="false">ABS(G204)/$P$3</f>
        <v>0</v>
      </c>
      <c r="T204" s="112" t="n">
        <f aca="false">ABS(H204)/$P$3</f>
        <v>0</v>
      </c>
      <c r="U204" s="112" t="n">
        <f aca="false">ABS(I204)/$P$3</f>
        <v>0</v>
      </c>
      <c r="V204" s="112" t="n">
        <f aca="false">ABS(J204)/$P$3</f>
        <v>0</v>
      </c>
      <c r="W204" s="112" t="n">
        <f aca="false">ABS(K204)/$P$3</f>
        <v>0</v>
      </c>
      <c r="X204" s="112" t="n">
        <f aca="false">ABS(L204)/$P$3</f>
        <v>0</v>
      </c>
      <c r="Y204" s="112" t="n">
        <f aca="false">ABS(M204)/$P$3</f>
        <v>0</v>
      </c>
      <c r="Z204" s="112" t="n">
        <f aca="false">ABS(N204)/$P$3</f>
        <v>0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Data'!$A$2:$B$8,MATCH(WEEKDAY('RAC V@r Total'!A205,3),'Master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H205" s="112" t="n">
        <v>0</v>
      </c>
      <c r="I205" s="112" t="n">
        <v>0</v>
      </c>
      <c r="J205" s="112" t="n">
        <v>0</v>
      </c>
      <c r="K205" s="112" t="n">
        <v>0</v>
      </c>
      <c r="L205" s="112" t="n">
        <v>0</v>
      </c>
      <c r="M205" s="112" t="n">
        <v>0</v>
      </c>
      <c r="N205" s="112" t="n">
        <v>0</v>
      </c>
      <c r="P205" s="112" t="n">
        <f aca="false">ABS(D205)/$P$3</f>
        <v>0</v>
      </c>
      <c r="Q205" s="112" t="n">
        <f aca="false">ABS(E205)/$P$3</f>
        <v>0</v>
      </c>
      <c r="R205" s="112" t="n">
        <f aca="false">ABS(F205)/$P$3</f>
        <v>0</v>
      </c>
      <c r="S205" s="112" t="n">
        <f aca="false">ABS(G205)/$P$3</f>
        <v>0</v>
      </c>
      <c r="T205" s="112" t="n">
        <f aca="false">ABS(H205)/$P$3</f>
        <v>0</v>
      </c>
      <c r="U205" s="112" t="n">
        <f aca="false">ABS(I205)/$P$3</f>
        <v>0</v>
      </c>
      <c r="V205" s="112" t="n">
        <f aca="false">ABS(J205)/$P$3</f>
        <v>0</v>
      </c>
      <c r="W205" s="112" t="n">
        <f aca="false">ABS(K205)/$P$3</f>
        <v>0</v>
      </c>
      <c r="X205" s="112" t="n">
        <f aca="false">ABS(L205)/$P$3</f>
        <v>0</v>
      </c>
      <c r="Y205" s="112" t="n">
        <f aca="false">ABS(M205)/$P$3</f>
        <v>0</v>
      </c>
      <c r="Z205" s="112" t="n">
        <f aca="false">ABS(N205)/$P$3</f>
        <v>0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Data'!$A$2:$B$8,MATCH(WEEKDAY('RAC V@r Total'!A206,3),'Master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H206" s="112" t="n">
        <v>0</v>
      </c>
      <c r="I206" s="112" t="n">
        <v>0</v>
      </c>
      <c r="J206" s="112" t="n">
        <v>0</v>
      </c>
      <c r="K206" s="112" t="n">
        <v>0</v>
      </c>
      <c r="L206" s="112" t="n">
        <v>0</v>
      </c>
      <c r="M206" s="112" t="n">
        <v>0</v>
      </c>
      <c r="N206" s="112" t="n">
        <v>0</v>
      </c>
      <c r="P206" s="112" t="n">
        <f aca="false">ABS(D206)/$P$3</f>
        <v>0</v>
      </c>
      <c r="Q206" s="112" t="n">
        <f aca="false">ABS(E206)/$P$3</f>
        <v>0</v>
      </c>
      <c r="R206" s="112" t="n">
        <f aca="false">ABS(F206)/$P$3</f>
        <v>0</v>
      </c>
      <c r="S206" s="112" t="n">
        <f aca="false">ABS(G206)/$P$3</f>
        <v>0</v>
      </c>
      <c r="T206" s="112" t="n">
        <f aca="false">ABS(H206)/$P$3</f>
        <v>0</v>
      </c>
      <c r="U206" s="112" t="n">
        <f aca="false">ABS(I206)/$P$3</f>
        <v>0</v>
      </c>
      <c r="V206" s="112" t="n">
        <f aca="false">ABS(J206)/$P$3</f>
        <v>0</v>
      </c>
      <c r="W206" s="112" t="n">
        <f aca="false">ABS(K206)/$P$3</f>
        <v>0</v>
      </c>
      <c r="X206" s="112" t="n">
        <f aca="false">ABS(L206)/$P$3</f>
        <v>0</v>
      </c>
      <c r="Y206" s="112" t="n">
        <f aca="false">ABS(M206)/$P$3</f>
        <v>0</v>
      </c>
      <c r="Z206" s="112" t="n">
        <f aca="false">ABS(N206)/$P$3</f>
        <v>0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Data'!$A$2:$B$8,MATCH(WEEKDAY('RAC V@r Total'!A207,3),'Master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H207" s="112" t="n">
        <v>0</v>
      </c>
      <c r="I207" s="112" t="n">
        <v>0</v>
      </c>
      <c r="J207" s="112" t="n">
        <v>0</v>
      </c>
      <c r="K207" s="112" t="n">
        <v>0</v>
      </c>
      <c r="L207" s="112" t="n">
        <v>0</v>
      </c>
      <c r="M207" s="112" t="n">
        <v>0</v>
      </c>
      <c r="N207" s="112" t="n">
        <v>0</v>
      </c>
      <c r="P207" s="112" t="n">
        <f aca="false">ABS(D207)/$P$3</f>
        <v>0</v>
      </c>
      <c r="Q207" s="112" t="n">
        <f aca="false">ABS(E207)/$P$3</f>
        <v>0</v>
      </c>
      <c r="R207" s="112" t="n">
        <f aca="false">ABS(F207)/$P$3</f>
        <v>0</v>
      </c>
      <c r="S207" s="112" t="n">
        <f aca="false">ABS(G207)/$P$3</f>
        <v>0</v>
      </c>
      <c r="T207" s="112" t="n">
        <f aca="false">ABS(H207)/$P$3</f>
        <v>0</v>
      </c>
      <c r="U207" s="112" t="n">
        <f aca="false">ABS(I207)/$P$3</f>
        <v>0</v>
      </c>
      <c r="V207" s="112" t="n">
        <f aca="false">ABS(J207)/$P$3</f>
        <v>0</v>
      </c>
      <c r="W207" s="112" t="n">
        <f aca="false">ABS(K207)/$P$3</f>
        <v>0</v>
      </c>
      <c r="X207" s="112" t="n">
        <f aca="false">ABS(L207)/$P$3</f>
        <v>0</v>
      </c>
      <c r="Y207" s="112" t="n">
        <f aca="false">ABS(M207)/$P$3</f>
        <v>0</v>
      </c>
      <c r="Z207" s="112" t="n">
        <f aca="false">ABS(N207)/$P$3</f>
        <v>0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Data'!$A$2:$B$8,MATCH(WEEKDAY('RAC V@r Total'!A208,3),'Master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H208" s="112" t="n">
        <v>0</v>
      </c>
      <c r="I208" s="112" t="n">
        <v>0</v>
      </c>
      <c r="J208" s="112" t="n">
        <v>0</v>
      </c>
      <c r="K208" s="112" t="n">
        <v>0</v>
      </c>
      <c r="L208" s="112" t="n">
        <v>0</v>
      </c>
      <c r="M208" s="112" t="n">
        <v>0</v>
      </c>
      <c r="N208" s="112" t="n">
        <v>0</v>
      </c>
      <c r="P208" s="112" t="n">
        <f aca="false">ABS(D208)/$P$3</f>
        <v>0</v>
      </c>
      <c r="Q208" s="112" t="n">
        <f aca="false">ABS(E208)/$P$3</f>
        <v>0</v>
      </c>
      <c r="R208" s="112" t="n">
        <f aca="false">ABS(F208)/$P$3</f>
        <v>0</v>
      </c>
      <c r="S208" s="112" t="n">
        <f aca="false">ABS(G208)/$P$3</f>
        <v>0</v>
      </c>
      <c r="T208" s="112" t="n">
        <f aca="false">ABS(H208)/$P$3</f>
        <v>0</v>
      </c>
      <c r="U208" s="112" t="n">
        <f aca="false">ABS(I208)/$P$3</f>
        <v>0</v>
      </c>
      <c r="V208" s="112" t="n">
        <f aca="false">ABS(J208)/$P$3</f>
        <v>0</v>
      </c>
      <c r="W208" s="112" t="n">
        <f aca="false">ABS(K208)/$P$3</f>
        <v>0</v>
      </c>
      <c r="X208" s="112" t="n">
        <f aca="false">ABS(L208)/$P$3</f>
        <v>0</v>
      </c>
      <c r="Y208" s="112" t="n">
        <f aca="false">ABS(M208)/$P$3</f>
        <v>0</v>
      </c>
      <c r="Z208" s="112" t="n">
        <f aca="false">ABS(N208)/$P$3</f>
        <v>0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Data'!$A$2:$B$8,MATCH(WEEKDAY('RAC V@r Total'!A209,3),'Master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H209" s="112" t="n">
        <v>0</v>
      </c>
      <c r="I209" s="112" t="n">
        <v>0</v>
      </c>
      <c r="J209" s="112" t="n">
        <v>0</v>
      </c>
      <c r="K209" s="112" t="n">
        <v>0</v>
      </c>
      <c r="L209" s="112" t="n">
        <v>0</v>
      </c>
      <c r="M209" s="112" t="n">
        <v>0</v>
      </c>
      <c r="N209" s="112" t="n">
        <v>0</v>
      </c>
      <c r="P209" s="112" t="n">
        <f aca="false">ABS(D209)/$P$3</f>
        <v>0</v>
      </c>
      <c r="Q209" s="112" t="n">
        <f aca="false">ABS(E209)/$P$3</f>
        <v>0</v>
      </c>
      <c r="R209" s="112" t="n">
        <f aca="false">ABS(F209)/$P$3</f>
        <v>0</v>
      </c>
      <c r="S209" s="112" t="n">
        <f aca="false">ABS(G209)/$P$3</f>
        <v>0</v>
      </c>
      <c r="T209" s="112" t="n">
        <f aca="false">ABS(H209)/$P$3</f>
        <v>0</v>
      </c>
      <c r="U209" s="112" t="n">
        <f aca="false">ABS(I209)/$P$3</f>
        <v>0</v>
      </c>
      <c r="V209" s="112" t="n">
        <f aca="false">ABS(J209)/$P$3</f>
        <v>0</v>
      </c>
      <c r="W209" s="112" t="n">
        <f aca="false">ABS(K209)/$P$3</f>
        <v>0</v>
      </c>
      <c r="X209" s="112" t="n">
        <f aca="false">ABS(L209)/$P$3</f>
        <v>0</v>
      </c>
      <c r="Y209" s="112" t="n">
        <f aca="false">ABS(M209)/$P$3</f>
        <v>0</v>
      </c>
      <c r="Z209" s="112" t="n">
        <f aca="false">ABS(N209)/$P$3</f>
        <v>0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Data'!$A$2:$B$8,MATCH(WEEKDAY('RAC V@r Total'!A210,3),'Master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H210" s="112" t="n">
        <v>0</v>
      </c>
      <c r="I210" s="112" t="n">
        <v>0</v>
      </c>
      <c r="J210" s="112" t="n">
        <v>0</v>
      </c>
      <c r="K210" s="112" t="n">
        <v>0</v>
      </c>
      <c r="L210" s="112" t="n">
        <v>0</v>
      </c>
      <c r="M210" s="112" t="n">
        <v>0</v>
      </c>
      <c r="N210" s="112" t="n">
        <v>0</v>
      </c>
      <c r="P210" s="112" t="n">
        <f aca="false">ABS(D210)/$P$3</f>
        <v>0</v>
      </c>
      <c r="Q210" s="112" t="n">
        <f aca="false">ABS(E210)/$P$3</f>
        <v>0</v>
      </c>
      <c r="R210" s="112" t="n">
        <f aca="false">ABS(F210)/$P$3</f>
        <v>0</v>
      </c>
      <c r="S210" s="112" t="n">
        <f aca="false">ABS(G210)/$P$3</f>
        <v>0</v>
      </c>
      <c r="T210" s="112" t="n">
        <f aca="false">ABS(H210)/$P$3</f>
        <v>0</v>
      </c>
      <c r="U210" s="112" t="n">
        <f aca="false">ABS(I210)/$P$3</f>
        <v>0</v>
      </c>
      <c r="V210" s="112" t="n">
        <f aca="false">ABS(J210)/$P$3</f>
        <v>0</v>
      </c>
      <c r="W210" s="112" t="n">
        <f aca="false">ABS(K210)/$P$3</f>
        <v>0</v>
      </c>
      <c r="X210" s="112" t="n">
        <f aca="false">ABS(L210)/$P$3</f>
        <v>0</v>
      </c>
      <c r="Y210" s="112" t="n">
        <f aca="false">ABS(M210)/$P$3</f>
        <v>0</v>
      </c>
      <c r="Z210" s="112" t="n">
        <f aca="false">ABS(N210)/$P$3</f>
        <v>0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Data'!$A$2:$B$8,MATCH(WEEKDAY('RAC V@r Total'!A211,3),'Master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H211" s="112" t="n">
        <v>0</v>
      </c>
      <c r="I211" s="112" t="n">
        <v>0</v>
      </c>
      <c r="J211" s="112" t="n">
        <v>0</v>
      </c>
      <c r="K211" s="112" t="n">
        <v>0</v>
      </c>
      <c r="L211" s="112" t="n">
        <v>0</v>
      </c>
      <c r="M211" s="112" t="n">
        <v>0</v>
      </c>
      <c r="N211" s="112" t="n">
        <v>0</v>
      </c>
      <c r="P211" s="112" t="n">
        <f aca="false">ABS(D211)/$P$3</f>
        <v>0</v>
      </c>
      <c r="Q211" s="112" t="n">
        <f aca="false">ABS(E211)/$P$3</f>
        <v>0</v>
      </c>
      <c r="R211" s="112" t="n">
        <f aca="false">ABS(F211)/$P$3</f>
        <v>0</v>
      </c>
      <c r="S211" s="112" t="n">
        <f aca="false">ABS(G211)/$P$3</f>
        <v>0</v>
      </c>
      <c r="T211" s="112" t="n">
        <f aca="false">ABS(H211)/$P$3</f>
        <v>0</v>
      </c>
      <c r="U211" s="112" t="n">
        <f aca="false">ABS(I211)/$P$3</f>
        <v>0</v>
      </c>
      <c r="V211" s="112" t="n">
        <f aca="false">ABS(J211)/$P$3</f>
        <v>0</v>
      </c>
      <c r="W211" s="112" t="n">
        <f aca="false">ABS(K211)/$P$3</f>
        <v>0</v>
      </c>
      <c r="X211" s="112" t="n">
        <f aca="false">ABS(L211)/$P$3</f>
        <v>0</v>
      </c>
      <c r="Y211" s="112" t="n">
        <f aca="false">ABS(M211)/$P$3</f>
        <v>0</v>
      </c>
      <c r="Z211" s="112" t="n">
        <f aca="false">ABS(N211)/$P$3</f>
        <v>0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Data'!$A$2:$B$8,MATCH(WEEKDAY('RAC V@r Total'!A212,3),'Master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H212" s="112" t="n">
        <v>0</v>
      </c>
      <c r="I212" s="112" t="n">
        <v>0</v>
      </c>
      <c r="J212" s="112" t="n">
        <v>0</v>
      </c>
      <c r="K212" s="112" t="n">
        <v>0</v>
      </c>
      <c r="L212" s="112" t="n">
        <v>0</v>
      </c>
      <c r="M212" s="112" t="n">
        <v>0</v>
      </c>
      <c r="N212" s="112" t="n">
        <v>0</v>
      </c>
      <c r="P212" s="112" t="n">
        <f aca="false">ABS(D212)/$P$3</f>
        <v>0</v>
      </c>
      <c r="Q212" s="112" t="n">
        <f aca="false">ABS(E212)/$P$3</f>
        <v>0</v>
      </c>
      <c r="R212" s="112" t="n">
        <f aca="false">ABS(F212)/$P$3</f>
        <v>0</v>
      </c>
      <c r="S212" s="112" t="n">
        <f aca="false">ABS(G212)/$P$3</f>
        <v>0</v>
      </c>
      <c r="T212" s="112" t="n">
        <f aca="false">ABS(H212)/$P$3</f>
        <v>0</v>
      </c>
      <c r="U212" s="112" t="n">
        <f aca="false">ABS(I212)/$P$3</f>
        <v>0</v>
      </c>
      <c r="V212" s="112" t="n">
        <f aca="false">ABS(J212)/$P$3</f>
        <v>0</v>
      </c>
      <c r="W212" s="112" t="n">
        <f aca="false">ABS(K212)/$P$3</f>
        <v>0</v>
      </c>
      <c r="X212" s="112" t="n">
        <f aca="false">ABS(L212)/$P$3</f>
        <v>0</v>
      </c>
      <c r="Y212" s="112" t="n">
        <f aca="false">ABS(M212)/$P$3</f>
        <v>0</v>
      </c>
      <c r="Z212" s="112" t="n">
        <f aca="false">ABS(N212)/$P$3</f>
        <v>0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Data'!$A$2:$B$8,MATCH(WEEKDAY('RAC V@r Total'!A213,3),'Master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H213" s="112" t="n">
        <v>0</v>
      </c>
      <c r="I213" s="112" t="n">
        <v>0</v>
      </c>
      <c r="J213" s="112" t="n">
        <v>0</v>
      </c>
      <c r="K213" s="112" t="n">
        <v>0</v>
      </c>
      <c r="L213" s="112" t="n">
        <v>0</v>
      </c>
      <c r="M213" s="112" t="n">
        <v>0</v>
      </c>
      <c r="N213" s="112" t="n">
        <v>0</v>
      </c>
      <c r="P213" s="112" t="n">
        <f aca="false">ABS(D213)/$P$3</f>
        <v>0</v>
      </c>
      <c r="Q213" s="112" t="n">
        <f aca="false">ABS(E213)/$P$3</f>
        <v>0</v>
      </c>
      <c r="R213" s="112" t="n">
        <f aca="false">ABS(F213)/$P$3</f>
        <v>0</v>
      </c>
      <c r="S213" s="112" t="n">
        <f aca="false">ABS(G213)/$P$3</f>
        <v>0</v>
      </c>
      <c r="T213" s="112" t="n">
        <f aca="false">ABS(H213)/$P$3</f>
        <v>0</v>
      </c>
      <c r="U213" s="112" t="n">
        <f aca="false">ABS(I213)/$P$3</f>
        <v>0</v>
      </c>
      <c r="V213" s="112" t="n">
        <f aca="false">ABS(J213)/$P$3</f>
        <v>0</v>
      </c>
      <c r="W213" s="112" t="n">
        <f aca="false">ABS(K213)/$P$3</f>
        <v>0</v>
      </c>
      <c r="X213" s="112" t="n">
        <f aca="false">ABS(L213)/$P$3</f>
        <v>0</v>
      </c>
      <c r="Y213" s="112" t="n">
        <f aca="false">ABS(M213)/$P$3</f>
        <v>0</v>
      </c>
      <c r="Z213" s="112" t="n">
        <f aca="false">ABS(N213)/$P$3</f>
        <v>0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Data'!$A$2:$B$8,MATCH(WEEKDAY('RAC V@r Total'!A214,3),'Master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H214" s="112" t="n">
        <v>0</v>
      </c>
      <c r="I214" s="112" t="n">
        <v>0</v>
      </c>
      <c r="J214" s="112" t="n">
        <v>0</v>
      </c>
      <c r="K214" s="112" t="n">
        <v>0</v>
      </c>
      <c r="L214" s="112" t="n">
        <v>0</v>
      </c>
      <c r="M214" s="112" t="n">
        <v>0</v>
      </c>
      <c r="N214" s="112" t="n">
        <v>0</v>
      </c>
      <c r="P214" s="112" t="n">
        <f aca="false">ABS(D214)/$P$3</f>
        <v>0</v>
      </c>
      <c r="Q214" s="112" t="n">
        <f aca="false">ABS(E214)/$P$3</f>
        <v>0</v>
      </c>
      <c r="R214" s="112" t="n">
        <f aca="false">ABS(F214)/$P$3</f>
        <v>0</v>
      </c>
      <c r="S214" s="112" t="n">
        <f aca="false">ABS(G214)/$P$3</f>
        <v>0</v>
      </c>
      <c r="T214" s="112" t="n">
        <f aca="false">ABS(H214)/$P$3</f>
        <v>0</v>
      </c>
      <c r="U214" s="112" t="n">
        <f aca="false">ABS(I214)/$P$3</f>
        <v>0</v>
      </c>
      <c r="V214" s="112" t="n">
        <f aca="false">ABS(J214)/$P$3</f>
        <v>0</v>
      </c>
      <c r="W214" s="112" t="n">
        <f aca="false">ABS(K214)/$P$3</f>
        <v>0</v>
      </c>
      <c r="X214" s="112" t="n">
        <f aca="false">ABS(L214)/$P$3</f>
        <v>0</v>
      </c>
      <c r="Y214" s="112" t="n">
        <f aca="false">ABS(M214)/$P$3</f>
        <v>0</v>
      </c>
      <c r="Z214" s="112" t="n">
        <f aca="false">ABS(N214)/$P$3</f>
        <v>0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Data'!$A$2:$B$8,MATCH(WEEKDAY('RAC V@r Total'!A215,3),'Master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H215" s="112" t="n">
        <v>0</v>
      </c>
      <c r="I215" s="112" t="n">
        <v>0</v>
      </c>
      <c r="J215" s="112" t="n">
        <v>0</v>
      </c>
      <c r="K215" s="112" t="n">
        <v>0</v>
      </c>
      <c r="L215" s="112" t="n">
        <v>0</v>
      </c>
      <c r="M215" s="112" t="n">
        <v>0</v>
      </c>
      <c r="N215" s="112" t="n">
        <v>0</v>
      </c>
      <c r="P215" s="112" t="n">
        <f aca="false">ABS(D215)/$P$3</f>
        <v>0</v>
      </c>
      <c r="Q215" s="112" t="n">
        <f aca="false">ABS(E215)/$P$3</f>
        <v>0</v>
      </c>
      <c r="R215" s="112" t="n">
        <f aca="false">ABS(F215)/$P$3</f>
        <v>0</v>
      </c>
      <c r="S215" s="112" t="n">
        <f aca="false">ABS(G215)/$P$3</f>
        <v>0</v>
      </c>
      <c r="T215" s="112" t="n">
        <f aca="false">ABS(H215)/$P$3</f>
        <v>0</v>
      </c>
      <c r="U215" s="112" t="n">
        <f aca="false">ABS(I215)/$P$3</f>
        <v>0</v>
      </c>
      <c r="V215" s="112" t="n">
        <f aca="false">ABS(J215)/$P$3</f>
        <v>0</v>
      </c>
      <c r="W215" s="112" t="n">
        <f aca="false">ABS(K215)/$P$3</f>
        <v>0</v>
      </c>
      <c r="X215" s="112" t="n">
        <f aca="false">ABS(L215)/$P$3</f>
        <v>0</v>
      </c>
      <c r="Y215" s="112" t="n">
        <f aca="false">ABS(M215)/$P$3</f>
        <v>0</v>
      </c>
      <c r="Z215" s="112" t="n">
        <f aca="false">ABS(N215)/$P$3</f>
        <v>0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Data'!$A$2:$B$8,MATCH(WEEKDAY('RAC V@r Total'!A216,3),'Master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H216" s="112" t="n">
        <v>0</v>
      </c>
      <c r="I216" s="112" t="n">
        <v>0</v>
      </c>
      <c r="J216" s="112" t="n">
        <v>0</v>
      </c>
      <c r="K216" s="112" t="n">
        <v>0</v>
      </c>
      <c r="L216" s="112" t="n">
        <v>0</v>
      </c>
      <c r="M216" s="112" t="n">
        <v>0</v>
      </c>
      <c r="N216" s="112" t="n">
        <v>0</v>
      </c>
      <c r="P216" s="112" t="n">
        <f aca="false">ABS(D216)/$P$3</f>
        <v>0</v>
      </c>
      <c r="Q216" s="112" t="n">
        <f aca="false">ABS(E216)/$P$3</f>
        <v>0</v>
      </c>
      <c r="R216" s="112" t="n">
        <f aca="false">ABS(F216)/$P$3</f>
        <v>0</v>
      </c>
      <c r="S216" s="112" t="n">
        <f aca="false">ABS(G216)/$P$3</f>
        <v>0</v>
      </c>
      <c r="T216" s="112" t="n">
        <f aca="false">ABS(H216)/$P$3</f>
        <v>0</v>
      </c>
      <c r="U216" s="112" t="n">
        <f aca="false">ABS(I216)/$P$3</f>
        <v>0</v>
      </c>
      <c r="V216" s="112" t="n">
        <f aca="false">ABS(J216)/$P$3</f>
        <v>0</v>
      </c>
      <c r="W216" s="112" t="n">
        <f aca="false">ABS(K216)/$P$3</f>
        <v>0</v>
      </c>
      <c r="X216" s="112" t="n">
        <f aca="false">ABS(L216)/$P$3</f>
        <v>0</v>
      </c>
      <c r="Y216" s="112" t="n">
        <f aca="false">ABS(M216)/$P$3</f>
        <v>0</v>
      </c>
      <c r="Z216" s="112" t="n">
        <f aca="false">ABS(N216)/$P$3</f>
        <v>0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Data'!$A$2:$B$8,MATCH(WEEKDAY('RAC V@r Total'!A217,3),'Master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H217" s="112" t="n">
        <v>0</v>
      </c>
      <c r="I217" s="112" t="n">
        <v>0</v>
      </c>
      <c r="J217" s="112" t="n">
        <v>0</v>
      </c>
      <c r="K217" s="112" t="n">
        <v>0</v>
      </c>
      <c r="L217" s="112" t="n">
        <v>0</v>
      </c>
      <c r="M217" s="112" t="n">
        <v>0</v>
      </c>
      <c r="N217" s="112" t="n">
        <v>0</v>
      </c>
      <c r="P217" s="112" t="n">
        <f aca="false">ABS(D217)/$P$3</f>
        <v>0</v>
      </c>
      <c r="Q217" s="112" t="n">
        <f aca="false">ABS(E217)/$P$3</f>
        <v>0</v>
      </c>
      <c r="R217" s="112" t="n">
        <f aca="false">ABS(F217)/$P$3</f>
        <v>0</v>
      </c>
      <c r="S217" s="112" t="n">
        <f aca="false">ABS(G217)/$P$3</f>
        <v>0</v>
      </c>
      <c r="T217" s="112" t="n">
        <f aca="false">ABS(H217)/$P$3</f>
        <v>0</v>
      </c>
      <c r="U217" s="112" t="n">
        <f aca="false">ABS(I217)/$P$3</f>
        <v>0</v>
      </c>
      <c r="V217" s="112" t="n">
        <f aca="false">ABS(J217)/$P$3</f>
        <v>0</v>
      </c>
      <c r="W217" s="112" t="n">
        <f aca="false">ABS(K217)/$P$3</f>
        <v>0</v>
      </c>
      <c r="X217" s="112" t="n">
        <f aca="false">ABS(L217)/$P$3</f>
        <v>0</v>
      </c>
      <c r="Y217" s="112" t="n">
        <f aca="false">ABS(M217)/$P$3</f>
        <v>0</v>
      </c>
      <c r="Z217" s="112" t="n">
        <f aca="false">ABS(N217)/$P$3</f>
        <v>0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Data'!$A$2:$B$8,MATCH(WEEKDAY('RAC V@r Total'!A218,3),'Master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H218" s="112" t="n">
        <v>0</v>
      </c>
      <c r="I218" s="112" t="n">
        <v>0</v>
      </c>
      <c r="J218" s="112" t="n">
        <v>0</v>
      </c>
      <c r="K218" s="112" t="n">
        <v>0</v>
      </c>
      <c r="L218" s="112" t="n">
        <v>0</v>
      </c>
      <c r="M218" s="112" t="n">
        <v>0</v>
      </c>
      <c r="N218" s="112" t="n">
        <v>0</v>
      </c>
      <c r="P218" s="112" t="n">
        <f aca="false">ABS(D218)/$P$3</f>
        <v>0</v>
      </c>
      <c r="Q218" s="112" t="n">
        <f aca="false">ABS(E218)/$P$3</f>
        <v>0</v>
      </c>
      <c r="R218" s="112" t="n">
        <f aca="false">ABS(F218)/$P$3</f>
        <v>0</v>
      </c>
      <c r="S218" s="112" t="n">
        <f aca="false">ABS(G218)/$P$3</f>
        <v>0</v>
      </c>
      <c r="T218" s="112" t="n">
        <f aca="false">ABS(H218)/$P$3</f>
        <v>0</v>
      </c>
      <c r="U218" s="112" t="n">
        <f aca="false">ABS(I218)/$P$3</f>
        <v>0</v>
      </c>
      <c r="V218" s="112" t="n">
        <f aca="false">ABS(J218)/$P$3</f>
        <v>0</v>
      </c>
      <c r="W218" s="112" t="n">
        <f aca="false">ABS(K218)/$P$3</f>
        <v>0</v>
      </c>
      <c r="X218" s="112" t="n">
        <f aca="false">ABS(L218)/$P$3</f>
        <v>0</v>
      </c>
      <c r="Y218" s="112" t="n">
        <f aca="false">ABS(M218)/$P$3</f>
        <v>0</v>
      </c>
      <c r="Z218" s="112" t="n">
        <f aca="false">ABS(N218)/$P$3</f>
        <v>0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Data'!$A$2:$B$8,MATCH(WEEKDAY('RAC V@r Total'!A219,3),'Master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H219" s="112" t="n">
        <v>0</v>
      </c>
      <c r="I219" s="112" t="n">
        <v>0</v>
      </c>
      <c r="J219" s="112" t="n">
        <v>0</v>
      </c>
      <c r="K219" s="112" t="n">
        <v>0</v>
      </c>
      <c r="L219" s="112" t="n">
        <v>0</v>
      </c>
      <c r="M219" s="112" t="n">
        <v>0</v>
      </c>
      <c r="N219" s="112" t="n">
        <v>0</v>
      </c>
      <c r="P219" s="112" t="n">
        <f aca="false">ABS(D219)/$P$3</f>
        <v>0</v>
      </c>
      <c r="Q219" s="112" t="n">
        <f aca="false">ABS(E219)/$P$3</f>
        <v>0</v>
      </c>
      <c r="R219" s="112" t="n">
        <f aca="false">ABS(F219)/$P$3</f>
        <v>0</v>
      </c>
      <c r="S219" s="112" t="n">
        <f aca="false">ABS(G219)/$P$3</f>
        <v>0</v>
      </c>
      <c r="T219" s="112" t="n">
        <f aca="false">ABS(H219)/$P$3</f>
        <v>0</v>
      </c>
      <c r="U219" s="112" t="n">
        <f aca="false">ABS(I219)/$P$3</f>
        <v>0</v>
      </c>
      <c r="V219" s="112" t="n">
        <f aca="false">ABS(J219)/$P$3</f>
        <v>0</v>
      </c>
      <c r="W219" s="112" t="n">
        <f aca="false">ABS(K219)/$P$3</f>
        <v>0</v>
      </c>
      <c r="X219" s="112" t="n">
        <f aca="false">ABS(L219)/$P$3</f>
        <v>0</v>
      </c>
      <c r="Y219" s="112" t="n">
        <f aca="false">ABS(M219)/$P$3</f>
        <v>0</v>
      </c>
      <c r="Z219" s="112" t="n">
        <f aca="false">ABS(N219)/$P$3</f>
        <v>0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Data'!$A$2:$B$8,MATCH(WEEKDAY('RAC V@r Total'!A220,3),'Master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H220" s="112" t="n">
        <v>0</v>
      </c>
      <c r="I220" s="112" t="n">
        <v>0</v>
      </c>
      <c r="J220" s="112" t="n">
        <v>0</v>
      </c>
      <c r="K220" s="112" t="n">
        <v>0</v>
      </c>
      <c r="L220" s="112" t="n">
        <v>0</v>
      </c>
      <c r="M220" s="112" t="n">
        <v>0</v>
      </c>
      <c r="N220" s="112" t="n">
        <v>0</v>
      </c>
      <c r="P220" s="112" t="n">
        <f aca="false">ABS(D220)/$P$3</f>
        <v>0</v>
      </c>
      <c r="Q220" s="112" t="n">
        <f aca="false">ABS(E220)/$P$3</f>
        <v>0</v>
      </c>
      <c r="R220" s="112" t="n">
        <f aca="false">ABS(F220)/$P$3</f>
        <v>0</v>
      </c>
      <c r="S220" s="112" t="n">
        <f aca="false">ABS(G220)/$P$3</f>
        <v>0</v>
      </c>
      <c r="T220" s="112" t="n">
        <f aca="false">ABS(H220)/$P$3</f>
        <v>0</v>
      </c>
      <c r="U220" s="112" t="n">
        <f aca="false">ABS(I220)/$P$3</f>
        <v>0</v>
      </c>
      <c r="V220" s="112" t="n">
        <f aca="false">ABS(J220)/$P$3</f>
        <v>0</v>
      </c>
      <c r="W220" s="112" t="n">
        <f aca="false">ABS(K220)/$P$3</f>
        <v>0</v>
      </c>
      <c r="X220" s="112" t="n">
        <f aca="false">ABS(L220)/$P$3</f>
        <v>0</v>
      </c>
      <c r="Y220" s="112" t="n">
        <f aca="false">ABS(M220)/$P$3</f>
        <v>0</v>
      </c>
      <c r="Z220" s="112" t="n">
        <f aca="false">ABS(N220)/$P$3</f>
        <v>0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Data'!$A$2:$B$8,MATCH(WEEKDAY('RAC V@r Total'!A221,3),'Master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H221" s="112" t="n">
        <v>0</v>
      </c>
      <c r="I221" s="112" t="n">
        <v>0</v>
      </c>
      <c r="J221" s="112" t="n">
        <v>0</v>
      </c>
      <c r="K221" s="112" t="n">
        <v>0</v>
      </c>
      <c r="L221" s="112" t="n">
        <v>0</v>
      </c>
      <c r="M221" s="112" t="n">
        <v>0</v>
      </c>
      <c r="N221" s="112" t="n">
        <v>0</v>
      </c>
      <c r="P221" s="112" t="n">
        <f aca="false">ABS(D221)/$P$3</f>
        <v>0</v>
      </c>
      <c r="Q221" s="112" t="n">
        <f aca="false">ABS(E221)/$P$3</f>
        <v>0</v>
      </c>
      <c r="R221" s="112" t="n">
        <f aca="false">ABS(F221)/$P$3</f>
        <v>0</v>
      </c>
      <c r="S221" s="112" t="n">
        <f aca="false">ABS(G221)/$P$3</f>
        <v>0</v>
      </c>
      <c r="T221" s="112" t="n">
        <f aca="false">ABS(H221)/$P$3</f>
        <v>0</v>
      </c>
      <c r="U221" s="112" t="n">
        <f aca="false">ABS(I221)/$P$3</f>
        <v>0</v>
      </c>
      <c r="V221" s="112" t="n">
        <f aca="false">ABS(J221)/$P$3</f>
        <v>0</v>
      </c>
      <c r="W221" s="112" t="n">
        <f aca="false">ABS(K221)/$P$3</f>
        <v>0</v>
      </c>
      <c r="X221" s="112" t="n">
        <f aca="false">ABS(L221)/$P$3</f>
        <v>0</v>
      </c>
      <c r="Y221" s="112" t="n">
        <f aca="false">ABS(M221)/$P$3</f>
        <v>0</v>
      </c>
      <c r="Z221" s="112" t="n">
        <f aca="false">ABS(N221)/$P$3</f>
        <v>0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Data'!$A$2:$B$8,MATCH(WEEKDAY('RAC V@r Total'!A222,3),'Master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H222" s="112" t="n">
        <v>0</v>
      </c>
      <c r="I222" s="112" t="n">
        <v>0</v>
      </c>
      <c r="J222" s="112" t="n">
        <v>0</v>
      </c>
      <c r="K222" s="112" t="n">
        <v>0</v>
      </c>
      <c r="L222" s="112" t="n">
        <v>0</v>
      </c>
      <c r="M222" s="112" t="n">
        <v>0</v>
      </c>
      <c r="N222" s="112" t="n">
        <v>0</v>
      </c>
      <c r="P222" s="112" t="n">
        <f aca="false">ABS(D222)/$P$3</f>
        <v>0</v>
      </c>
      <c r="Q222" s="112" t="n">
        <f aca="false">ABS(E222)/$P$3</f>
        <v>0</v>
      </c>
      <c r="R222" s="112" t="n">
        <f aca="false">ABS(F222)/$P$3</f>
        <v>0</v>
      </c>
      <c r="S222" s="112" t="n">
        <f aca="false">ABS(G222)/$P$3</f>
        <v>0</v>
      </c>
      <c r="T222" s="112" t="n">
        <f aca="false">ABS(H222)/$P$3</f>
        <v>0</v>
      </c>
      <c r="U222" s="112" t="n">
        <f aca="false">ABS(I222)/$P$3</f>
        <v>0</v>
      </c>
      <c r="V222" s="112" t="n">
        <f aca="false">ABS(J222)/$P$3</f>
        <v>0</v>
      </c>
      <c r="W222" s="112" t="n">
        <f aca="false">ABS(K222)/$P$3</f>
        <v>0</v>
      </c>
      <c r="X222" s="112" t="n">
        <f aca="false">ABS(L222)/$P$3</f>
        <v>0</v>
      </c>
      <c r="Y222" s="112" t="n">
        <f aca="false">ABS(M222)/$P$3</f>
        <v>0</v>
      </c>
      <c r="Z222" s="112" t="n">
        <f aca="false">ABS(N222)/$P$3</f>
        <v>0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Data'!$A$2:$B$8,MATCH(WEEKDAY('RAC V@r Total'!A223,3),'Master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H223" s="112" t="n">
        <v>0</v>
      </c>
      <c r="I223" s="112" t="n">
        <v>0</v>
      </c>
      <c r="J223" s="112" t="n">
        <v>0</v>
      </c>
      <c r="K223" s="112" t="n">
        <v>0</v>
      </c>
      <c r="L223" s="112" t="n">
        <v>0</v>
      </c>
      <c r="M223" s="112" t="n">
        <v>0</v>
      </c>
      <c r="N223" s="112" t="n">
        <v>0</v>
      </c>
      <c r="P223" s="112" t="n">
        <f aca="false">ABS(D223)/$P$3</f>
        <v>0</v>
      </c>
      <c r="Q223" s="112" t="n">
        <f aca="false">ABS(E223)/$P$3</f>
        <v>0</v>
      </c>
      <c r="R223" s="112" t="n">
        <f aca="false">ABS(F223)/$P$3</f>
        <v>0</v>
      </c>
      <c r="S223" s="112" t="n">
        <f aca="false">ABS(G223)/$P$3</f>
        <v>0</v>
      </c>
      <c r="T223" s="112" t="n">
        <f aca="false">ABS(H223)/$P$3</f>
        <v>0</v>
      </c>
      <c r="U223" s="112" t="n">
        <f aca="false">ABS(I223)/$P$3</f>
        <v>0</v>
      </c>
      <c r="V223" s="112" t="n">
        <f aca="false">ABS(J223)/$P$3</f>
        <v>0</v>
      </c>
      <c r="W223" s="112" t="n">
        <f aca="false">ABS(K223)/$P$3</f>
        <v>0</v>
      </c>
      <c r="X223" s="112" t="n">
        <f aca="false">ABS(L223)/$P$3</f>
        <v>0</v>
      </c>
      <c r="Y223" s="112" t="n">
        <f aca="false">ABS(M223)/$P$3</f>
        <v>0</v>
      </c>
      <c r="Z223" s="112" t="n">
        <f aca="false">ABS(N223)/$P$3</f>
        <v>0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Data'!$A$2:$B$8,MATCH(WEEKDAY('RAC V@r Total'!A224,3),'Master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H224" s="112" t="n">
        <v>0</v>
      </c>
      <c r="I224" s="112" t="n">
        <v>0</v>
      </c>
      <c r="J224" s="112" t="n">
        <v>0</v>
      </c>
      <c r="K224" s="112" t="n">
        <v>0</v>
      </c>
      <c r="L224" s="112" t="n">
        <v>0</v>
      </c>
      <c r="M224" s="112" t="n">
        <v>0</v>
      </c>
      <c r="N224" s="112" t="n">
        <v>0</v>
      </c>
      <c r="P224" s="112" t="n">
        <f aca="false">ABS(D224)/$P$3</f>
        <v>0</v>
      </c>
      <c r="Q224" s="112" t="n">
        <f aca="false">ABS(E224)/$P$3</f>
        <v>0</v>
      </c>
      <c r="R224" s="112" t="n">
        <f aca="false">ABS(F224)/$P$3</f>
        <v>0</v>
      </c>
      <c r="S224" s="112" t="n">
        <f aca="false">ABS(G224)/$P$3</f>
        <v>0</v>
      </c>
      <c r="T224" s="112" t="n">
        <f aca="false">ABS(H224)/$P$3</f>
        <v>0</v>
      </c>
      <c r="U224" s="112" t="n">
        <f aca="false">ABS(I224)/$P$3</f>
        <v>0</v>
      </c>
      <c r="V224" s="112" t="n">
        <f aca="false">ABS(J224)/$P$3</f>
        <v>0</v>
      </c>
      <c r="W224" s="112" t="n">
        <f aca="false">ABS(K224)/$P$3</f>
        <v>0</v>
      </c>
      <c r="X224" s="112" t="n">
        <f aca="false">ABS(L224)/$P$3</f>
        <v>0</v>
      </c>
      <c r="Y224" s="112" t="n">
        <f aca="false">ABS(M224)/$P$3</f>
        <v>0</v>
      </c>
      <c r="Z224" s="112" t="n">
        <f aca="false">ABS(N224)/$P$3</f>
        <v>0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Data'!$A$2:$B$8,MATCH(WEEKDAY('RAC V@r Total'!A225,3),'Master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H225" s="112" t="n">
        <v>0</v>
      </c>
      <c r="I225" s="112" t="n">
        <v>0</v>
      </c>
      <c r="J225" s="112" t="n">
        <v>0</v>
      </c>
      <c r="K225" s="112" t="n">
        <v>0</v>
      </c>
      <c r="L225" s="112" t="n">
        <v>0</v>
      </c>
      <c r="M225" s="112" t="n">
        <v>0</v>
      </c>
      <c r="N225" s="112" t="n">
        <v>0</v>
      </c>
      <c r="P225" s="112" t="n">
        <f aca="false">ABS(D225)/$P$3</f>
        <v>0</v>
      </c>
      <c r="Q225" s="112" t="n">
        <f aca="false">ABS(E225)/$P$3</f>
        <v>0</v>
      </c>
      <c r="R225" s="112" t="n">
        <f aca="false">ABS(F225)/$P$3</f>
        <v>0</v>
      </c>
      <c r="S225" s="112" t="n">
        <f aca="false">ABS(G225)/$P$3</f>
        <v>0</v>
      </c>
      <c r="T225" s="112" t="n">
        <f aca="false">ABS(H225)/$P$3</f>
        <v>0</v>
      </c>
      <c r="U225" s="112" t="n">
        <f aca="false">ABS(I225)/$P$3</f>
        <v>0</v>
      </c>
      <c r="V225" s="112" t="n">
        <f aca="false">ABS(J225)/$P$3</f>
        <v>0</v>
      </c>
      <c r="W225" s="112" t="n">
        <f aca="false">ABS(K225)/$P$3</f>
        <v>0</v>
      </c>
      <c r="X225" s="112" t="n">
        <f aca="false">ABS(L225)/$P$3</f>
        <v>0</v>
      </c>
      <c r="Y225" s="112" t="n">
        <f aca="false">ABS(M225)/$P$3</f>
        <v>0</v>
      </c>
      <c r="Z225" s="112" t="n">
        <f aca="false">ABS(N225)/$P$3</f>
        <v>0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Data'!$A$2:$B$8,MATCH(WEEKDAY('RAC V@r Total'!A226,3),'Master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H226" s="112" t="n">
        <v>0</v>
      </c>
      <c r="I226" s="112" t="n">
        <v>0</v>
      </c>
      <c r="J226" s="112" t="n">
        <v>0</v>
      </c>
      <c r="K226" s="112" t="n">
        <v>0</v>
      </c>
      <c r="L226" s="112" t="n">
        <v>0</v>
      </c>
      <c r="M226" s="112" t="n">
        <v>0</v>
      </c>
      <c r="N226" s="112" t="n">
        <v>0</v>
      </c>
      <c r="P226" s="112" t="n">
        <f aca="false">ABS(D226)/$P$3</f>
        <v>0</v>
      </c>
      <c r="Q226" s="112" t="n">
        <f aca="false">ABS(E226)/$P$3</f>
        <v>0</v>
      </c>
      <c r="R226" s="112" t="n">
        <f aca="false">ABS(F226)/$P$3</f>
        <v>0</v>
      </c>
      <c r="S226" s="112" t="n">
        <f aca="false">ABS(G226)/$P$3</f>
        <v>0</v>
      </c>
      <c r="T226" s="112" t="n">
        <f aca="false">ABS(H226)/$P$3</f>
        <v>0</v>
      </c>
      <c r="U226" s="112" t="n">
        <f aca="false">ABS(I226)/$P$3</f>
        <v>0</v>
      </c>
      <c r="V226" s="112" t="n">
        <f aca="false">ABS(J226)/$P$3</f>
        <v>0</v>
      </c>
      <c r="W226" s="112" t="n">
        <f aca="false">ABS(K226)/$P$3</f>
        <v>0</v>
      </c>
      <c r="X226" s="112" t="n">
        <f aca="false">ABS(L226)/$P$3</f>
        <v>0</v>
      </c>
      <c r="Y226" s="112" t="n">
        <f aca="false">ABS(M226)/$P$3</f>
        <v>0</v>
      </c>
      <c r="Z226" s="112" t="n">
        <f aca="false">ABS(N226)/$P$3</f>
        <v>0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Data'!$A$2:$B$8,MATCH(WEEKDAY('RAC V@r Total'!A227,3),'Master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H227" s="112" t="n">
        <v>0</v>
      </c>
      <c r="I227" s="112" t="n">
        <v>0</v>
      </c>
      <c r="J227" s="112" t="n">
        <v>0</v>
      </c>
      <c r="K227" s="112" t="n">
        <v>0</v>
      </c>
      <c r="L227" s="112" t="n">
        <v>0</v>
      </c>
      <c r="M227" s="112" t="n">
        <v>0</v>
      </c>
      <c r="N227" s="112" t="n">
        <v>0</v>
      </c>
      <c r="P227" s="112" t="n">
        <f aca="false">ABS(D227)/$P$3</f>
        <v>0</v>
      </c>
      <c r="Q227" s="112" t="n">
        <f aca="false">ABS(E227)/$P$3</f>
        <v>0</v>
      </c>
      <c r="R227" s="112" t="n">
        <f aca="false">ABS(F227)/$P$3</f>
        <v>0</v>
      </c>
      <c r="S227" s="112" t="n">
        <f aca="false">ABS(G227)/$P$3</f>
        <v>0</v>
      </c>
      <c r="T227" s="112" t="n">
        <f aca="false">ABS(H227)/$P$3</f>
        <v>0</v>
      </c>
      <c r="U227" s="112" t="n">
        <f aca="false">ABS(I227)/$P$3</f>
        <v>0</v>
      </c>
      <c r="V227" s="112" t="n">
        <f aca="false">ABS(J227)/$P$3</f>
        <v>0</v>
      </c>
      <c r="W227" s="112" t="n">
        <f aca="false">ABS(K227)/$P$3</f>
        <v>0</v>
      </c>
      <c r="X227" s="112" t="n">
        <f aca="false">ABS(L227)/$P$3</f>
        <v>0</v>
      </c>
      <c r="Y227" s="112" t="n">
        <f aca="false">ABS(M227)/$P$3</f>
        <v>0</v>
      </c>
      <c r="Z227" s="112" t="n">
        <f aca="false">ABS(N227)/$P$3</f>
        <v>0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Data'!$A$2:$B$8,MATCH(WEEKDAY('RAC V@r Total'!A228,3),'Master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H228" s="112" t="n">
        <v>0</v>
      </c>
      <c r="I228" s="112" t="n">
        <v>0</v>
      </c>
      <c r="J228" s="112" t="n">
        <v>0</v>
      </c>
      <c r="K228" s="112" t="n">
        <v>0</v>
      </c>
      <c r="L228" s="112" t="n">
        <v>0</v>
      </c>
      <c r="M228" s="112" t="n">
        <v>0</v>
      </c>
      <c r="N228" s="112" t="n">
        <v>0</v>
      </c>
      <c r="P228" s="112" t="n">
        <f aca="false">ABS(D228)/$P$3</f>
        <v>0</v>
      </c>
      <c r="Q228" s="112" t="n">
        <f aca="false">ABS(E228)/$P$3</f>
        <v>0</v>
      </c>
      <c r="R228" s="112" t="n">
        <f aca="false">ABS(F228)/$P$3</f>
        <v>0</v>
      </c>
      <c r="S228" s="112" t="n">
        <f aca="false">ABS(G228)/$P$3</f>
        <v>0</v>
      </c>
      <c r="T228" s="112" t="n">
        <f aca="false">ABS(H228)/$P$3</f>
        <v>0</v>
      </c>
      <c r="U228" s="112" t="n">
        <f aca="false">ABS(I228)/$P$3</f>
        <v>0</v>
      </c>
      <c r="V228" s="112" t="n">
        <f aca="false">ABS(J228)/$P$3</f>
        <v>0</v>
      </c>
      <c r="W228" s="112" t="n">
        <f aca="false">ABS(K228)/$P$3</f>
        <v>0</v>
      </c>
      <c r="X228" s="112" t="n">
        <f aca="false">ABS(L228)/$P$3</f>
        <v>0</v>
      </c>
      <c r="Y228" s="112" t="n">
        <f aca="false">ABS(M228)/$P$3</f>
        <v>0</v>
      </c>
      <c r="Z228" s="112" t="n">
        <f aca="false">ABS(N228)/$P$3</f>
        <v>0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Data'!$A$2:$B$8,MATCH(WEEKDAY('RAC V@r Total'!A229,3),'Master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H229" s="112" t="n">
        <v>0</v>
      </c>
      <c r="I229" s="112" t="n">
        <v>0</v>
      </c>
      <c r="J229" s="112" t="n">
        <v>0</v>
      </c>
      <c r="K229" s="112" t="n">
        <v>0</v>
      </c>
      <c r="L229" s="112" t="n">
        <v>0</v>
      </c>
      <c r="M229" s="112" t="n">
        <v>0</v>
      </c>
      <c r="N229" s="112" t="n">
        <v>0</v>
      </c>
      <c r="P229" s="112" t="n">
        <f aca="false">ABS(D229)/$P$3</f>
        <v>0</v>
      </c>
      <c r="Q229" s="112" t="n">
        <f aca="false">ABS(E229)/$P$3</f>
        <v>0</v>
      </c>
      <c r="R229" s="112" t="n">
        <f aca="false">ABS(F229)/$P$3</f>
        <v>0</v>
      </c>
      <c r="S229" s="112" t="n">
        <f aca="false">ABS(G229)/$P$3</f>
        <v>0</v>
      </c>
      <c r="T229" s="112" t="n">
        <f aca="false">ABS(H229)/$P$3</f>
        <v>0</v>
      </c>
      <c r="U229" s="112" t="n">
        <f aca="false">ABS(I229)/$P$3</f>
        <v>0</v>
      </c>
      <c r="V229" s="112" t="n">
        <f aca="false">ABS(J229)/$P$3</f>
        <v>0</v>
      </c>
      <c r="W229" s="112" t="n">
        <f aca="false">ABS(K229)/$P$3</f>
        <v>0</v>
      </c>
      <c r="X229" s="112" t="n">
        <f aca="false">ABS(L229)/$P$3</f>
        <v>0</v>
      </c>
      <c r="Y229" s="112" t="n">
        <f aca="false">ABS(M229)/$P$3</f>
        <v>0</v>
      </c>
      <c r="Z229" s="112" t="n">
        <f aca="false">ABS(N229)/$P$3</f>
        <v>0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Data'!$A$2:$B$8,MATCH(WEEKDAY('RAC V@r Total'!A230,3),'Master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H230" s="112" t="n">
        <v>0</v>
      </c>
      <c r="I230" s="112" t="n">
        <v>0</v>
      </c>
      <c r="J230" s="112" t="n">
        <v>0</v>
      </c>
      <c r="K230" s="112" t="n">
        <v>0</v>
      </c>
      <c r="L230" s="112" t="n">
        <v>0</v>
      </c>
      <c r="M230" s="112" t="n">
        <v>0</v>
      </c>
      <c r="N230" s="112" t="n">
        <v>0</v>
      </c>
      <c r="P230" s="112" t="n">
        <f aca="false">ABS(D230)/$P$3</f>
        <v>0</v>
      </c>
      <c r="Q230" s="112" t="n">
        <f aca="false">ABS(E230)/$P$3</f>
        <v>0</v>
      </c>
      <c r="R230" s="112" t="n">
        <f aca="false">ABS(F230)/$P$3</f>
        <v>0</v>
      </c>
      <c r="S230" s="112" t="n">
        <f aca="false">ABS(G230)/$P$3</f>
        <v>0</v>
      </c>
      <c r="T230" s="112" t="n">
        <f aca="false">ABS(H230)/$P$3</f>
        <v>0</v>
      </c>
      <c r="U230" s="112" t="n">
        <f aca="false">ABS(I230)/$P$3</f>
        <v>0</v>
      </c>
      <c r="V230" s="112" t="n">
        <f aca="false">ABS(J230)/$P$3</f>
        <v>0</v>
      </c>
      <c r="W230" s="112" t="n">
        <f aca="false">ABS(K230)/$P$3</f>
        <v>0</v>
      </c>
      <c r="X230" s="112" t="n">
        <f aca="false">ABS(L230)/$P$3</f>
        <v>0</v>
      </c>
      <c r="Y230" s="112" t="n">
        <f aca="false">ABS(M230)/$P$3</f>
        <v>0</v>
      </c>
      <c r="Z230" s="112" t="n">
        <f aca="false">ABS(N230)/$P$3</f>
        <v>0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Data'!$A$2:$B$8,MATCH(WEEKDAY('RAC V@r Total'!A231,3),'Master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H231" s="112" t="n">
        <v>0</v>
      </c>
      <c r="I231" s="112" t="n">
        <v>0</v>
      </c>
      <c r="J231" s="112" t="n">
        <v>0</v>
      </c>
      <c r="K231" s="112" t="n">
        <v>0</v>
      </c>
      <c r="L231" s="112" t="n">
        <v>0</v>
      </c>
      <c r="M231" s="112" t="n">
        <v>0</v>
      </c>
      <c r="N231" s="112" t="n">
        <v>0</v>
      </c>
      <c r="P231" s="112" t="n">
        <f aca="false">ABS(D231)/$P$3</f>
        <v>0</v>
      </c>
      <c r="Q231" s="112" t="n">
        <f aca="false">ABS(E231)/$P$3</f>
        <v>0</v>
      </c>
      <c r="R231" s="112" t="n">
        <f aca="false">ABS(F231)/$P$3</f>
        <v>0</v>
      </c>
      <c r="S231" s="112" t="n">
        <f aca="false">ABS(G231)/$P$3</f>
        <v>0</v>
      </c>
      <c r="T231" s="112" t="n">
        <f aca="false">ABS(H231)/$P$3</f>
        <v>0</v>
      </c>
      <c r="U231" s="112" t="n">
        <f aca="false">ABS(I231)/$P$3</f>
        <v>0</v>
      </c>
      <c r="V231" s="112" t="n">
        <f aca="false">ABS(J231)/$P$3</f>
        <v>0</v>
      </c>
      <c r="W231" s="112" t="n">
        <f aca="false">ABS(K231)/$P$3</f>
        <v>0</v>
      </c>
      <c r="X231" s="112" t="n">
        <f aca="false">ABS(L231)/$P$3</f>
        <v>0</v>
      </c>
      <c r="Y231" s="112" t="n">
        <f aca="false">ABS(M231)/$P$3</f>
        <v>0</v>
      </c>
      <c r="Z231" s="112" t="n">
        <f aca="false">ABS(N231)/$P$3</f>
        <v>0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Data'!$A$2:$B$8,MATCH(WEEKDAY('RAC V@r Total'!A232,3),'Master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H232" s="112" t="n">
        <v>0</v>
      </c>
      <c r="I232" s="112" t="n">
        <v>0</v>
      </c>
      <c r="J232" s="112" t="n">
        <v>0</v>
      </c>
      <c r="K232" s="112" t="n">
        <v>0</v>
      </c>
      <c r="L232" s="112" t="n">
        <v>0</v>
      </c>
      <c r="M232" s="112" t="n">
        <v>0</v>
      </c>
      <c r="N232" s="112" t="n">
        <v>0</v>
      </c>
      <c r="P232" s="112" t="n">
        <f aca="false">ABS(D232)/$P$3</f>
        <v>0</v>
      </c>
      <c r="Q232" s="112" t="n">
        <f aca="false">ABS(E232)/$P$3</f>
        <v>0</v>
      </c>
      <c r="R232" s="112" t="n">
        <f aca="false">ABS(F232)/$P$3</f>
        <v>0</v>
      </c>
      <c r="S232" s="112" t="n">
        <f aca="false">ABS(G232)/$P$3</f>
        <v>0</v>
      </c>
      <c r="T232" s="112" t="n">
        <f aca="false">ABS(H232)/$P$3</f>
        <v>0</v>
      </c>
      <c r="U232" s="112" t="n">
        <f aca="false">ABS(I232)/$P$3</f>
        <v>0</v>
      </c>
      <c r="V232" s="112" t="n">
        <f aca="false">ABS(J232)/$P$3</f>
        <v>0</v>
      </c>
      <c r="W232" s="112" t="n">
        <f aca="false">ABS(K232)/$P$3</f>
        <v>0</v>
      </c>
      <c r="X232" s="112" t="n">
        <f aca="false">ABS(L232)/$P$3</f>
        <v>0</v>
      </c>
      <c r="Y232" s="112" t="n">
        <f aca="false">ABS(M232)/$P$3</f>
        <v>0</v>
      </c>
      <c r="Z232" s="112" t="n">
        <f aca="false">ABS(N232)/$P$3</f>
        <v>0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Data'!$A$2:$B$8,MATCH(WEEKDAY('RAC V@r Total'!A233,3),'Master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H233" s="112" t="n">
        <v>0</v>
      </c>
      <c r="I233" s="112" t="n">
        <v>0</v>
      </c>
      <c r="J233" s="112" t="n">
        <v>0</v>
      </c>
      <c r="K233" s="112" t="n">
        <v>0</v>
      </c>
      <c r="L233" s="112" t="n">
        <v>0</v>
      </c>
      <c r="M233" s="112" t="n">
        <v>0</v>
      </c>
      <c r="N233" s="112" t="n">
        <v>0</v>
      </c>
      <c r="P233" s="112" t="n">
        <f aca="false">ABS(D233)/$P$3</f>
        <v>0</v>
      </c>
      <c r="Q233" s="112" t="n">
        <f aca="false">ABS(E233)/$P$3</f>
        <v>0</v>
      </c>
      <c r="R233" s="112" t="n">
        <f aca="false">ABS(F233)/$P$3</f>
        <v>0</v>
      </c>
      <c r="S233" s="112" t="n">
        <f aca="false">ABS(G233)/$P$3</f>
        <v>0</v>
      </c>
      <c r="T233" s="112" t="n">
        <f aca="false">ABS(H233)/$P$3</f>
        <v>0</v>
      </c>
      <c r="U233" s="112" t="n">
        <f aca="false">ABS(I233)/$P$3</f>
        <v>0</v>
      </c>
      <c r="V233" s="112" t="n">
        <f aca="false">ABS(J233)/$P$3</f>
        <v>0</v>
      </c>
      <c r="W233" s="112" t="n">
        <f aca="false">ABS(K233)/$P$3</f>
        <v>0</v>
      </c>
      <c r="X233" s="112" t="n">
        <f aca="false">ABS(L233)/$P$3</f>
        <v>0</v>
      </c>
      <c r="Y233" s="112" t="n">
        <f aca="false">ABS(M233)/$P$3</f>
        <v>0</v>
      </c>
      <c r="Z233" s="112" t="n">
        <f aca="false">ABS(N233)/$P$3</f>
        <v>0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Data'!$A$2:$B$8,MATCH(WEEKDAY('RAC V@r Total'!A234,3),'Master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H234" s="112" t="n">
        <v>0</v>
      </c>
      <c r="I234" s="112" t="n">
        <v>0</v>
      </c>
      <c r="J234" s="112" t="n">
        <v>0</v>
      </c>
      <c r="K234" s="112" t="n">
        <v>0</v>
      </c>
      <c r="L234" s="112" t="n">
        <v>0</v>
      </c>
      <c r="M234" s="112" t="n">
        <v>0</v>
      </c>
      <c r="N234" s="112" t="n">
        <v>0</v>
      </c>
      <c r="P234" s="112" t="n">
        <f aca="false">ABS(D234)/$P$3</f>
        <v>0</v>
      </c>
      <c r="Q234" s="112" t="n">
        <f aca="false">ABS(E234)/$P$3</f>
        <v>0</v>
      </c>
      <c r="R234" s="112" t="n">
        <f aca="false">ABS(F234)/$P$3</f>
        <v>0</v>
      </c>
      <c r="S234" s="112" t="n">
        <f aca="false">ABS(G234)/$P$3</f>
        <v>0</v>
      </c>
      <c r="T234" s="112" t="n">
        <f aca="false">ABS(H234)/$P$3</f>
        <v>0</v>
      </c>
      <c r="U234" s="112" t="n">
        <f aca="false">ABS(I234)/$P$3</f>
        <v>0</v>
      </c>
      <c r="V234" s="112" t="n">
        <f aca="false">ABS(J234)/$P$3</f>
        <v>0</v>
      </c>
      <c r="W234" s="112" t="n">
        <f aca="false">ABS(K234)/$P$3</f>
        <v>0</v>
      </c>
      <c r="X234" s="112" t="n">
        <f aca="false">ABS(L234)/$P$3</f>
        <v>0</v>
      </c>
      <c r="Y234" s="112" t="n">
        <f aca="false">ABS(M234)/$P$3</f>
        <v>0</v>
      </c>
      <c r="Z234" s="112" t="n">
        <f aca="false">ABS(N234)/$P$3</f>
        <v>0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Data'!$A$2:$B$8,MATCH(WEEKDAY('RAC V@r Total'!A235,3),'Master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H235" s="112" t="n">
        <v>0</v>
      </c>
      <c r="I235" s="112" t="n">
        <v>0</v>
      </c>
      <c r="J235" s="112" t="n">
        <v>0</v>
      </c>
      <c r="K235" s="112" t="n">
        <v>0</v>
      </c>
      <c r="L235" s="112" t="n">
        <v>0</v>
      </c>
      <c r="M235" s="112" t="n">
        <v>0</v>
      </c>
      <c r="N235" s="112" t="n">
        <v>0</v>
      </c>
      <c r="P235" s="112" t="n">
        <f aca="false">ABS(D235)/$P$3</f>
        <v>0</v>
      </c>
      <c r="Q235" s="112" t="n">
        <f aca="false">ABS(E235)/$P$3</f>
        <v>0</v>
      </c>
      <c r="R235" s="112" t="n">
        <f aca="false">ABS(F235)/$P$3</f>
        <v>0</v>
      </c>
      <c r="S235" s="112" t="n">
        <f aca="false">ABS(G235)/$P$3</f>
        <v>0</v>
      </c>
      <c r="T235" s="112" t="n">
        <f aca="false">ABS(H235)/$P$3</f>
        <v>0</v>
      </c>
      <c r="U235" s="112" t="n">
        <f aca="false">ABS(I235)/$P$3</f>
        <v>0</v>
      </c>
      <c r="V235" s="112" t="n">
        <f aca="false">ABS(J235)/$P$3</f>
        <v>0</v>
      </c>
      <c r="W235" s="112" t="n">
        <f aca="false">ABS(K235)/$P$3</f>
        <v>0</v>
      </c>
      <c r="X235" s="112" t="n">
        <f aca="false">ABS(L235)/$P$3</f>
        <v>0</v>
      </c>
      <c r="Y235" s="112" t="n">
        <f aca="false">ABS(M235)/$P$3</f>
        <v>0</v>
      </c>
      <c r="Z235" s="112" t="n">
        <f aca="false">ABS(N235)/$P$3</f>
        <v>0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Data'!$A$2:$B$8,MATCH(WEEKDAY('RAC V@r Total'!A236,3),'Master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H236" s="112" t="n">
        <v>0</v>
      </c>
      <c r="I236" s="112" t="n">
        <v>0</v>
      </c>
      <c r="J236" s="112" t="n">
        <v>0</v>
      </c>
      <c r="K236" s="112" t="n">
        <v>0</v>
      </c>
      <c r="L236" s="112" t="n">
        <v>0</v>
      </c>
      <c r="M236" s="112" t="n">
        <v>0</v>
      </c>
      <c r="N236" s="112" t="n">
        <v>0</v>
      </c>
      <c r="P236" s="112" t="n">
        <f aca="false">ABS(D236)/$P$3</f>
        <v>0</v>
      </c>
      <c r="Q236" s="112" t="n">
        <f aca="false">ABS(E236)/$P$3</f>
        <v>0</v>
      </c>
      <c r="R236" s="112" t="n">
        <f aca="false">ABS(F236)/$P$3</f>
        <v>0</v>
      </c>
      <c r="S236" s="112" t="n">
        <f aca="false">ABS(G236)/$P$3</f>
        <v>0</v>
      </c>
      <c r="T236" s="112" t="n">
        <f aca="false">ABS(H236)/$P$3</f>
        <v>0</v>
      </c>
      <c r="U236" s="112" t="n">
        <f aca="false">ABS(I236)/$P$3</f>
        <v>0</v>
      </c>
      <c r="V236" s="112" t="n">
        <f aca="false">ABS(J236)/$P$3</f>
        <v>0</v>
      </c>
      <c r="W236" s="112" t="n">
        <f aca="false">ABS(K236)/$P$3</f>
        <v>0</v>
      </c>
      <c r="X236" s="112" t="n">
        <f aca="false">ABS(L236)/$P$3</f>
        <v>0</v>
      </c>
      <c r="Y236" s="112" t="n">
        <f aca="false">ABS(M236)/$P$3</f>
        <v>0</v>
      </c>
      <c r="Z236" s="112" t="n">
        <f aca="false">ABS(N236)/$P$3</f>
        <v>0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Data'!$A$2:$B$8,MATCH(WEEKDAY('RAC V@r Total'!A237,3),'Master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H237" s="112" t="n">
        <v>0</v>
      </c>
      <c r="I237" s="112" t="n">
        <v>0</v>
      </c>
      <c r="J237" s="112" t="n">
        <v>0</v>
      </c>
      <c r="K237" s="112" t="n">
        <v>0</v>
      </c>
      <c r="L237" s="112" t="n">
        <v>0</v>
      </c>
      <c r="M237" s="112" t="n">
        <v>0</v>
      </c>
      <c r="N237" s="112" t="n">
        <v>0</v>
      </c>
      <c r="P237" s="112" t="n">
        <f aca="false">ABS(D237)/$P$3</f>
        <v>0</v>
      </c>
      <c r="Q237" s="112" t="n">
        <f aca="false">ABS(E237)/$P$3</f>
        <v>0</v>
      </c>
      <c r="R237" s="112" t="n">
        <f aca="false">ABS(F237)/$P$3</f>
        <v>0</v>
      </c>
      <c r="S237" s="112" t="n">
        <f aca="false">ABS(G237)/$P$3</f>
        <v>0</v>
      </c>
      <c r="T237" s="112" t="n">
        <f aca="false">ABS(H237)/$P$3</f>
        <v>0</v>
      </c>
      <c r="U237" s="112" t="n">
        <f aca="false">ABS(I237)/$P$3</f>
        <v>0</v>
      </c>
      <c r="V237" s="112" t="n">
        <f aca="false">ABS(J237)/$P$3</f>
        <v>0</v>
      </c>
      <c r="W237" s="112" t="n">
        <f aca="false">ABS(K237)/$P$3</f>
        <v>0</v>
      </c>
      <c r="X237" s="112" t="n">
        <f aca="false">ABS(L237)/$P$3</f>
        <v>0</v>
      </c>
      <c r="Y237" s="112" t="n">
        <f aca="false">ABS(M237)/$P$3</f>
        <v>0</v>
      </c>
      <c r="Z237" s="112" t="n">
        <f aca="false">ABS(N237)/$P$3</f>
        <v>0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Data'!$A$2:$B$8,MATCH(WEEKDAY('RAC V@r Total'!A238,3),'Master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H238" s="112" t="n">
        <v>0</v>
      </c>
      <c r="I238" s="112" t="n">
        <v>0</v>
      </c>
      <c r="J238" s="112" t="n">
        <v>0</v>
      </c>
      <c r="K238" s="112" t="n">
        <v>0</v>
      </c>
      <c r="L238" s="112" t="n">
        <v>0</v>
      </c>
      <c r="M238" s="112" t="n">
        <v>0</v>
      </c>
      <c r="N238" s="112" t="n">
        <v>0</v>
      </c>
      <c r="P238" s="112" t="n">
        <f aca="false">ABS(D238)/$P$3</f>
        <v>0</v>
      </c>
      <c r="Q238" s="112" t="n">
        <f aca="false">ABS(E238)/$P$3</f>
        <v>0</v>
      </c>
      <c r="R238" s="112" t="n">
        <f aca="false">ABS(F238)/$P$3</f>
        <v>0</v>
      </c>
      <c r="S238" s="112" t="n">
        <f aca="false">ABS(G238)/$P$3</f>
        <v>0</v>
      </c>
      <c r="T238" s="112" t="n">
        <f aca="false">ABS(H238)/$P$3</f>
        <v>0</v>
      </c>
      <c r="U238" s="112" t="n">
        <f aca="false">ABS(I238)/$P$3</f>
        <v>0</v>
      </c>
      <c r="V238" s="112" t="n">
        <f aca="false">ABS(J238)/$P$3</f>
        <v>0</v>
      </c>
      <c r="W238" s="112" t="n">
        <f aca="false">ABS(K238)/$P$3</f>
        <v>0</v>
      </c>
      <c r="X238" s="112" t="n">
        <f aca="false">ABS(L238)/$P$3</f>
        <v>0</v>
      </c>
      <c r="Y238" s="112" t="n">
        <f aca="false">ABS(M238)/$P$3</f>
        <v>0</v>
      </c>
      <c r="Z238" s="112" t="n">
        <f aca="false">ABS(N238)/$P$3</f>
        <v>0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Data'!$A$2:$B$8,MATCH(WEEKDAY('RAC V@r Total'!A239,3),'Master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H239" s="112" t="n">
        <v>0</v>
      </c>
      <c r="I239" s="112" t="n">
        <v>0</v>
      </c>
      <c r="J239" s="112" t="n">
        <v>0</v>
      </c>
      <c r="K239" s="112" t="n">
        <v>0</v>
      </c>
      <c r="L239" s="112" t="n">
        <v>0</v>
      </c>
      <c r="M239" s="112" t="n">
        <v>0</v>
      </c>
      <c r="N239" s="112" t="n">
        <v>0</v>
      </c>
      <c r="P239" s="112" t="n">
        <f aca="false">ABS(D239)/$P$3</f>
        <v>0</v>
      </c>
      <c r="Q239" s="112" t="n">
        <f aca="false">ABS(E239)/$P$3</f>
        <v>0</v>
      </c>
      <c r="R239" s="112" t="n">
        <f aca="false">ABS(F239)/$P$3</f>
        <v>0</v>
      </c>
      <c r="S239" s="112" t="n">
        <f aca="false">ABS(G239)/$P$3</f>
        <v>0</v>
      </c>
      <c r="T239" s="112" t="n">
        <f aca="false">ABS(H239)/$P$3</f>
        <v>0</v>
      </c>
      <c r="U239" s="112" t="n">
        <f aca="false">ABS(I239)/$P$3</f>
        <v>0</v>
      </c>
      <c r="V239" s="112" t="n">
        <f aca="false">ABS(J239)/$P$3</f>
        <v>0</v>
      </c>
      <c r="W239" s="112" t="n">
        <f aca="false">ABS(K239)/$P$3</f>
        <v>0</v>
      </c>
      <c r="X239" s="112" t="n">
        <f aca="false">ABS(L239)/$P$3</f>
        <v>0</v>
      </c>
      <c r="Y239" s="112" t="n">
        <f aca="false">ABS(M239)/$P$3</f>
        <v>0</v>
      </c>
      <c r="Z239" s="112" t="n">
        <f aca="false">ABS(N239)/$P$3</f>
        <v>0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Data'!$A$2:$B$8,MATCH(WEEKDAY('RAC V@r Total'!A240,3),'Master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H240" s="112" t="n">
        <v>0</v>
      </c>
      <c r="I240" s="112" t="n">
        <v>0</v>
      </c>
      <c r="J240" s="112" t="n">
        <v>0</v>
      </c>
      <c r="K240" s="112" t="n">
        <v>0</v>
      </c>
      <c r="L240" s="112" t="n">
        <v>0</v>
      </c>
      <c r="M240" s="112" t="n">
        <v>0</v>
      </c>
      <c r="N240" s="112" t="n">
        <v>0</v>
      </c>
      <c r="P240" s="112" t="n">
        <f aca="false">ABS(D240)/$P$3</f>
        <v>0</v>
      </c>
      <c r="Q240" s="112" t="n">
        <f aca="false">ABS(E240)/$P$3</f>
        <v>0</v>
      </c>
      <c r="R240" s="112" t="n">
        <f aca="false">ABS(F240)/$P$3</f>
        <v>0</v>
      </c>
      <c r="S240" s="112" t="n">
        <f aca="false">ABS(G240)/$P$3</f>
        <v>0</v>
      </c>
      <c r="T240" s="112" t="n">
        <f aca="false">ABS(H240)/$P$3</f>
        <v>0</v>
      </c>
      <c r="U240" s="112" t="n">
        <f aca="false">ABS(I240)/$P$3</f>
        <v>0</v>
      </c>
      <c r="V240" s="112" t="n">
        <f aca="false">ABS(J240)/$P$3</f>
        <v>0</v>
      </c>
      <c r="W240" s="112" t="n">
        <f aca="false">ABS(K240)/$P$3</f>
        <v>0</v>
      </c>
      <c r="X240" s="112" t="n">
        <f aca="false">ABS(L240)/$P$3</f>
        <v>0</v>
      </c>
      <c r="Y240" s="112" t="n">
        <f aca="false">ABS(M240)/$P$3</f>
        <v>0</v>
      </c>
      <c r="Z240" s="112" t="n">
        <f aca="false">ABS(N240)/$P$3</f>
        <v>0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Data'!$A$2:$B$8,MATCH(WEEKDAY('RAC V@r Total'!A241,3),'Master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H241" s="112" t="n">
        <v>0</v>
      </c>
      <c r="I241" s="112" t="n">
        <v>0</v>
      </c>
      <c r="J241" s="112" t="n">
        <v>0</v>
      </c>
      <c r="K241" s="112" t="n">
        <v>0</v>
      </c>
      <c r="L241" s="112" t="n">
        <v>0</v>
      </c>
      <c r="M241" s="112" t="n">
        <v>0</v>
      </c>
      <c r="N241" s="112" t="n">
        <v>0</v>
      </c>
      <c r="P241" s="112" t="n">
        <f aca="false">ABS(D241)/$P$3</f>
        <v>0</v>
      </c>
      <c r="Q241" s="112" t="n">
        <f aca="false">ABS(E241)/$P$3</f>
        <v>0</v>
      </c>
      <c r="R241" s="112" t="n">
        <f aca="false">ABS(F241)/$P$3</f>
        <v>0</v>
      </c>
      <c r="S241" s="112" t="n">
        <f aca="false">ABS(G241)/$P$3</f>
        <v>0</v>
      </c>
      <c r="T241" s="112" t="n">
        <f aca="false">ABS(H241)/$P$3</f>
        <v>0</v>
      </c>
      <c r="U241" s="112" t="n">
        <f aca="false">ABS(I241)/$P$3</f>
        <v>0</v>
      </c>
      <c r="V241" s="112" t="n">
        <f aca="false">ABS(J241)/$P$3</f>
        <v>0</v>
      </c>
      <c r="W241" s="112" t="n">
        <f aca="false">ABS(K241)/$P$3</f>
        <v>0</v>
      </c>
      <c r="X241" s="112" t="n">
        <f aca="false">ABS(L241)/$P$3</f>
        <v>0</v>
      </c>
      <c r="Y241" s="112" t="n">
        <f aca="false">ABS(M241)/$P$3</f>
        <v>0</v>
      </c>
      <c r="Z241" s="112" t="n">
        <f aca="false">ABS(N241)/$P$3</f>
        <v>0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Data'!$A$2:$B$8,MATCH(WEEKDAY('RAC V@r Total'!A242,3),'Master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H242" s="112" t="n">
        <v>0</v>
      </c>
      <c r="I242" s="112" t="n">
        <v>0</v>
      </c>
      <c r="J242" s="112" t="n">
        <v>0</v>
      </c>
      <c r="K242" s="112" t="n">
        <v>0</v>
      </c>
      <c r="L242" s="112" t="n">
        <v>0</v>
      </c>
      <c r="M242" s="112" t="n">
        <v>0</v>
      </c>
      <c r="N242" s="112" t="n">
        <v>0</v>
      </c>
      <c r="P242" s="112" t="n">
        <f aca="false">ABS(D242)/$P$3</f>
        <v>0</v>
      </c>
      <c r="Q242" s="112" t="n">
        <f aca="false">ABS(E242)/$P$3</f>
        <v>0</v>
      </c>
      <c r="R242" s="112" t="n">
        <f aca="false">ABS(F242)/$P$3</f>
        <v>0</v>
      </c>
      <c r="S242" s="112" t="n">
        <f aca="false">ABS(G242)/$P$3</f>
        <v>0</v>
      </c>
      <c r="T242" s="112" t="n">
        <f aca="false">ABS(H242)/$P$3</f>
        <v>0</v>
      </c>
      <c r="U242" s="112" t="n">
        <f aca="false">ABS(I242)/$P$3</f>
        <v>0</v>
      </c>
      <c r="V242" s="112" t="n">
        <f aca="false">ABS(J242)/$P$3</f>
        <v>0</v>
      </c>
      <c r="W242" s="112" t="n">
        <f aca="false">ABS(K242)/$P$3</f>
        <v>0</v>
      </c>
      <c r="X242" s="112" t="n">
        <f aca="false">ABS(L242)/$P$3</f>
        <v>0</v>
      </c>
      <c r="Y242" s="112" t="n">
        <f aca="false">ABS(M242)/$P$3</f>
        <v>0</v>
      </c>
      <c r="Z242" s="112" t="n">
        <f aca="false">ABS(N242)/$P$3</f>
        <v>0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Data'!$A$2:$B$8,MATCH(WEEKDAY('RAC V@r Total'!A243,3),'Master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H243" s="112" t="n">
        <v>0</v>
      </c>
      <c r="I243" s="112" t="n">
        <v>0</v>
      </c>
      <c r="J243" s="112" t="n">
        <v>0</v>
      </c>
      <c r="K243" s="112" t="n">
        <v>0</v>
      </c>
      <c r="L243" s="112" t="n">
        <v>0</v>
      </c>
      <c r="M243" s="112" t="n">
        <v>0</v>
      </c>
      <c r="N243" s="112" t="n">
        <v>0</v>
      </c>
      <c r="P243" s="112" t="n">
        <f aca="false">ABS(D243)/$P$3</f>
        <v>0</v>
      </c>
      <c r="Q243" s="112" t="n">
        <f aca="false">ABS(E243)/$P$3</f>
        <v>0</v>
      </c>
      <c r="R243" s="112" t="n">
        <f aca="false">ABS(F243)/$P$3</f>
        <v>0</v>
      </c>
      <c r="S243" s="112" t="n">
        <f aca="false">ABS(G243)/$P$3</f>
        <v>0</v>
      </c>
      <c r="T243" s="112" t="n">
        <f aca="false">ABS(H243)/$P$3</f>
        <v>0</v>
      </c>
      <c r="U243" s="112" t="n">
        <f aca="false">ABS(I243)/$P$3</f>
        <v>0</v>
      </c>
      <c r="V243" s="112" t="n">
        <f aca="false">ABS(J243)/$P$3</f>
        <v>0</v>
      </c>
      <c r="W243" s="112" t="n">
        <f aca="false">ABS(K243)/$P$3</f>
        <v>0</v>
      </c>
      <c r="X243" s="112" t="n">
        <f aca="false">ABS(L243)/$P$3</f>
        <v>0</v>
      </c>
      <c r="Y243" s="112" t="n">
        <f aca="false">ABS(M243)/$P$3</f>
        <v>0</v>
      </c>
      <c r="Z243" s="112" t="n">
        <f aca="false">ABS(N243)/$P$3</f>
        <v>0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Data'!$A$2:$B$8,MATCH(WEEKDAY('RAC V@r Total'!A244,3),'Master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H244" s="112" t="n">
        <v>0</v>
      </c>
      <c r="I244" s="112" t="n">
        <v>0</v>
      </c>
      <c r="J244" s="112" t="n">
        <v>0</v>
      </c>
      <c r="K244" s="112" t="n">
        <v>0</v>
      </c>
      <c r="L244" s="112" t="n">
        <v>0</v>
      </c>
      <c r="M244" s="112" t="n">
        <v>0</v>
      </c>
      <c r="N244" s="112" t="n">
        <v>0</v>
      </c>
      <c r="P244" s="112" t="n">
        <f aca="false">ABS(D244)/$P$3</f>
        <v>0</v>
      </c>
      <c r="Q244" s="112" t="n">
        <f aca="false">ABS(E244)/$P$3</f>
        <v>0</v>
      </c>
      <c r="R244" s="112" t="n">
        <f aca="false">ABS(F244)/$P$3</f>
        <v>0</v>
      </c>
      <c r="S244" s="112" t="n">
        <f aca="false">ABS(G244)/$P$3</f>
        <v>0</v>
      </c>
      <c r="T244" s="112" t="n">
        <f aca="false">ABS(H244)/$P$3</f>
        <v>0</v>
      </c>
      <c r="U244" s="112" t="n">
        <f aca="false">ABS(I244)/$P$3</f>
        <v>0</v>
      </c>
      <c r="V244" s="112" t="n">
        <f aca="false">ABS(J244)/$P$3</f>
        <v>0</v>
      </c>
      <c r="W244" s="112" t="n">
        <f aca="false">ABS(K244)/$P$3</f>
        <v>0</v>
      </c>
      <c r="X244" s="112" t="n">
        <f aca="false">ABS(L244)/$P$3</f>
        <v>0</v>
      </c>
      <c r="Y244" s="112" t="n">
        <f aca="false">ABS(M244)/$P$3</f>
        <v>0</v>
      </c>
      <c r="Z244" s="112" t="n">
        <f aca="false">ABS(N244)/$P$3</f>
        <v>0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Data'!$A$2:$B$8,MATCH(WEEKDAY('RAC V@r Total'!A245,3),'Master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H245" s="112" t="n">
        <v>0</v>
      </c>
      <c r="I245" s="112" t="n">
        <v>0</v>
      </c>
      <c r="J245" s="112" t="n">
        <v>0</v>
      </c>
      <c r="K245" s="112" t="n">
        <v>0</v>
      </c>
      <c r="L245" s="112" t="n">
        <v>0</v>
      </c>
      <c r="M245" s="112" t="n">
        <v>0</v>
      </c>
      <c r="N245" s="112" t="n">
        <v>0</v>
      </c>
      <c r="P245" s="112" t="n">
        <f aca="false">ABS(D245)/$P$3</f>
        <v>0</v>
      </c>
      <c r="Q245" s="112" t="n">
        <f aca="false">ABS(E245)/$P$3</f>
        <v>0</v>
      </c>
      <c r="R245" s="112" t="n">
        <f aca="false">ABS(F245)/$P$3</f>
        <v>0</v>
      </c>
      <c r="S245" s="112" t="n">
        <f aca="false">ABS(G245)/$P$3</f>
        <v>0</v>
      </c>
      <c r="T245" s="112" t="n">
        <f aca="false">ABS(H245)/$P$3</f>
        <v>0</v>
      </c>
      <c r="U245" s="112" t="n">
        <f aca="false">ABS(I245)/$P$3</f>
        <v>0</v>
      </c>
      <c r="V245" s="112" t="n">
        <f aca="false">ABS(J245)/$P$3</f>
        <v>0</v>
      </c>
      <c r="W245" s="112" t="n">
        <f aca="false">ABS(K245)/$P$3</f>
        <v>0</v>
      </c>
      <c r="X245" s="112" t="n">
        <f aca="false">ABS(L245)/$P$3</f>
        <v>0</v>
      </c>
      <c r="Y245" s="112" t="n">
        <f aca="false">ABS(M245)/$P$3</f>
        <v>0</v>
      </c>
      <c r="Z245" s="112" t="n">
        <f aca="false">ABS(N245)/$P$3</f>
        <v>0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Data'!$A$2:$B$8,MATCH(WEEKDAY('RAC V@r Total'!A246,3),'Master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H246" s="112" t="n">
        <v>0</v>
      </c>
      <c r="I246" s="112" t="n">
        <v>0</v>
      </c>
      <c r="J246" s="112" t="n">
        <v>0</v>
      </c>
      <c r="K246" s="112" t="n">
        <v>0</v>
      </c>
      <c r="L246" s="112" t="n">
        <v>0</v>
      </c>
      <c r="M246" s="112" t="n">
        <v>0</v>
      </c>
      <c r="N246" s="112" t="n">
        <v>0</v>
      </c>
      <c r="P246" s="112" t="n">
        <f aca="false">ABS(D246)/$P$3</f>
        <v>0</v>
      </c>
      <c r="Q246" s="112" t="n">
        <f aca="false">ABS(E246)/$P$3</f>
        <v>0</v>
      </c>
      <c r="R246" s="112" t="n">
        <f aca="false">ABS(F246)/$P$3</f>
        <v>0</v>
      </c>
      <c r="S246" s="112" t="n">
        <f aca="false">ABS(G246)/$P$3</f>
        <v>0</v>
      </c>
      <c r="T246" s="112" t="n">
        <f aca="false">ABS(H246)/$P$3</f>
        <v>0</v>
      </c>
      <c r="U246" s="112" t="n">
        <f aca="false">ABS(I246)/$P$3</f>
        <v>0</v>
      </c>
      <c r="V246" s="112" t="n">
        <f aca="false">ABS(J246)/$P$3</f>
        <v>0</v>
      </c>
      <c r="W246" s="112" t="n">
        <f aca="false">ABS(K246)/$P$3</f>
        <v>0</v>
      </c>
      <c r="X246" s="112" t="n">
        <f aca="false">ABS(L246)/$P$3</f>
        <v>0</v>
      </c>
      <c r="Y246" s="112" t="n">
        <f aca="false">ABS(M246)/$P$3</f>
        <v>0</v>
      </c>
      <c r="Z246" s="112" t="n">
        <f aca="false">ABS(N246)/$P$3</f>
        <v>0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Data'!$A$2:$B$8,MATCH(WEEKDAY('RAC V@r Total'!A247,3),'Master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H247" s="112" t="n">
        <v>0</v>
      </c>
      <c r="I247" s="112" t="n">
        <v>0</v>
      </c>
      <c r="J247" s="112" t="n">
        <v>0</v>
      </c>
      <c r="K247" s="112" t="n">
        <v>0</v>
      </c>
      <c r="L247" s="112" t="n">
        <v>0</v>
      </c>
      <c r="M247" s="112" t="n">
        <v>0</v>
      </c>
      <c r="N247" s="112" t="n">
        <v>0</v>
      </c>
      <c r="P247" s="112" t="n">
        <f aca="false">ABS(D247)/$P$3</f>
        <v>0</v>
      </c>
      <c r="Q247" s="112" t="n">
        <f aca="false">ABS(E247)/$P$3</f>
        <v>0</v>
      </c>
      <c r="R247" s="112" t="n">
        <f aca="false">ABS(F247)/$P$3</f>
        <v>0</v>
      </c>
      <c r="S247" s="112" t="n">
        <f aca="false">ABS(G247)/$P$3</f>
        <v>0</v>
      </c>
      <c r="T247" s="112" t="n">
        <f aca="false">ABS(H247)/$P$3</f>
        <v>0</v>
      </c>
      <c r="U247" s="112" t="n">
        <f aca="false">ABS(I247)/$P$3</f>
        <v>0</v>
      </c>
      <c r="V247" s="112" t="n">
        <f aca="false">ABS(J247)/$P$3</f>
        <v>0</v>
      </c>
      <c r="W247" s="112" t="n">
        <f aca="false">ABS(K247)/$P$3</f>
        <v>0</v>
      </c>
      <c r="X247" s="112" t="n">
        <f aca="false">ABS(L247)/$P$3</f>
        <v>0</v>
      </c>
      <c r="Y247" s="112" t="n">
        <f aca="false">ABS(M247)/$P$3</f>
        <v>0</v>
      </c>
      <c r="Z247" s="112" t="n">
        <f aca="false">ABS(N247)/$P$3</f>
        <v>0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Data'!$A$2:$B$8,MATCH(WEEKDAY('RAC V@r Total'!A248,3),'Master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H248" s="112" t="n">
        <v>0</v>
      </c>
      <c r="I248" s="112" t="n">
        <v>0</v>
      </c>
      <c r="J248" s="112" t="n">
        <v>0</v>
      </c>
      <c r="K248" s="112" t="n">
        <v>0</v>
      </c>
      <c r="L248" s="112" t="n">
        <v>0</v>
      </c>
      <c r="M248" s="112" t="n">
        <v>0</v>
      </c>
      <c r="N248" s="112" t="n">
        <v>0</v>
      </c>
      <c r="P248" s="112" t="n">
        <f aca="false">ABS(D248)/$P$3</f>
        <v>0</v>
      </c>
      <c r="Q248" s="112" t="n">
        <f aca="false">ABS(E248)/$P$3</f>
        <v>0</v>
      </c>
      <c r="R248" s="112" t="n">
        <f aca="false">ABS(F248)/$P$3</f>
        <v>0</v>
      </c>
      <c r="S248" s="112" t="n">
        <f aca="false">ABS(G248)/$P$3</f>
        <v>0</v>
      </c>
      <c r="T248" s="112" t="n">
        <f aca="false">ABS(H248)/$P$3</f>
        <v>0</v>
      </c>
      <c r="U248" s="112" t="n">
        <f aca="false">ABS(I248)/$P$3</f>
        <v>0</v>
      </c>
      <c r="V248" s="112" t="n">
        <f aca="false">ABS(J248)/$P$3</f>
        <v>0</v>
      </c>
      <c r="W248" s="112" t="n">
        <f aca="false">ABS(K248)/$P$3</f>
        <v>0</v>
      </c>
      <c r="X248" s="112" t="n">
        <f aca="false">ABS(L248)/$P$3</f>
        <v>0</v>
      </c>
      <c r="Y248" s="112" t="n">
        <f aca="false">ABS(M248)/$P$3</f>
        <v>0</v>
      </c>
      <c r="Z248" s="112" t="n">
        <f aca="false">ABS(N248)/$P$3</f>
        <v>0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Data'!$A$2:$B$8,MATCH(WEEKDAY('RAC V@r Total'!A249,3),'Master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H249" s="112" t="n">
        <v>0</v>
      </c>
      <c r="I249" s="112" t="n">
        <v>0</v>
      </c>
      <c r="J249" s="112" t="n">
        <v>0</v>
      </c>
      <c r="K249" s="112" t="n">
        <v>0</v>
      </c>
      <c r="L249" s="112" t="n">
        <v>0</v>
      </c>
      <c r="M249" s="112" t="n">
        <v>0</v>
      </c>
      <c r="N249" s="112" t="n">
        <v>0</v>
      </c>
      <c r="P249" s="112" t="n">
        <f aca="false">ABS(D249)/$P$3</f>
        <v>0</v>
      </c>
      <c r="Q249" s="112" t="n">
        <f aca="false">ABS(E249)/$P$3</f>
        <v>0</v>
      </c>
      <c r="R249" s="112" t="n">
        <f aca="false">ABS(F249)/$P$3</f>
        <v>0</v>
      </c>
      <c r="S249" s="112" t="n">
        <f aca="false">ABS(G249)/$P$3</f>
        <v>0</v>
      </c>
      <c r="T249" s="112" t="n">
        <f aca="false">ABS(H249)/$P$3</f>
        <v>0</v>
      </c>
      <c r="U249" s="112" t="n">
        <f aca="false">ABS(I249)/$P$3</f>
        <v>0</v>
      </c>
      <c r="V249" s="112" t="n">
        <f aca="false">ABS(J249)/$P$3</f>
        <v>0</v>
      </c>
      <c r="W249" s="112" t="n">
        <f aca="false">ABS(K249)/$P$3</f>
        <v>0</v>
      </c>
      <c r="X249" s="112" t="n">
        <f aca="false">ABS(L249)/$P$3</f>
        <v>0</v>
      </c>
      <c r="Y249" s="112" t="n">
        <f aca="false">ABS(M249)/$P$3</f>
        <v>0</v>
      </c>
      <c r="Z249" s="112" t="n">
        <f aca="false">ABS(N249)/$P$3</f>
        <v>0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Data'!$A$2:$B$8,MATCH(WEEKDAY('RAC V@r Total'!A250,3),'Master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H250" s="112" t="n">
        <v>0</v>
      </c>
      <c r="I250" s="112" t="n">
        <v>0</v>
      </c>
      <c r="J250" s="112" t="n">
        <v>0</v>
      </c>
      <c r="K250" s="112" t="n">
        <v>0</v>
      </c>
      <c r="L250" s="112" t="n">
        <v>0</v>
      </c>
      <c r="M250" s="112" t="n">
        <v>0</v>
      </c>
      <c r="N250" s="112" t="n">
        <v>0</v>
      </c>
      <c r="P250" s="112" t="n">
        <f aca="false">ABS(D250)/$P$3</f>
        <v>0</v>
      </c>
      <c r="Q250" s="112" t="n">
        <f aca="false">ABS(E250)/$P$3</f>
        <v>0</v>
      </c>
      <c r="R250" s="112" t="n">
        <f aca="false">ABS(F250)/$P$3</f>
        <v>0</v>
      </c>
      <c r="S250" s="112" t="n">
        <f aca="false">ABS(G250)/$P$3</f>
        <v>0</v>
      </c>
      <c r="T250" s="112" t="n">
        <f aca="false">ABS(H250)/$P$3</f>
        <v>0</v>
      </c>
      <c r="U250" s="112" t="n">
        <f aca="false">ABS(I250)/$P$3</f>
        <v>0</v>
      </c>
      <c r="V250" s="112" t="n">
        <f aca="false">ABS(J250)/$P$3</f>
        <v>0</v>
      </c>
      <c r="W250" s="112" t="n">
        <f aca="false">ABS(K250)/$P$3</f>
        <v>0</v>
      </c>
      <c r="X250" s="112" t="n">
        <f aca="false">ABS(L250)/$P$3</f>
        <v>0</v>
      </c>
      <c r="Y250" s="112" t="n">
        <f aca="false">ABS(M250)/$P$3</f>
        <v>0</v>
      </c>
      <c r="Z250" s="112" t="n">
        <f aca="false">ABS(N250)/$P$3</f>
        <v>0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Data'!$A$2:$B$8,MATCH(WEEKDAY('RAC V@r Total'!A251,3),'Master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H251" s="112" t="n">
        <v>0</v>
      </c>
      <c r="I251" s="112" t="n">
        <v>0</v>
      </c>
      <c r="J251" s="112" t="n">
        <v>0</v>
      </c>
      <c r="K251" s="112" t="n">
        <v>0</v>
      </c>
      <c r="L251" s="112" t="n">
        <v>0</v>
      </c>
      <c r="M251" s="112" t="n">
        <v>0</v>
      </c>
      <c r="N251" s="112" t="n">
        <v>0</v>
      </c>
      <c r="P251" s="112" t="n">
        <f aca="false">ABS(D251)/$P$3</f>
        <v>0</v>
      </c>
      <c r="Q251" s="112" t="n">
        <f aca="false">ABS(E251)/$P$3</f>
        <v>0</v>
      </c>
      <c r="R251" s="112" t="n">
        <f aca="false">ABS(F251)/$P$3</f>
        <v>0</v>
      </c>
      <c r="S251" s="112" t="n">
        <f aca="false">ABS(G251)/$P$3</f>
        <v>0</v>
      </c>
      <c r="T251" s="112" t="n">
        <f aca="false">ABS(H251)/$P$3</f>
        <v>0</v>
      </c>
      <c r="U251" s="112" t="n">
        <f aca="false">ABS(I251)/$P$3</f>
        <v>0</v>
      </c>
      <c r="V251" s="112" t="n">
        <f aca="false">ABS(J251)/$P$3</f>
        <v>0</v>
      </c>
      <c r="W251" s="112" t="n">
        <f aca="false">ABS(K251)/$P$3</f>
        <v>0</v>
      </c>
      <c r="X251" s="112" t="n">
        <f aca="false">ABS(L251)/$P$3</f>
        <v>0</v>
      </c>
      <c r="Y251" s="112" t="n">
        <f aca="false">ABS(M251)/$P$3</f>
        <v>0</v>
      </c>
      <c r="Z251" s="112" t="n">
        <f aca="false">ABS(N251)/$P$3</f>
        <v>0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Data'!$A$2:$B$8,MATCH(WEEKDAY('RAC V@r Total'!A252,3),'Master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H252" s="112" t="n">
        <v>0</v>
      </c>
      <c r="I252" s="112" t="n">
        <v>0</v>
      </c>
      <c r="J252" s="112" t="n">
        <v>0</v>
      </c>
      <c r="K252" s="112" t="n">
        <v>0</v>
      </c>
      <c r="L252" s="112" t="n">
        <v>0</v>
      </c>
      <c r="M252" s="112" t="n">
        <v>0</v>
      </c>
      <c r="N252" s="112" t="n">
        <v>0</v>
      </c>
      <c r="P252" s="112" t="n">
        <f aca="false">ABS(D252)/$P$3</f>
        <v>0</v>
      </c>
      <c r="Q252" s="112" t="n">
        <f aca="false">ABS(E252)/$P$3</f>
        <v>0</v>
      </c>
      <c r="R252" s="112" t="n">
        <f aca="false">ABS(F252)/$P$3</f>
        <v>0</v>
      </c>
      <c r="S252" s="112" t="n">
        <f aca="false">ABS(G252)/$P$3</f>
        <v>0</v>
      </c>
      <c r="T252" s="112" t="n">
        <f aca="false">ABS(H252)/$P$3</f>
        <v>0</v>
      </c>
      <c r="U252" s="112" t="n">
        <f aca="false">ABS(I252)/$P$3</f>
        <v>0</v>
      </c>
      <c r="V252" s="112" t="n">
        <f aca="false">ABS(J252)/$P$3</f>
        <v>0</v>
      </c>
      <c r="W252" s="112" t="n">
        <f aca="false">ABS(K252)/$P$3</f>
        <v>0</v>
      </c>
      <c r="X252" s="112" t="n">
        <f aca="false">ABS(L252)/$P$3</f>
        <v>0</v>
      </c>
      <c r="Y252" s="112" t="n">
        <f aca="false">ABS(M252)/$P$3</f>
        <v>0</v>
      </c>
      <c r="Z252" s="112" t="n">
        <f aca="false">ABS(N252)/$P$3</f>
        <v>0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Data'!$A$2:$B$8,MATCH(WEEKDAY('RAC V@r Total'!A253,3),'Master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H253" s="112" t="n">
        <v>0</v>
      </c>
      <c r="I253" s="112" t="n">
        <v>0</v>
      </c>
      <c r="J253" s="112" t="n">
        <v>0</v>
      </c>
      <c r="K253" s="112" t="n">
        <v>0</v>
      </c>
      <c r="L253" s="112" t="n">
        <v>0</v>
      </c>
      <c r="M253" s="112" t="n">
        <v>0</v>
      </c>
      <c r="N253" s="112" t="n">
        <v>0</v>
      </c>
      <c r="P253" s="112" t="n">
        <f aca="false">ABS(D253)/$P$3</f>
        <v>0</v>
      </c>
      <c r="Q253" s="112" t="n">
        <f aca="false">ABS(E253)/$P$3</f>
        <v>0</v>
      </c>
      <c r="R253" s="112" t="n">
        <f aca="false">ABS(F253)/$P$3</f>
        <v>0</v>
      </c>
      <c r="S253" s="112" t="n">
        <f aca="false">ABS(G253)/$P$3</f>
        <v>0</v>
      </c>
      <c r="T253" s="112" t="n">
        <f aca="false">ABS(H253)/$P$3</f>
        <v>0</v>
      </c>
      <c r="U253" s="112" t="n">
        <f aca="false">ABS(I253)/$P$3</f>
        <v>0</v>
      </c>
      <c r="V253" s="112" t="n">
        <f aca="false">ABS(J253)/$P$3</f>
        <v>0</v>
      </c>
      <c r="W253" s="112" t="n">
        <f aca="false">ABS(K253)/$P$3</f>
        <v>0</v>
      </c>
      <c r="X253" s="112" t="n">
        <f aca="false">ABS(L253)/$P$3</f>
        <v>0</v>
      </c>
      <c r="Y253" s="112" t="n">
        <f aca="false">ABS(M253)/$P$3</f>
        <v>0</v>
      </c>
      <c r="Z253" s="112" t="n">
        <f aca="false">ABS(N253)/$P$3</f>
        <v>0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Data'!$A$2:$B$8,MATCH(WEEKDAY('RAC V@r Total'!A254,3),'Master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H254" s="112" t="n">
        <v>0</v>
      </c>
      <c r="I254" s="112" t="n">
        <v>0</v>
      </c>
      <c r="J254" s="112" t="n">
        <v>0</v>
      </c>
      <c r="K254" s="112" t="n">
        <v>0</v>
      </c>
      <c r="L254" s="112" t="n">
        <v>0</v>
      </c>
      <c r="M254" s="112" t="n">
        <v>0</v>
      </c>
      <c r="N254" s="112" t="n">
        <v>0</v>
      </c>
      <c r="P254" s="112" t="n">
        <f aca="false">ABS(D254)/$P$3</f>
        <v>0</v>
      </c>
      <c r="Q254" s="112" t="n">
        <f aca="false">ABS(E254)/$P$3</f>
        <v>0</v>
      </c>
      <c r="R254" s="112" t="n">
        <f aca="false">ABS(F254)/$P$3</f>
        <v>0</v>
      </c>
      <c r="S254" s="112" t="n">
        <f aca="false">ABS(G254)/$P$3</f>
        <v>0</v>
      </c>
      <c r="T254" s="112" t="n">
        <f aca="false">ABS(H254)/$P$3</f>
        <v>0</v>
      </c>
      <c r="U254" s="112" t="n">
        <f aca="false">ABS(I254)/$P$3</f>
        <v>0</v>
      </c>
      <c r="V254" s="112" t="n">
        <f aca="false">ABS(J254)/$P$3</f>
        <v>0</v>
      </c>
      <c r="W254" s="112" t="n">
        <f aca="false">ABS(K254)/$P$3</f>
        <v>0</v>
      </c>
      <c r="X254" s="112" t="n">
        <f aca="false">ABS(L254)/$P$3</f>
        <v>0</v>
      </c>
      <c r="Y254" s="112" t="n">
        <f aca="false">ABS(M254)/$P$3</f>
        <v>0</v>
      </c>
      <c r="Z254" s="112" t="n">
        <f aca="false">ABS(N254)/$P$3</f>
        <v>0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Data'!$A$2:$B$8,MATCH(WEEKDAY('RAC V@r Total'!A255,3),'Master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H255" s="112" t="n">
        <v>0</v>
      </c>
      <c r="I255" s="112" t="n">
        <v>0</v>
      </c>
      <c r="J255" s="112" t="n">
        <v>0</v>
      </c>
      <c r="K255" s="112" t="n">
        <v>0</v>
      </c>
      <c r="L255" s="112" t="n">
        <v>0</v>
      </c>
      <c r="M255" s="112" t="n">
        <v>0</v>
      </c>
      <c r="N255" s="112" t="n">
        <v>0</v>
      </c>
      <c r="P255" s="112" t="n">
        <f aca="false">ABS(D255)/$P$3</f>
        <v>0</v>
      </c>
      <c r="Q255" s="112" t="n">
        <f aca="false">ABS(E255)/$P$3</f>
        <v>0</v>
      </c>
      <c r="R255" s="112" t="n">
        <f aca="false">ABS(F255)/$P$3</f>
        <v>0</v>
      </c>
      <c r="S255" s="112" t="n">
        <f aca="false">ABS(G255)/$P$3</f>
        <v>0</v>
      </c>
      <c r="T255" s="112" t="n">
        <f aca="false">ABS(H255)/$P$3</f>
        <v>0</v>
      </c>
      <c r="U255" s="112" t="n">
        <f aca="false">ABS(I255)/$P$3</f>
        <v>0</v>
      </c>
      <c r="V255" s="112" t="n">
        <f aca="false">ABS(J255)/$P$3</f>
        <v>0</v>
      </c>
      <c r="W255" s="112" t="n">
        <f aca="false">ABS(K255)/$P$3</f>
        <v>0</v>
      </c>
      <c r="X255" s="112" t="n">
        <f aca="false">ABS(L255)/$P$3</f>
        <v>0</v>
      </c>
      <c r="Y255" s="112" t="n">
        <f aca="false">ABS(M255)/$P$3</f>
        <v>0</v>
      </c>
      <c r="Z255" s="112" t="n">
        <f aca="false">ABS(N255)/$P$3</f>
        <v>0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Data'!$A$2:$B$8,MATCH(WEEKDAY('RAC V@r Total'!A256,3),'Master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H256" s="112" t="n">
        <v>0</v>
      </c>
      <c r="I256" s="112" t="n">
        <v>0</v>
      </c>
      <c r="J256" s="112" t="n">
        <v>0</v>
      </c>
      <c r="K256" s="112" t="n">
        <v>0</v>
      </c>
      <c r="L256" s="112" t="n">
        <v>0</v>
      </c>
      <c r="M256" s="112" t="n">
        <v>0</v>
      </c>
      <c r="N256" s="112" t="n">
        <v>0</v>
      </c>
      <c r="P256" s="112" t="n">
        <f aca="false">ABS(D256)/$P$3</f>
        <v>0</v>
      </c>
      <c r="Q256" s="112" t="n">
        <f aca="false">ABS(E256)/$P$3</f>
        <v>0</v>
      </c>
      <c r="R256" s="112" t="n">
        <f aca="false">ABS(F256)/$P$3</f>
        <v>0</v>
      </c>
      <c r="S256" s="112" t="n">
        <f aca="false">ABS(G256)/$P$3</f>
        <v>0</v>
      </c>
      <c r="T256" s="112" t="n">
        <f aca="false">ABS(H256)/$P$3</f>
        <v>0</v>
      </c>
      <c r="U256" s="112" t="n">
        <f aca="false">ABS(I256)/$P$3</f>
        <v>0</v>
      </c>
      <c r="V256" s="112" t="n">
        <f aca="false">ABS(J256)/$P$3</f>
        <v>0</v>
      </c>
      <c r="W256" s="112" t="n">
        <f aca="false">ABS(K256)/$P$3</f>
        <v>0</v>
      </c>
      <c r="X256" s="112" t="n">
        <f aca="false">ABS(L256)/$P$3</f>
        <v>0</v>
      </c>
      <c r="Y256" s="112" t="n">
        <f aca="false">ABS(M256)/$P$3</f>
        <v>0</v>
      </c>
      <c r="Z256" s="112" t="n">
        <f aca="false">ABS(N256)/$P$3</f>
        <v>0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Data'!$A$2:$B$8,MATCH(WEEKDAY('RAC V@r Total'!A257,3),'Master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H257" s="112" t="n">
        <v>0</v>
      </c>
      <c r="I257" s="112" t="n">
        <v>0</v>
      </c>
      <c r="J257" s="112" t="n">
        <v>0</v>
      </c>
      <c r="K257" s="112" t="n">
        <v>0</v>
      </c>
      <c r="L257" s="112" t="n">
        <v>0</v>
      </c>
      <c r="M257" s="112" t="n">
        <v>0</v>
      </c>
      <c r="N257" s="112" t="n">
        <v>0</v>
      </c>
      <c r="P257" s="112" t="n">
        <f aca="false">ABS(D257)/$P$3</f>
        <v>0</v>
      </c>
      <c r="Q257" s="112" t="n">
        <f aca="false">ABS(E257)/$P$3</f>
        <v>0</v>
      </c>
      <c r="R257" s="112" t="n">
        <f aca="false">ABS(F257)/$P$3</f>
        <v>0</v>
      </c>
      <c r="S257" s="112" t="n">
        <f aca="false">ABS(G257)/$P$3</f>
        <v>0</v>
      </c>
      <c r="T257" s="112" t="n">
        <f aca="false">ABS(H257)/$P$3</f>
        <v>0</v>
      </c>
      <c r="U257" s="112" t="n">
        <f aca="false">ABS(I257)/$P$3</f>
        <v>0</v>
      </c>
      <c r="V257" s="112" t="n">
        <f aca="false">ABS(J257)/$P$3</f>
        <v>0</v>
      </c>
      <c r="W257" s="112" t="n">
        <f aca="false">ABS(K257)/$P$3</f>
        <v>0</v>
      </c>
      <c r="X257" s="112" t="n">
        <f aca="false">ABS(L257)/$P$3</f>
        <v>0</v>
      </c>
      <c r="Y257" s="112" t="n">
        <f aca="false">ABS(M257)/$P$3</f>
        <v>0</v>
      </c>
      <c r="Z257" s="112" t="n">
        <f aca="false">ABS(N257)/$P$3</f>
        <v>0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Data'!$A$2:$B$8,MATCH(WEEKDAY('RAC V@r Total'!A258,3),'Master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H258" s="112" t="n">
        <v>0</v>
      </c>
      <c r="I258" s="112" t="n">
        <v>0</v>
      </c>
      <c r="J258" s="112" t="n">
        <v>0</v>
      </c>
      <c r="K258" s="112" t="n">
        <v>0</v>
      </c>
      <c r="L258" s="112" t="n">
        <v>0</v>
      </c>
      <c r="M258" s="112" t="n">
        <v>0</v>
      </c>
      <c r="N258" s="112" t="n">
        <v>0</v>
      </c>
      <c r="P258" s="112" t="n">
        <f aca="false">ABS(D258)/$P$3</f>
        <v>0</v>
      </c>
      <c r="Q258" s="112" t="n">
        <f aca="false">ABS(E258)/$P$3</f>
        <v>0</v>
      </c>
      <c r="R258" s="112" t="n">
        <f aca="false">ABS(F258)/$P$3</f>
        <v>0</v>
      </c>
      <c r="S258" s="112" t="n">
        <f aca="false">ABS(G258)/$P$3</f>
        <v>0</v>
      </c>
      <c r="T258" s="112" t="n">
        <f aca="false">ABS(H258)/$P$3</f>
        <v>0</v>
      </c>
      <c r="U258" s="112" t="n">
        <f aca="false">ABS(I258)/$P$3</f>
        <v>0</v>
      </c>
      <c r="V258" s="112" t="n">
        <f aca="false">ABS(J258)/$P$3</f>
        <v>0</v>
      </c>
      <c r="W258" s="112" t="n">
        <f aca="false">ABS(K258)/$P$3</f>
        <v>0</v>
      </c>
      <c r="X258" s="112" t="n">
        <f aca="false">ABS(L258)/$P$3</f>
        <v>0</v>
      </c>
      <c r="Y258" s="112" t="n">
        <f aca="false">ABS(M258)/$P$3</f>
        <v>0</v>
      </c>
      <c r="Z258" s="112" t="n">
        <f aca="false">ABS(N258)/$P$3</f>
        <v>0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Data'!$A$2:$B$8,MATCH(WEEKDAY('RAC V@r Total'!A259,3),'Master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H259" s="112" t="n">
        <v>0</v>
      </c>
      <c r="I259" s="112" t="n">
        <v>0</v>
      </c>
      <c r="J259" s="112" t="n">
        <v>0</v>
      </c>
      <c r="K259" s="112" t="n">
        <v>0</v>
      </c>
      <c r="L259" s="112" t="n">
        <v>0</v>
      </c>
      <c r="M259" s="112" t="n">
        <v>0</v>
      </c>
      <c r="N259" s="112" t="n">
        <v>0</v>
      </c>
      <c r="P259" s="112" t="n">
        <f aca="false">ABS(D259)/$P$3</f>
        <v>0</v>
      </c>
      <c r="Q259" s="112" t="n">
        <f aca="false">ABS(E259)/$P$3</f>
        <v>0</v>
      </c>
      <c r="R259" s="112" t="n">
        <f aca="false">ABS(F259)/$P$3</f>
        <v>0</v>
      </c>
      <c r="S259" s="112" t="n">
        <f aca="false">ABS(G259)/$P$3</f>
        <v>0</v>
      </c>
      <c r="T259" s="112" t="n">
        <f aca="false">ABS(H259)/$P$3</f>
        <v>0</v>
      </c>
      <c r="U259" s="112" t="n">
        <f aca="false">ABS(I259)/$P$3</f>
        <v>0</v>
      </c>
      <c r="V259" s="112" t="n">
        <f aca="false">ABS(J259)/$P$3</f>
        <v>0</v>
      </c>
      <c r="W259" s="112" t="n">
        <f aca="false">ABS(K259)/$P$3</f>
        <v>0</v>
      </c>
      <c r="X259" s="112" t="n">
        <f aca="false">ABS(L259)/$P$3</f>
        <v>0</v>
      </c>
      <c r="Y259" s="112" t="n">
        <f aca="false">ABS(M259)/$P$3</f>
        <v>0</v>
      </c>
      <c r="Z259" s="112" t="n">
        <f aca="false">ABS(N259)/$P$3</f>
        <v>0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Data'!$A$2:$B$8,MATCH(WEEKDAY('RAC V@r Total'!A260,3),'Master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H260" s="112" t="n">
        <v>0</v>
      </c>
      <c r="I260" s="112" t="n">
        <v>0</v>
      </c>
      <c r="J260" s="112" t="n">
        <v>0</v>
      </c>
      <c r="K260" s="112" t="n">
        <v>0</v>
      </c>
      <c r="L260" s="112" t="n">
        <v>0</v>
      </c>
      <c r="M260" s="112" t="n">
        <v>0</v>
      </c>
      <c r="N260" s="112" t="n">
        <v>0</v>
      </c>
      <c r="P260" s="112" t="n">
        <f aca="false">ABS(D260)/$P$3</f>
        <v>0</v>
      </c>
      <c r="Q260" s="112" t="n">
        <f aca="false">ABS(E260)/$P$3</f>
        <v>0</v>
      </c>
      <c r="R260" s="112" t="n">
        <f aca="false">ABS(F260)/$P$3</f>
        <v>0</v>
      </c>
      <c r="S260" s="112" t="n">
        <f aca="false">ABS(G260)/$P$3</f>
        <v>0</v>
      </c>
      <c r="T260" s="112" t="n">
        <f aca="false">ABS(H260)/$P$3</f>
        <v>0</v>
      </c>
      <c r="U260" s="112" t="n">
        <f aca="false">ABS(I260)/$P$3</f>
        <v>0</v>
      </c>
      <c r="V260" s="112" t="n">
        <f aca="false">ABS(J260)/$P$3</f>
        <v>0</v>
      </c>
      <c r="W260" s="112" t="n">
        <f aca="false">ABS(K260)/$P$3</f>
        <v>0</v>
      </c>
      <c r="X260" s="112" t="n">
        <f aca="false">ABS(L260)/$P$3</f>
        <v>0</v>
      </c>
      <c r="Y260" s="112" t="n">
        <f aca="false">ABS(M260)/$P$3</f>
        <v>0</v>
      </c>
      <c r="Z260" s="112" t="n">
        <f aca="false">ABS(N260)/$P$3</f>
        <v>0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Data'!$A$2:$B$8,MATCH(WEEKDAY('RAC V@r Total'!A261,3),'Master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H261" s="112" t="n">
        <v>0</v>
      </c>
      <c r="I261" s="112" t="n">
        <v>0</v>
      </c>
      <c r="J261" s="112" t="n">
        <v>0</v>
      </c>
      <c r="K261" s="112" t="n">
        <v>0</v>
      </c>
      <c r="L261" s="112" t="n">
        <v>0</v>
      </c>
      <c r="M261" s="112" t="n">
        <v>0</v>
      </c>
      <c r="N261" s="112" t="n">
        <v>0</v>
      </c>
      <c r="P261" s="112" t="n">
        <f aca="false">ABS(D261)/$P$3</f>
        <v>0</v>
      </c>
      <c r="Q261" s="112" t="n">
        <f aca="false">ABS(E261)/$P$3</f>
        <v>0</v>
      </c>
      <c r="R261" s="112" t="n">
        <f aca="false">ABS(F261)/$P$3</f>
        <v>0</v>
      </c>
      <c r="S261" s="112" t="n">
        <f aca="false">ABS(G261)/$P$3</f>
        <v>0</v>
      </c>
      <c r="T261" s="112" t="n">
        <f aca="false">ABS(H261)/$P$3</f>
        <v>0</v>
      </c>
      <c r="U261" s="112" t="n">
        <f aca="false">ABS(I261)/$P$3</f>
        <v>0</v>
      </c>
      <c r="V261" s="112" t="n">
        <f aca="false">ABS(J261)/$P$3</f>
        <v>0</v>
      </c>
      <c r="W261" s="112" t="n">
        <f aca="false">ABS(K261)/$P$3</f>
        <v>0</v>
      </c>
      <c r="X261" s="112" t="n">
        <f aca="false">ABS(L261)/$P$3</f>
        <v>0</v>
      </c>
      <c r="Y261" s="112" t="n">
        <f aca="false">ABS(M261)/$P$3</f>
        <v>0</v>
      </c>
      <c r="Z261" s="112" t="n">
        <f aca="false">ABS(N261)/$P$3</f>
        <v>0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Data'!$A$2:$B$8,MATCH(WEEKDAY('RAC V@r Total'!A262,3),'Master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H262" s="112" t="n">
        <v>0</v>
      </c>
      <c r="I262" s="112" t="n">
        <v>0</v>
      </c>
      <c r="J262" s="112" t="n">
        <v>0</v>
      </c>
      <c r="K262" s="112" t="n">
        <v>0</v>
      </c>
      <c r="L262" s="112" t="n">
        <v>0</v>
      </c>
      <c r="M262" s="112" t="n">
        <v>0</v>
      </c>
      <c r="N262" s="112" t="n">
        <v>0</v>
      </c>
      <c r="P262" s="112" t="n">
        <f aca="false">ABS(D262)/$P$3</f>
        <v>0</v>
      </c>
      <c r="Q262" s="112" t="n">
        <f aca="false">ABS(E262)/$P$3</f>
        <v>0</v>
      </c>
      <c r="R262" s="112" t="n">
        <f aca="false">ABS(F262)/$P$3</f>
        <v>0</v>
      </c>
      <c r="S262" s="112" t="n">
        <f aca="false">ABS(G262)/$P$3</f>
        <v>0</v>
      </c>
      <c r="T262" s="112" t="n">
        <f aca="false">ABS(H262)/$P$3</f>
        <v>0</v>
      </c>
      <c r="U262" s="112" t="n">
        <f aca="false">ABS(I262)/$P$3</f>
        <v>0</v>
      </c>
      <c r="V262" s="112" t="n">
        <f aca="false">ABS(J262)/$P$3</f>
        <v>0</v>
      </c>
      <c r="W262" s="112" t="n">
        <f aca="false">ABS(K262)/$P$3</f>
        <v>0</v>
      </c>
      <c r="X262" s="112" t="n">
        <f aca="false">ABS(L262)/$P$3</f>
        <v>0</v>
      </c>
      <c r="Y262" s="112" t="n">
        <f aca="false">ABS(M262)/$P$3</f>
        <v>0</v>
      </c>
      <c r="Z262" s="112" t="n">
        <f aca="false">ABS(N262)/$P$3</f>
        <v>0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Data'!$A$2:$B$8,MATCH(WEEKDAY('RAC V@r Total'!A263,3),'Master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H263" s="112" t="n">
        <v>0</v>
      </c>
      <c r="I263" s="112" t="n">
        <v>0</v>
      </c>
      <c r="J263" s="112" t="n">
        <v>0</v>
      </c>
      <c r="K263" s="112" t="n">
        <v>0</v>
      </c>
      <c r="L263" s="112" t="n">
        <v>0</v>
      </c>
      <c r="M263" s="112" t="n">
        <v>0</v>
      </c>
      <c r="N263" s="112" t="n">
        <v>0</v>
      </c>
      <c r="P263" s="112" t="n">
        <f aca="false">ABS(D263)/$P$3</f>
        <v>0</v>
      </c>
      <c r="Q263" s="112" t="n">
        <f aca="false">ABS(E263)/$P$3</f>
        <v>0</v>
      </c>
      <c r="R263" s="112" t="n">
        <f aca="false">ABS(F263)/$P$3</f>
        <v>0</v>
      </c>
      <c r="S263" s="112" t="n">
        <f aca="false">ABS(G263)/$P$3</f>
        <v>0</v>
      </c>
      <c r="T263" s="112" t="n">
        <f aca="false">ABS(H263)/$P$3</f>
        <v>0</v>
      </c>
      <c r="U263" s="112" t="n">
        <f aca="false">ABS(I263)/$P$3</f>
        <v>0</v>
      </c>
      <c r="V263" s="112" t="n">
        <f aca="false">ABS(J263)/$P$3</f>
        <v>0</v>
      </c>
      <c r="W263" s="112" t="n">
        <f aca="false">ABS(K263)/$P$3</f>
        <v>0</v>
      </c>
      <c r="X263" s="112" t="n">
        <f aca="false">ABS(L263)/$P$3</f>
        <v>0</v>
      </c>
      <c r="Y263" s="112" t="n">
        <f aca="false">ABS(M263)/$P$3</f>
        <v>0</v>
      </c>
      <c r="Z263" s="112" t="n">
        <f aca="false">ABS(N263)/$P$3</f>
        <v>0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Data'!$A$2:$B$8,MATCH(WEEKDAY('RAC V@r Total'!A264,3),'Master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H264" s="112" t="n">
        <v>0</v>
      </c>
      <c r="I264" s="112" t="n">
        <v>0</v>
      </c>
      <c r="J264" s="112" t="n">
        <v>0</v>
      </c>
      <c r="K264" s="112" t="n">
        <v>0</v>
      </c>
      <c r="L264" s="112" t="n">
        <v>0</v>
      </c>
      <c r="M264" s="112" t="n">
        <v>0</v>
      </c>
      <c r="N264" s="112" t="n">
        <v>0</v>
      </c>
      <c r="P264" s="112" t="n">
        <f aca="false">ABS(D264)/$P$3</f>
        <v>0</v>
      </c>
      <c r="Q264" s="112" t="n">
        <f aca="false">ABS(E264)/$P$3</f>
        <v>0</v>
      </c>
      <c r="R264" s="112" t="n">
        <f aca="false">ABS(F264)/$P$3</f>
        <v>0</v>
      </c>
      <c r="S264" s="112" t="n">
        <f aca="false">ABS(G264)/$P$3</f>
        <v>0</v>
      </c>
      <c r="T264" s="112" t="n">
        <f aca="false">ABS(H264)/$P$3</f>
        <v>0</v>
      </c>
      <c r="U264" s="112" t="n">
        <f aca="false">ABS(I264)/$P$3</f>
        <v>0</v>
      </c>
      <c r="V264" s="112" t="n">
        <f aca="false">ABS(J264)/$P$3</f>
        <v>0</v>
      </c>
      <c r="W264" s="112" t="n">
        <f aca="false">ABS(K264)/$P$3</f>
        <v>0</v>
      </c>
      <c r="X264" s="112" t="n">
        <f aca="false">ABS(L264)/$P$3</f>
        <v>0</v>
      </c>
      <c r="Y264" s="112" t="n">
        <f aca="false">ABS(M264)/$P$3</f>
        <v>0</v>
      </c>
      <c r="Z264" s="112" t="n">
        <f aca="false">ABS(N264)/$P$3</f>
        <v>0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Data'!$A$2:$B$8,MATCH(WEEKDAY('RAC V@r Total'!A265,3),'Master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H265" s="112" t="n">
        <v>0</v>
      </c>
      <c r="I265" s="112" t="n">
        <v>0</v>
      </c>
      <c r="J265" s="112" t="n">
        <v>0</v>
      </c>
      <c r="K265" s="112" t="n">
        <v>0</v>
      </c>
      <c r="L265" s="112" t="n">
        <v>0</v>
      </c>
      <c r="M265" s="112" t="n">
        <v>0</v>
      </c>
      <c r="N265" s="112" t="n">
        <v>0</v>
      </c>
      <c r="P265" s="112" t="n">
        <f aca="false">ABS(D265)/$P$3</f>
        <v>0</v>
      </c>
      <c r="Q265" s="112" t="n">
        <f aca="false">ABS(E265)/$P$3</f>
        <v>0</v>
      </c>
      <c r="R265" s="112" t="n">
        <f aca="false">ABS(F265)/$P$3</f>
        <v>0</v>
      </c>
      <c r="S265" s="112" t="n">
        <f aca="false">ABS(G265)/$P$3</f>
        <v>0</v>
      </c>
      <c r="T265" s="112" t="n">
        <f aca="false">ABS(H265)/$P$3</f>
        <v>0</v>
      </c>
      <c r="U265" s="112" t="n">
        <f aca="false">ABS(I265)/$P$3</f>
        <v>0</v>
      </c>
      <c r="V265" s="112" t="n">
        <f aca="false">ABS(J265)/$P$3</f>
        <v>0</v>
      </c>
      <c r="W265" s="112" t="n">
        <f aca="false">ABS(K265)/$P$3</f>
        <v>0</v>
      </c>
      <c r="X265" s="112" t="n">
        <f aca="false">ABS(L265)/$P$3</f>
        <v>0</v>
      </c>
      <c r="Y265" s="112" t="n">
        <f aca="false">ABS(M265)/$P$3</f>
        <v>0</v>
      </c>
      <c r="Z265" s="112" t="n">
        <f aca="false">ABS(N265)/$P$3</f>
        <v>0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Data'!$A$2:$B$8,MATCH(WEEKDAY('RAC V@r Total'!A266,3),'Master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H266" s="112" t="n">
        <v>0</v>
      </c>
      <c r="I266" s="112" t="n">
        <v>0</v>
      </c>
      <c r="J266" s="112" t="n">
        <v>0</v>
      </c>
      <c r="K266" s="112" t="n">
        <v>0</v>
      </c>
      <c r="L266" s="112" t="n">
        <v>0</v>
      </c>
      <c r="M266" s="112" t="n">
        <v>0</v>
      </c>
      <c r="N266" s="112" t="n">
        <v>0</v>
      </c>
      <c r="P266" s="112" t="n">
        <f aca="false">ABS(D266)/$P$3</f>
        <v>0</v>
      </c>
      <c r="Q266" s="112" t="n">
        <f aca="false">ABS(E266)/$P$3</f>
        <v>0</v>
      </c>
      <c r="R266" s="112" t="n">
        <f aca="false">ABS(F266)/$P$3</f>
        <v>0</v>
      </c>
      <c r="S266" s="112" t="n">
        <f aca="false">ABS(G266)/$P$3</f>
        <v>0</v>
      </c>
      <c r="T266" s="112" t="n">
        <f aca="false">ABS(H266)/$P$3</f>
        <v>0</v>
      </c>
      <c r="U266" s="112" t="n">
        <f aca="false">ABS(I266)/$P$3</f>
        <v>0</v>
      </c>
      <c r="V266" s="112" t="n">
        <f aca="false">ABS(J266)/$P$3</f>
        <v>0</v>
      </c>
      <c r="W266" s="112" t="n">
        <f aca="false">ABS(K266)/$P$3</f>
        <v>0</v>
      </c>
      <c r="X266" s="112" t="n">
        <f aca="false">ABS(L266)/$P$3</f>
        <v>0</v>
      </c>
      <c r="Y266" s="112" t="n">
        <f aca="false">ABS(M266)/$P$3</f>
        <v>0</v>
      </c>
      <c r="Z266" s="112" t="n">
        <f aca="false">ABS(N266)/$P$3</f>
        <v>0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Data'!$A$2:$B$8,MATCH(WEEKDAY('RAC V@r Total'!A267,3),'Master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H267" s="112" t="n">
        <v>0</v>
      </c>
      <c r="I267" s="112" t="n">
        <v>0</v>
      </c>
      <c r="J267" s="112" t="n">
        <v>0</v>
      </c>
      <c r="K267" s="112" t="n">
        <v>0</v>
      </c>
      <c r="L267" s="112" t="n">
        <v>0</v>
      </c>
      <c r="M267" s="112" t="n">
        <v>0</v>
      </c>
      <c r="N267" s="112" t="n">
        <v>0</v>
      </c>
      <c r="P267" s="112" t="n">
        <f aca="false">ABS(D267)/$P$3</f>
        <v>0</v>
      </c>
      <c r="Q267" s="112" t="n">
        <f aca="false">ABS(E267)/$P$3</f>
        <v>0</v>
      </c>
      <c r="R267" s="112" t="n">
        <f aca="false">ABS(F267)/$P$3</f>
        <v>0</v>
      </c>
      <c r="S267" s="112" t="n">
        <f aca="false">ABS(G267)/$P$3</f>
        <v>0</v>
      </c>
      <c r="T267" s="112" t="n">
        <f aca="false">ABS(H267)/$P$3</f>
        <v>0</v>
      </c>
      <c r="U267" s="112" t="n">
        <f aca="false">ABS(I267)/$P$3</f>
        <v>0</v>
      </c>
      <c r="V267" s="112" t="n">
        <f aca="false">ABS(J267)/$P$3</f>
        <v>0</v>
      </c>
      <c r="W267" s="112" t="n">
        <f aca="false">ABS(K267)/$P$3</f>
        <v>0</v>
      </c>
      <c r="X267" s="112" t="n">
        <f aca="false">ABS(L267)/$P$3</f>
        <v>0</v>
      </c>
      <c r="Y267" s="112" t="n">
        <f aca="false">ABS(M267)/$P$3</f>
        <v>0</v>
      </c>
      <c r="Z267" s="112" t="n">
        <f aca="false">ABS(N267)/$P$3</f>
        <v>0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Data'!$A$2:$B$8,MATCH(WEEKDAY('RAC V@r Total'!A268,3),'Master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H268" s="112" t="n">
        <v>0</v>
      </c>
      <c r="I268" s="112" t="n">
        <v>0</v>
      </c>
      <c r="J268" s="112" t="n">
        <v>0</v>
      </c>
      <c r="K268" s="112" t="n">
        <v>0</v>
      </c>
      <c r="L268" s="112" t="n">
        <v>0</v>
      </c>
      <c r="M268" s="112" t="n">
        <v>0</v>
      </c>
      <c r="N268" s="112" t="n">
        <v>0</v>
      </c>
      <c r="P268" s="112" t="n">
        <f aca="false">ABS(D268)/$P$3</f>
        <v>0</v>
      </c>
      <c r="Q268" s="112" t="n">
        <f aca="false">ABS(E268)/$P$3</f>
        <v>0</v>
      </c>
      <c r="R268" s="112" t="n">
        <f aca="false">ABS(F268)/$P$3</f>
        <v>0</v>
      </c>
      <c r="S268" s="112" t="n">
        <f aca="false">ABS(G268)/$P$3</f>
        <v>0</v>
      </c>
      <c r="T268" s="112" t="n">
        <f aca="false">ABS(H268)/$P$3</f>
        <v>0</v>
      </c>
      <c r="U268" s="112" t="n">
        <f aca="false">ABS(I268)/$P$3</f>
        <v>0</v>
      </c>
      <c r="V268" s="112" t="n">
        <f aca="false">ABS(J268)/$P$3</f>
        <v>0</v>
      </c>
      <c r="W268" s="112" t="n">
        <f aca="false">ABS(K268)/$P$3</f>
        <v>0</v>
      </c>
      <c r="X268" s="112" t="n">
        <f aca="false">ABS(L268)/$P$3</f>
        <v>0</v>
      </c>
      <c r="Y268" s="112" t="n">
        <f aca="false">ABS(M268)/$P$3</f>
        <v>0</v>
      </c>
      <c r="Z268" s="112" t="n">
        <f aca="false">ABS(N268)/$P$3</f>
        <v>0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Data'!$A$2:$B$8,MATCH(WEEKDAY('RAC V@r Total'!A269,3),'Master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H269" s="112" t="n">
        <v>0</v>
      </c>
      <c r="I269" s="112" t="n">
        <v>0</v>
      </c>
      <c r="J269" s="112" t="n">
        <v>0</v>
      </c>
      <c r="K269" s="112" t="n">
        <v>0</v>
      </c>
      <c r="L269" s="112" t="n">
        <v>0</v>
      </c>
      <c r="M269" s="112" t="n">
        <v>0</v>
      </c>
      <c r="N269" s="112" t="n">
        <v>0</v>
      </c>
      <c r="P269" s="112" t="n">
        <f aca="false">ABS(D269)/$P$3</f>
        <v>0</v>
      </c>
      <c r="Q269" s="112" t="n">
        <f aca="false">ABS(E269)/$P$3</f>
        <v>0</v>
      </c>
      <c r="R269" s="112" t="n">
        <f aca="false">ABS(F269)/$P$3</f>
        <v>0</v>
      </c>
      <c r="S269" s="112" t="n">
        <f aca="false">ABS(G269)/$P$3</f>
        <v>0</v>
      </c>
      <c r="T269" s="112" t="n">
        <f aca="false">ABS(H269)/$P$3</f>
        <v>0</v>
      </c>
      <c r="U269" s="112" t="n">
        <f aca="false">ABS(I269)/$P$3</f>
        <v>0</v>
      </c>
      <c r="V269" s="112" t="n">
        <f aca="false">ABS(J269)/$P$3</f>
        <v>0</v>
      </c>
      <c r="W269" s="112" t="n">
        <f aca="false">ABS(K269)/$P$3</f>
        <v>0</v>
      </c>
      <c r="X269" s="112" t="n">
        <f aca="false">ABS(L269)/$P$3</f>
        <v>0</v>
      </c>
      <c r="Y269" s="112" t="n">
        <f aca="false">ABS(M269)/$P$3</f>
        <v>0</v>
      </c>
      <c r="Z269" s="112" t="n">
        <f aca="false">ABS(N269)/$P$3</f>
        <v>0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Data'!$A$2:$B$8,MATCH(WEEKDAY('RAC V@r Total'!A270,3),'Master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H270" s="112" t="n">
        <v>0</v>
      </c>
      <c r="I270" s="112" t="n">
        <v>0</v>
      </c>
      <c r="J270" s="112" t="n">
        <v>0</v>
      </c>
      <c r="K270" s="112" t="n">
        <v>0</v>
      </c>
      <c r="L270" s="112" t="n">
        <v>0</v>
      </c>
      <c r="M270" s="112" t="n">
        <v>0</v>
      </c>
      <c r="N270" s="112" t="n">
        <v>0</v>
      </c>
      <c r="P270" s="112" t="n">
        <f aca="false">ABS(D270)/$P$3</f>
        <v>0</v>
      </c>
      <c r="Q270" s="112" t="n">
        <f aca="false">ABS(E270)/$P$3</f>
        <v>0</v>
      </c>
      <c r="R270" s="112" t="n">
        <f aca="false">ABS(F270)/$P$3</f>
        <v>0</v>
      </c>
      <c r="S270" s="112" t="n">
        <f aca="false">ABS(G270)/$P$3</f>
        <v>0</v>
      </c>
      <c r="T270" s="112" t="n">
        <f aca="false">ABS(H270)/$P$3</f>
        <v>0</v>
      </c>
      <c r="U270" s="112" t="n">
        <f aca="false">ABS(I270)/$P$3</f>
        <v>0</v>
      </c>
      <c r="V270" s="112" t="n">
        <f aca="false">ABS(J270)/$P$3</f>
        <v>0</v>
      </c>
      <c r="W270" s="112" t="n">
        <f aca="false">ABS(K270)/$P$3</f>
        <v>0</v>
      </c>
      <c r="X270" s="112" t="n">
        <f aca="false">ABS(L270)/$P$3</f>
        <v>0</v>
      </c>
      <c r="Y270" s="112" t="n">
        <f aca="false">ABS(M270)/$P$3</f>
        <v>0</v>
      </c>
      <c r="Z270" s="112" t="n">
        <f aca="false">ABS(N270)/$P$3</f>
        <v>0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Data'!$A$2:$B$8,MATCH(WEEKDAY('RAC V@r Total'!A271,3),'Master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H271" s="112" t="n">
        <v>0</v>
      </c>
      <c r="I271" s="112" t="n">
        <v>0</v>
      </c>
      <c r="J271" s="112" t="n">
        <v>0</v>
      </c>
      <c r="K271" s="112" t="n">
        <v>0</v>
      </c>
      <c r="L271" s="112" t="n">
        <v>0</v>
      </c>
      <c r="M271" s="112" t="n">
        <v>0</v>
      </c>
      <c r="N271" s="112" t="n">
        <v>0</v>
      </c>
      <c r="P271" s="112" t="n">
        <f aca="false">ABS(D271)/$P$3</f>
        <v>0</v>
      </c>
      <c r="Q271" s="112" t="n">
        <f aca="false">ABS(E271)/$P$3</f>
        <v>0</v>
      </c>
      <c r="R271" s="112" t="n">
        <f aca="false">ABS(F271)/$P$3</f>
        <v>0</v>
      </c>
      <c r="S271" s="112" t="n">
        <f aca="false">ABS(G271)/$P$3</f>
        <v>0</v>
      </c>
      <c r="T271" s="112" t="n">
        <f aca="false">ABS(H271)/$P$3</f>
        <v>0</v>
      </c>
      <c r="U271" s="112" t="n">
        <f aca="false">ABS(I271)/$P$3</f>
        <v>0</v>
      </c>
      <c r="V271" s="112" t="n">
        <f aca="false">ABS(J271)/$P$3</f>
        <v>0</v>
      </c>
      <c r="W271" s="112" t="n">
        <f aca="false">ABS(K271)/$P$3</f>
        <v>0</v>
      </c>
      <c r="X271" s="112" t="n">
        <f aca="false">ABS(L271)/$P$3</f>
        <v>0</v>
      </c>
      <c r="Y271" s="112" t="n">
        <f aca="false">ABS(M271)/$P$3</f>
        <v>0</v>
      </c>
      <c r="Z271" s="112" t="n">
        <f aca="false">ABS(N271)/$P$3</f>
        <v>0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Data'!$A$2:$B$8,MATCH(WEEKDAY('RAC V@r Total'!A272,3),'Master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H272" s="112" t="n">
        <v>0</v>
      </c>
      <c r="I272" s="112" t="n">
        <v>0</v>
      </c>
      <c r="J272" s="112" t="n">
        <v>0</v>
      </c>
      <c r="K272" s="112" t="n">
        <v>0</v>
      </c>
      <c r="L272" s="112" t="n">
        <v>0</v>
      </c>
      <c r="M272" s="112" t="n">
        <v>0</v>
      </c>
      <c r="N272" s="112" t="n">
        <v>0</v>
      </c>
      <c r="P272" s="112" t="n">
        <f aca="false">ABS(D272)/$P$3</f>
        <v>0</v>
      </c>
      <c r="Q272" s="112" t="n">
        <f aca="false">ABS(E272)/$P$3</f>
        <v>0</v>
      </c>
      <c r="R272" s="112" t="n">
        <f aca="false">ABS(F272)/$P$3</f>
        <v>0</v>
      </c>
      <c r="S272" s="112" t="n">
        <f aca="false">ABS(G272)/$P$3</f>
        <v>0</v>
      </c>
      <c r="T272" s="112" t="n">
        <f aca="false">ABS(H272)/$P$3</f>
        <v>0</v>
      </c>
      <c r="U272" s="112" t="n">
        <f aca="false">ABS(I272)/$P$3</f>
        <v>0</v>
      </c>
      <c r="V272" s="112" t="n">
        <f aca="false">ABS(J272)/$P$3</f>
        <v>0</v>
      </c>
      <c r="W272" s="112" t="n">
        <f aca="false">ABS(K272)/$P$3</f>
        <v>0</v>
      </c>
      <c r="X272" s="112" t="n">
        <f aca="false">ABS(L272)/$P$3</f>
        <v>0</v>
      </c>
      <c r="Y272" s="112" t="n">
        <f aca="false">ABS(M272)/$P$3</f>
        <v>0</v>
      </c>
      <c r="Z272" s="112" t="n">
        <f aca="false">ABS(N272)/$P$3</f>
        <v>0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Data'!$A$2:$B$8,MATCH(WEEKDAY('RAC V@r Total'!A273,3),'Master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H273" s="112" t="n">
        <v>0</v>
      </c>
      <c r="I273" s="112" t="n">
        <v>0</v>
      </c>
      <c r="J273" s="112" t="n">
        <v>0</v>
      </c>
      <c r="K273" s="112" t="n">
        <v>0</v>
      </c>
      <c r="L273" s="112" t="n">
        <v>0</v>
      </c>
      <c r="M273" s="112" t="n">
        <v>0</v>
      </c>
      <c r="N273" s="112" t="n">
        <v>0</v>
      </c>
      <c r="P273" s="112" t="n">
        <f aca="false">ABS(D273)/$P$3</f>
        <v>0</v>
      </c>
      <c r="Q273" s="112" t="n">
        <f aca="false">ABS(E273)/$P$3</f>
        <v>0</v>
      </c>
      <c r="R273" s="112" t="n">
        <f aca="false">ABS(F273)/$P$3</f>
        <v>0</v>
      </c>
      <c r="S273" s="112" t="n">
        <f aca="false">ABS(G273)/$P$3</f>
        <v>0</v>
      </c>
      <c r="T273" s="112" t="n">
        <f aca="false">ABS(H273)/$P$3</f>
        <v>0</v>
      </c>
      <c r="U273" s="112" t="n">
        <f aca="false">ABS(I273)/$P$3</f>
        <v>0</v>
      </c>
      <c r="V273" s="112" t="n">
        <f aca="false">ABS(J273)/$P$3</f>
        <v>0</v>
      </c>
      <c r="W273" s="112" t="n">
        <f aca="false">ABS(K273)/$P$3</f>
        <v>0</v>
      </c>
      <c r="X273" s="112" t="n">
        <f aca="false">ABS(L273)/$P$3</f>
        <v>0</v>
      </c>
      <c r="Y273" s="112" t="n">
        <f aca="false">ABS(M273)/$P$3</f>
        <v>0</v>
      </c>
      <c r="Z273" s="112" t="n">
        <f aca="false">ABS(N273)/$P$3</f>
        <v>0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Data'!$A$2:$B$8,MATCH(WEEKDAY('RAC V@r Total'!A274,3),'Master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H274" s="112" t="n">
        <v>0</v>
      </c>
      <c r="I274" s="112" t="n">
        <v>0</v>
      </c>
      <c r="J274" s="112" t="n">
        <v>0</v>
      </c>
      <c r="K274" s="112" t="n">
        <v>0</v>
      </c>
      <c r="L274" s="112" t="n">
        <v>0</v>
      </c>
      <c r="M274" s="112" t="n">
        <v>0</v>
      </c>
      <c r="N274" s="112" t="n">
        <v>0</v>
      </c>
      <c r="P274" s="112" t="n">
        <f aca="false">ABS(D274)/$P$3</f>
        <v>0</v>
      </c>
      <c r="Q274" s="112" t="n">
        <f aca="false">ABS(E274)/$P$3</f>
        <v>0</v>
      </c>
      <c r="R274" s="112" t="n">
        <f aca="false">ABS(F274)/$P$3</f>
        <v>0</v>
      </c>
      <c r="S274" s="112" t="n">
        <f aca="false">ABS(G274)/$P$3</f>
        <v>0</v>
      </c>
      <c r="T274" s="112" t="n">
        <f aca="false">ABS(H274)/$P$3</f>
        <v>0</v>
      </c>
      <c r="U274" s="112" t="n">
        <f aca="false">ABS(I274)/$P$3</f>
        <v>0</v>
      </c>
      <c r="V274" s="112" t="n">
        <f aca="false">ABS(J274)/$P$3</f>
        <v>0</v>
      </c>
      <c r="W274" s="112" t="n">
        <f aca="false">ABS(K274)/$P$3</f>
        <v>0</v>
      </c>
      <c r="X274" s="112" t="n">
        <f aca="false">ABS(L274)/$P$3</f>
        <v>0</v>
      </c>
      <c r="Y274" s="112" t="n">
        <f aca="false">ABS(M274)/$P$3</f>
        <v>0</v>
      </c>
      <c r="Z274" s="112" t="n">
        <f aca="false">ABS(N274)/$P$3</f>
        <v>0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Data'!$A$2:$B$8,MATCH(WEEKDAY('RAC V@r Total'!A275,3),'Master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H275" s="112" t="n">
        <v>0</v>
      </c>
      <c r="I275" s="112" t="n">
        <v>0</v>
      </c>
      <c r="J275" s="112" t="n">
        <v>0</v>
      </c>
      <c r="K275" s="112" t="n">
        <v>0</v>
      </c>
      <c r="L275" s="112" t="n">
        <v>0</v>
      </c>
      <c r="M275" s="112" t="n">
        <v>0</v>
      </c>
      <c r="N275" s="112" t="n">
        <v>0</v>
      </c>
      <c r="P275" s="112" t="n">
        <f aca="false">ABS(D275)/$P$3</f>
        <v>0</v>
      </c>
      <c r="Q275" s="112" t="n">
        <f aca="false">ABS(E275)/$P$3</f>
        <v>0</v>
      </c>
      <c r="R275" s="112" t="n">
        <f aca="false">ABS(F275)/$P$3</f>
        <v>0</v>
      </c>
      <c r="S275" s="112" t="n">
        <f aca="false">ABS(G275)/$P$3</f>
        <v>0</v>
      </c>
      <c r="T275" s="112" t="n">
        <f aca="false">ABS(H275)/$P$3</f>
        <v>0</v>
      </c>
      <c r="U275" s="112" t="n">
        <f aca="false">ABS(I275)/$P$3</f>
        <v>0</v>
      </c>
      <c r="V275" s="112" t="n">
        <f aca="false">ABS(J275)/$P$3</f>
        <v>0</v>
      </c>
      <c r="W275" s="112" t="n">
        <f aca="false">ABS(K275)/$P$3</f>
        <v>0</v>
      </c>
      <c r="X275" s="112" t="n">
        <f aca="false">ABS(L275)/$P$3</f>
        <v>0</v>
      </c>
      <c r="Y275" s="112" t="n">
        <f aca="false">ABS(M275)/$P$3</f>
        <v>0</v>
      </c>
      <c r="Z275" s="112" t="n">
        <f aca="false">ABS(N275)/$P$3</f>
        <v>0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Data'!$A$2:$B$8,MATCH(WEEKDAY('RAC V@r Total'!A276,3),'Master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H276" s="112" t="n">
        <v>0</v>
      </c>
      <c r="I276" s="112" t="n">
        <v>0</v>
      </c>
      <c r="J276" s="112" t="n">
        <v>0</v>
      </c>
      <c r="K276" s="112" t="n">
        <v>0</v>
      </c>
      <c r="L276" s="112" t="n">
        <v>0</v>
      </c>
      <c r="M276" s="112" t="n">
        <v>0</v>
      </c>
      <c r="N276" s="112" t="n">
        <v>0</v>
      </c>
      <c r="P276" s="112" t="n">
        <f aca="false">ABS(D276)/$P$3</f>
        <v>0</v>
      </c>
      <c r="Q276" s="112" t="n">
        <f aca="false">ABS(E276)/$P$3</f>
        <v>0</v>
      </c>
      <c r="R276" s="112" t="n">
        <f aca="false">ABS(F276)/$P$3</f>
        <v>0</v>
      </c>
      <c r="S276" s="112" t="n">
        <f aca="false">ABS(G276)/$P$3</f>
        <v>0</v>
      </c>
      <c r="T276" s="112" t="n">
        <f aca="false">ABS(H276)/$P$3</f>
        <v>0</v>
      </c>
      <c r="U276" s="112" t="n">
        <f aca="false">ABS(I276)/$P$3</f>
        <v>0</v>
      </c>
      <c r="V276" s="112" t="n">
        <f aca="false">ABS(J276)/$P$3</f>
        <v>0</v>
      </c>
      <c r="W276" s="112" t="n">
        <f aca="false">ABS(K276)/$P$3</f>
        <v>0</v>
      </c>
      <c r="X276" s="112" t="n">
        <f aca="false">ABS(L276)/$P$3</f>
        <v>0</v>
      </c>
      <c r="Y276" s="112" t="n">
        <f aca="false">ABS(M276)/$P$3</f>
        <v>0</v>
      </c>
      <c r="Z276" s="112" t="n">
        <f aca="false">ABS(N276)/$P$3</f>
        <v>0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Data'!$A$2:$B$8,MATCH(WEEKDAY('RAC V@r Total'!A277,3),'Master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H277" s="112" t="n">
        <v>0</v>
      </c>
      <c r="I277" s="112" t="n">
        <v>0</v>
      </c>
      <c r="J277" s="112" t="n">
        <v>0</v>
      </c>
      <c r="K277" s="112" t="n">
        <v>0</v>
      </c>
      <c r="L277" s="112" t="n">
        <v>0</v>
      </c>
      <c r="M277" s="112" t="n">
        <v>0</v>
      </c>
      <c r="N277" s="112" t="n">
        <v>0</v>
      </c>
      <c r="P277" s="112" t="n">
        <f aca="false">ABS(D277)/$P$3</f>
        <v>0</v>
      </c>
      <c r="Q277" s="112" t="n">
        <f aca="false">ABS(E277)/$P$3</f>
        <v>0</v>
      </c>
      <c r="R277" s="112" t="n">
        <f aca="false">ABS(F277)/$P$3</f>
        <v>0</v>
      </c>
      <c r="S277" s="112" t="n">
        <f aca="false">ABS(G277)/$P$3</f>
        <v>0</v>
      </c>
      <c r="T277" s="112" t="n">
        <f aca="false">ABS(H277)/$P$3</f>
        <v>0</v>
      </c>
      <c r="U277" s="112" t="n">
        <f aca="false">ABS(I277)/$P$3</f>
        <v>0</v>
      </c>
      <c r="V277" s="112" t="n">
        <f aca="false">ABS(J277)/$P$3</f>
        <v>0</v>
      </c>
      <c r="W277" s="112" t="n">
        <f aca="false">ABS(K277)/$P$3</f>
        <v>0</v>
      </c>
      <c r="X277" s="112" t="n">
        <f aca="false">ABS(L277)/$P$3</f>
        <v>0</v>
      </c>
      <c r="Y277" s="112" t="n">
        <f aca="false">ABS(M277)/$P$3</f>
        <v>0</v>
      </c>
      <c r="Z277" s="112" t="n">
        <f aca="false">ABS(N277)/$P$3</f>
        <v>0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Data'!$A$2:$B$8,MATCH(WEEKDAY('RAC V@r Total'!A278,3),'Master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H278" s="112" t="n">
        <v>0</v>
      </c>
      <c r="I278" s="112" t="n">
        <v>0</v>
      </c>
      <c r="J278" s="112" t="n">
        <v>0</v>
      </c>
      <c r="K278" s="112" t="n">
        <v>0</v>
      </c>
      <c r="L278" s="112" t="n">
        <v>0</v>
      </c>
      <c r="M278" s="112" t="n">
        <v>0</v>
      </c>
      <c r="N278" s="112" t="n">
        <v>0</v>
      </c>
      <c r="P278" s="112" t="n">
        <f aca="false">ABS(D278)/$P$3</f>
        <v>0</v>
      </c>
      <c r="Q278" s="112" t="n">
        <f aca="false">ABS(E278)/$P$3</f>
        <v>0</v>
      </c>
      <c r="R278" s="112" t="n">
        <f aca="false">ABS(F278)/$P$3</f>
        <v>0</v>
      </c>
      <c r="S278" s="112" t="n">
        <f aca="false">ABS(G278)/$P$3</f>
        <v>0</v>
      </c>
      <c r="T278" s="112" t="n">
        <f aca="false">ABS(H278)/$P$3</f>
        <v>0</v>
      </c>
      <c r="U278" s="112" t="n">
        <f aca="false">ABS(I278)/$P$3</f>
        <v>0</v>
      </c>
      <c r="V278" s="112" t="n">
        <f aca="false">ABS(J278)/$P$3</f>
        <v>0</v>
      </c>
      <c r="W278" s="112" t="n">
        <f aca="false">ABS(K278)/$P$3</f>
        <v>0</v>
      </c>
      <c r="X278" s="112" t="n">
        <f aca="false">ABS(L278)/$P$3</f>
        <v>0</v>
      </c>
      <c r="Y278" s="112" t="n">
        <f aca="false">ABS(M278)/$P$3</f>
        <v>0</v>
      </c>
      <c r="Z278" s="112" t="n">
        <f aca="false">ABS(N278)/$P$3</f>
        <v>0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Data'!$A$2:$B$8,MATCH(WEEKDAY('RAC V@r Total'!A279,3),'Master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H279" s="112" t="n">
        <v>0</v>
      </c>
      <c r="I279" s="112" t="n">
        <v>0</v>
      </c>
      <c r="J279" s="112" t="n">
        <v>0</v>
      </c>
      <c r="K279" s="112" t="n">
        <v>0</v>
      </c>
      <c r="L279" s="112" t="n">
        <v>0</v>
      </c>
      <c r="M279" s="112" t="n">
        <v>0</v>
      </c>
      <c r="N279" s="112" t="n">
        <v>0</v>
      </c>
      <c r="P279" s="112" t="n">
        <f aca="false">ABS(D279)/$P$3</f>
        <v>0</v>
      </c>
      <c r="Q279" s="112" t="n">
        <f aca="false">ABS(E279)/$P$3</f>
        <v>0</v>
      </c>
      <c r="R279" s="112" t="n">
        <f aca="false">ABS(F279)/$P$3</f>
        <v>0</v>
      </c>
      <c r="S279" s="112" t="n">
        <f aca="false">ABS(G279)/$P$3</f>
        <v>0</v>
      </c>
      <c r="T279" s="112" t="n">
        <f aca="false">ABS(H279)/$P$3</f>
        <v>0</v>
      </c>
      <c r="U279" s="112" t="n">
        <f aca="false">ABS(I279)/$P$3</f>
        <v>0</v>
      </c>
      <c r="V279" s="112" t="n">
        <f aca="false">ABS(J279)/$P$3</f>
        <v>0</v>
      </c>
      <c r="W279" s="112" t="n">
        <f aca="false">ABS(K279)/$P$3</f>
        <v>0</v>
      </c>
      <c r="X279" s="112" t="n">
        <f aca="false">ABS(L279)/$P$3</f>
        <v>0</v>
      </c>
      <c r="Y279" s="112" t="n">
        <f aca="false">ABS(M279)/$P$3</f>
        <v>0</v>
      </c>
      <c r="Z279" s="112" t="n">
        <f aca="false">ABS(N279)/$P$3</f>
        <v>0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Data'!$A$2:$B$8,MATCH(WEEKDAY('RAC V@r Total'!A280,3),'Master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H280" s="112" t="n">
        <v>0</v>
      </c>
      <c r="I280" s="112" t="n">
        <v>0</v>
      </c>
      <c r="J280" s="112" t="n">
        <v>0</v>
      </c>
      <c r="K280" s="112" t="n">
        <v>0</v>
      </c>
      <c r="L280" s="112" t="n">
        <v>0</v>
      </c>
      <c r="M280" s="112" t="n">
        <v>0</v>
      </c>
      <c r="N280" s="112" t="n">
        <v>0</v>
      </c>
      <c r="P280" s="112" t="n">
        <f aca="false">ABS(D280)/$P$3</f>
        <v>0</v>
      </c>
      <c r="Q280" s="112" t="n">
        <f aca="false">ABS(E280)/$P$3</f>
        <v>0</v>
      </c>
      <c r="R280" s="112" t="n">
        <f aca="false">ABS(F280)/$P$3</f>
        <v>0</v>
      </c>
      <c r="S280" s="112" t="n">
        <f aca="false">ABS(G280)/$P$3</f>
        <v>0</v>
      </c>
      <c r="T280" s="112" t="n">
        <f aca="false">ABS(H280)/$P$3</f>
        <v>0</v>
      </c>
      <c r="U280" s="112" t="n">
        <f aca="false">ABS(I280)/$P$3</f>
        <v>0</v>
      </c>
      <c r="V280" s="112" t="n">
        <f aca="false">ABS(J280)/$P$3</f>
        <v>0</v>
      </c>
      <c r="W280" s="112" t="n">
        <f aca="false">ABS(K280)/$P$3</f>
        <v>0</v>
      </c>
      <c r="X280" s="112" t="n">
        <f aca="false">ABS(L280)/$P$3</f>
        <v>0</v>
      </c>
      <c r="Y280" s="112" t="n">
        <f aca="false">ABS(M280)/$P$3</f>
        <v>0</v>
      </c>
      <c r="Z280" s="112" t="n">
        <f aca="false">ABS(N280)/$P$3</f>
        <v>0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Data'!$A$2:$B$8,MATCH(WEEKDAY('RAC V@r Total'!A281,3),'Master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H281" s="112" t="n">
        <v>0</v>
      </c>
      <c r="I281" s="112" t="n">
        <v>0</v>
      </c>
      <c r="J281" s="112" t="n">
        <v>0</v>
      </c>
      <c r="K281" s="112" t="n">
        <v>0</v>
      </c>
      <c r="L281" s="112" t="n">
        <v>0</v>
      </c>
      <c r="M281" s="112" t="n">
        <v>0</v>
      </c>
      <c r="N281" s="112" t="n">
        <v>0</v>
      </c>
      <c r="P281" s="112" t="n">
        <f aca="false">ABS(D281)/$P$3</f>
        <v>0</v>
      </c>
      <c r="Q281" s="112" t="n">
        <f aca="false">ABS(E281)/$P$3</f>
        <v>0</v>
      </c>
      <c r="R281" s="112" t="n">
        <f aca="false">ABS(F281)/$P$3</f>
        <v>0</v>
      </c>
      <c r="S281" s="112" t="n">
        <f aca="false">ABS(G281)/$P$3</f>
        <v>0</v>
      </c>
      <c r="T281" s="112" t="n">
        <f aca="false">ABS(H281)/$P$3</f>
        <v>0</v>
      </c>
      <c r="U281" s="112" t="n">
        <f aca="false">ABS(I281)/$P$3</f>
        <v>0</v>
      </c>
      <c r="V281" s="112" t="n">
        <f aca="false">ABS(J281)/$P$3</f>
        <v>0</v>
      </c>
      <c r="W281" s="112" t="n">
        <f aca="false">ABS(K281)/$P$3</f>
        <v>0</v>
      </c>
      <c r="X281" s="112" t="n">
        <f aca="false">ABS(L281)/$P$3</f>
        <v>0</v>
      </c>
      <c r="Y281" s="112" t="n">
        <f aca="false">ABS(M281)/$P$3</f>
        <v>0</v>
      </c>
      <c r="Z281" s="112" t="n">
        <f aca="false">ABS(N281)/$P$3</f>
        <v>0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Data'!$A$2:$B$8,MATCH(WEEKDAY('RAC V@r Total'!A282,3),'Master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H282" s="112" t="n">
        <v>0</v>
      </c>
      <c r="I282" s="112" t="n">
        <v>0</v>
      </c>
      <c r="J282" s="112" t="n">
        <v>0</v>
      </c>
      <c r="K282" s="112" t="n">
        <v>0</v>
      </c>
      <c r="L282" s="112" t="n">
        <v>0</v>
      </c>
      <c r="M282" s="112" t="n">
        <v>0</v>
      </c>
      <c r="N282" s="112" t="n">
        <v>0</v>
      </c>
      <c r="P282" s="112" t="n">
        <f aca="false">ABS(D282)/$P$3</f>
        <v>0</v>
      </c>
      <c r="Q282" s="112" t="n">
        <f aca="false">ABS(E282)/$P$3</f>
        <v>0</v>
      </c>
      <c r="R282" s="112" t="n">
        <f aca="false">ABS(F282)/$P$3</f>
        <v>0</v>
      </c>
      <c r="S282" s="112" t="n">
        <f aca="false">ABS(G282)/$P$3</f>
        <v>0</v>
      </c>
      <c r="T282" s="112" t="n">
        <f aca="false">ABS(H282)/$P$3</f>
        <v>0</v>
      </c>
      <c r="U282" s="112" t="n">
        <f aca="false">ABS(I282)/$P$3</f>
        <v>0</v>
      </c>
      <c r="V282" s="112" t="n">
        <f aca="false">ABS(J282)/$P$3</f>
        <v>0</v>
      </c>
      <c r="W282" s="112" t="n">
        <f aca="false">ABS(K282)/$P$3</f>
        <v>0</v>
      </c>
      <c r="X282" s="112" t="n">
        <f aca="false">ABS(L282)/$P$3</f>
        <v>0</v>
      </c>
      <c r="Y282" s="112" t="n">
        <f aca="false">ABS(M282)/$P$3</f>
        <v>0</v>
      </c>
      <c r="Z282" s="112" t="n">
        <f aca="false">ABS(N282)/$P$3</f>
        <v>0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Data'!$A$2:$B$8,MATCH(WEEKDAY('RAC V@r Total'!A283,3),'Master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H283" s="112" t="n">
        <v>0</v>
      </c>
      <c r="I283" s="112" t="n">
        <v>0</v>
      </c>
      <c r="J283" s="112" t="n">
        <v>0</v>
      </c>
      <c r="K283" s="112" t="n">
        <v>0</v>
      </c>
      <c r="L283" s="112" t="n">
        <v>0</v>
      </c>
      <c r="M283" s="112" t="n">
        <v>0</v>
      </c>
      <c r="N283" s="112" t="n">
        <v>0</v>
      </c>
      <c r="P283" s="112" t="n">
        <f aca="false">ABS(D283)/$P$3</f>
        <v>0</v>
      </c>
      <c r="Q283" s="112" t="n">
        <f aca="false">ABS(E283)/$P$3</f>
        <v>0</v>
      </c>
      <c r="R283" s="112" t="n">
        <f aca="false">ABS(F283)/$P$3</f>
        <v>0</v>
      </c>
      <c r="S283" s="112" t="n">
        <f aca="false">ABS(G283)/$P$3</f>
        <v>0</v>
      </c>
      <c r="T283" s="112" t="n">
        <f aca="false">ABS(H283)/$P$3</f>
        <v>0</v>
      </c>
      <c r="U283" s="112" t="n">
        <f aca="false">ABS(I283)/$P$3</f>
        <v>0</v>
      </c>
      <c r="V283" s="112" t="n">
        <f aca="false">ABS(J283)/$P$3</f>
        <v>0</v>
      </c>
      <c r="W283" s="112" t="n">
        <f aca="false">ABS(K283)/$P$3</f>
        <v>0</v>
      </c>
      <c r="X283" s="112" t="n">
        <f aca="false">ABS(L283)/$P$3</f>
        <v>0</v>
      </c>
      <c r="Y283" s="112" t="n">
        <f aca="false">ABS(M283)/$P$3</f>
        <v>0</v>
      </c>
      <c r="Z283" s="112" t="n">
        <f aca="false">ABS(N283)/$P$3</f>
        <v>0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Data'!$A$2:$B$8,MATCH(WEEKDAY('RAC V@r Total'!A284,3),'Master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H284" s="112" t="n">
        <v>0</v>
      </c>
      <c r="I284" s="112" t="n">
        <v>0</v>
      </c>
      <c r="J284" s="112" t="n">
        <v>0</v>
      </c>
      <c r="K284" s="112" t="n">
        <v>0</v>
      </c>
      <c r="L284" s="112" t="n">
        <v>0</v>
      </c>
      <c r="M284" s="112" t="n">
        <v>0</v>
      </c>
      <c r="N284" s="112" t="n">
        <v>0</v>
      </c>
      <c r="P284" s="112" t="n">
        <f aca="false">ABS(D284)/$P$3</f>
        <v>0</v>
      </c>
      <c r="Q284" s="112" t="n">
        <f aca="false">ABS(E284)/$P$3</f>
        <v>0</v>
      </c>
      <c r="R284" s="112" t="n">
        <f aca="false">ABS(F284)/$P$3</f>
        <v>0</v>
      </c>
      <c r="S284" s="112" t="n">
        <f aca="false">ABS(G284)/$P$3</f>
        <v>0</v>
      </c>
      <c r="T284" s="112" t="n">
        <f aca="false">ABS(H284)/$P$3</f>
        <v>0</v>
      </c>
      <c r="U284" s="112" t="n">
        <f aca="false">ABS(I284)/$P$3</f>
        <v>0</v>
      </c>
      <c r="V284" s="112" t="n">
        <f aca="false">ABS(J284)/$P$3</f>
        <v>0</v>
      </c>
      <c r="W284" s="112" t="n">
        <f aca="false">ABS(K284)/$P$3</f>
        <v>0</v>
      </c>
      <c r="X284" s="112" t="n">
        <f aca="false">ABS(L284)/$P$3</f>
        <v>0</v>
      </c>
      <c r="Y284" s="112" t="n">
        <f aca="false">ABS(M284)/$P$3</f>
        <v>0</v>
      </c>
      <c r="Z284" s="112" t="n">
        <f aca="false">ABS(N284)/$P$3</f>
        <v>0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Data'!$A$2:$B$8,MATCH(WEEKDAY('RAC V@r Total'!A285,3),'Master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H285" s="112" t="n">
        <v>0</v>
      </c>
      <c r="I285" s="112" t="n">
        <v>0</v>
      </c>
      <c r="J285" s="112" t="n">
        <v>0</v>
      </c>
      <c r="K285" s="112" t="n">
        <v>0</v>
      </c>
      <c r="L285" s="112" t="n">
        <v>0</v>
      </c>
      <c r="M285" s="112" t="n">
        <v>0</v>
      </c>
      <c r="N285" s="112" t="n">
        <v>0</v>
      </c>
      <c r="P285" s="112" t="n">
        <f aca="false">ABS(D285)/$P$3</f>
        <v>0</v>
      </c>
      <c r="Q285" s="112" t="n">
        <f aca="false">ABS(E285)/$P$3</f>
        <v>0</v>
      </c>
      <c r="R285" s="112" t="n">
        <f aca="false">ABS(F285)/$P$3</f>
        <v>0</v>
      </c>
      <c r="S285" s="112" t="n">
        <f aca="false">ABS(G285)/$P$3</f>
        <v>0</v>
      </c>
      <c r="T285" s="112" t="n">
        <f aca="false">ABS(H285)/$P$3</f>
        <v>0</v>
      </c>
      <c r="U285" s="112" t="n">
        <f aca="false">ABS(I285)/$P$3</f>
        <v>0</v>
      </c>
      <c r="V285" s="112" t="n">
        <f aca="false">ABS(J285)/$P$3</f>
        <v>0</v>
      </c>
      <c r="W285" s="112" t="n">
        <f aca="false">ABS(K285)/$P$3</f>
        <v>0</v>
      </c>
      <c r="X285" s="112" t="n">
        <f aca="false">ABS(L285)/$P$3</f>
        <v>0</v>
      </c>
      <c r="Y285" s="112" t="n">
        <f aca="false">ABS(M285)/$P$3</f>
        <v>0</v>
      </c>
      <c r="Z285" s="112" t="n">
        <f aca="false">ABS(N285)/$P$3</f>
        <v>0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Data'!$A$2:$B$8,MATCH(WEEKDAY('RAC V@r Total'!A286,3),'Master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H286" s="112" t="n">
        <v>0</v>
      </c>
      <c r="I286" s="112" t="n">
        <v>0</v>
      </c>
      <c r="J286" s="112" t="n">
        <v>0</v>
      </c>
      <c r="K286" s="112" t="n">
        <v>0</v>
      </c>
      <c r="L286" s="112" t="n">
        <v>0</v>
      </c>
      <c r="M286" s="112" t="n">
        <v>0</v>
      </c>
      <c r="N286" s="112" t="n">
        <v>0</v>
      </c>
      <c r="P286" s="112" t="n">
        <f aca="false">ABS(D286)/$P$3</f>
        <v>0</v>
      </c>
      <c r="Q286" s="112" t="n">
        <f aca="false">ABS(E286)/$P$3</f>
        <v>0</v>
      </c>
      <c r="R286" s="112" t="n">
        <f aca="false">ABS(F286)/$P$3</f>
        <v>0</v>
      </c>
      <c r="S286" s="112" t="n">
        <f aca="false">ABS(G286)/$P$3</f>
        <v>0</v>
      </c>
      <c r="T286" s="112" t="n">
        <f aca="false">ABS(H286)/$P$3</f>
        <v>0</v>
      </c>
      <c r="U286" s="112" t="n">
        <f aca="false">ABS(I286)/$P$3</f>
        <v>0</v>
      </c>
      <c r="V286" s="112" t="n">
        <f aca="false">ABS(J286)/$P$3</f>
        <v>0</v>
      </c>
      <c r="W286" s="112" t="n">
        <f aca="false">ABS(K286)/$P$3</f>
        <v>0</v>
      </c>
      <c r="X286" s="112" t="n">
        <f aca="false">ABS(L286)/$P$3</f>
        <v>0</v>
      </c>
      <c r="Y286" s="112" t="n">
        <f aca="false">ABS(M286)/$P$3</f>
        <v>0</v>
      </c>
      <c r="Z286" s="112" t="n">
        <f aca="false">ABS(N286)/$P$3</f>
        <v>0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Data'!$A$2:$B$8,MATCH(WEEKDAY('RAC V@r Total'!A287,3),'Master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H287" s="112" t="n">
        <v>0</v>
      </c>
      <c r="I287" s="112" t="n">
        <v>0</v>
      </c>
      <c r="J287" s="112" t="n">
        <v>0</v>
      </c>
      <c r="K287" s="112" t="n">
        <v>0</v>
      </c>
      <c r="L287" s="112" t="n">
        <v>0</v>
      </c>
      <c r="M287" s="112" t="n">
        <v>0</v>
      </c>
      <c r="N287" s="112" t="n">
        <v>0</v>
      </c>
      <c r="P287" s="112" t="n">
        <f aca="false">ABS(D287)/$P$3</f>
        <v>0</v>
      </c>
      <c r="Q287" s="112" t="n">
        <f aca="false">ABS(E287)/$P$3</f>
        <v>0</v>
      </c>
      <c r="R287" s="112" t="n">
        <f aca="false">ABS(F287)/$P$3</f>
        <v>0</v>
      </c>
      <c r="S287" s="112" t="n">
        <f aca="false">ABS(G287)/$P$3</f>
        <v>0</v>
      </c>
      <c r="T287" s="112" t="n">
        <f aca="false">ABS(H287)/$P$3</f>
        <v>0</v>
      </c>
      <c r="U287" s="112" t="n">
        <f aca="false">ABS(I287)/$P$3</f>
        <v>0</v>
      </c>
      <c r="V287" s="112" t="n">
        <f aca="false">ABS(J287)/$P$3</f>
        <v>0</v>
      </c>
      <c r="W287" s="112" t="n">
        <f aca="false">ABS(K287)/$P$3</f>
        <v>0</v>
      </c>
      <c r="X287" s="112" t="n">
        <f aca="false">ABS(L287)/$P$3</f>
        <v>0</v>
      </c>
      <c r="Y287" s="112" t="n">
        <f aca="false">ABS(M287)/$P$3</f>
        <v>0</v>
      </c>
      <c r="Z287" s="112" t="n">
        <f aca="false">ABS(N287)/$P$3</f>
        <v>0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Data'!$A$2:$B$8,MATCH(WEEKDAY('RAC V@r Total'!A288,3),'Master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H288" s="112" t="n">
        <v>0</v>
      </c>
      <c r="I288" s="112" t="n">
        <v>0</v>
      </c>
      <c r="J288" s="112" t="n">
        <v>0</v>
      </c>
      <c r="K288" s="112" t="n">
        <v>0</v>
      </c>
      <c r="L288" s="112" t="n">
        <v>0</v>
      </c>
      <c r="M288" s="112" t="n">
        <v>0</v>
      </c>
      <c r="N288" s="112" t="n">
        <v>0</v>
      </c>
      <c r="P288" s="112" t="n">
        <f aca="false">ABS(D288)/$P$3</f>
        <v>0</v>
      </c>
      <c r="Q288" s="112" t="n">
        <f aca="false">ABS(E288)/$P$3</f>
        <v>0</v>
      </c>
      <c r="R288" s="112" t="n">
        <f aca="false">ABS(F288)/$P$3</f>
        <v>0</v>
      </c>
      <c r="S288" s="112" t="n">
        <f aca="false">ABS(G288)/$P$3</f>
        <v>0</v>
      </c>
      <c r="T288" s="112" t="n">
        <f aca="false">ABS(H288)/$P$3</f>
        <v>0</v>
      </c>
      <c r="U288" s="112" t="n">
        <f aca="false">ABS(I288)/$P$3</f>
        <v>0</v>
      </c>
      <c r="V288" s="112" t="n">
        <f aca="false">ABS(J288)/$P$3</f>
        <v>0</v>
      </c>
      <c r="W288" s="112" t="n">
        <f aca="false">ABS(K288)/$P$3</f>
        <v>0</v>
      </c>
      <c r="X288" s="112" t="n">
        <f aca="false">ABS(L288)/$P$3</f>
        <v>0</v>
      </c>
      <c r="Y288" s="112" t="n">
        <f aca="false">ABS(M288)/$P$3</f>
        <v>0</v>
      </c>
      <c r="Z288" s="112" t="n">
        <f aca="false">ABS(N288)/$P$3</f>
        <v>0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Data'!$A$2:$B$8,MATCH(WEEKDAY('RAC V@r Total'!A289,3),'Master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H289" s="112" t="n">
        <v>0</v>
      </c>
      <c r="I289" s="112" t="n">
        <v>0</v>
      </c>
      <c r="J289" s="112" t="n">
        <v>0</v>
      </c>
      <c r="K289" s="112" t="n">
        <v>0</v>
      </c>
      <c r="L289" s="112" t="n">
        <v>0</v>
      </c>
      <c r="M289" s="112" t="n">
        <v>0</v>
      </c>
      <c r="N289" s="112" t="n">
        <v>0</v>
      </c>
      <c r="P289" s="112" t="n">
        <f aca="false">ABS(D289)/$P$3</f>
        <v>0</v>
      </c>
      <c r="Q289" s="112" t="n">
        <f aca="false">ABS(E289)/$P$3</f>
        <v>0</v>
      </c>
      <c r="R289" s="112" t="n">
        <f aca="false">ABS(F289)/$P$3</f>
        <v>0</v>
      </c>
      <c r="S289" s="112" t="n">
        <f aca="false">ABS(G289)/$P$3</f>
        <v>0</v>
      </c>
      <c r="T289" s="112" t="n">
        <f aca="false">ABS(H289)/$P$3</f>
        <v>0</v>
      </c>
      <c r="U289" s="112" t="n">
        <f aca="false">ABS(I289)/$P$3</f>
        <v>0</v>
      </c>
      <c r="V289" s="112" t="n">
        <f aca="false">ABS(J289)/$P$3</f>
        <v>0</v>
      </c>
      <c r="W289" s="112" t="n">
        <f aca="false">ABS(K289)/$P$3</f>
        <v>0</v>
      </c>
      <c r="X289" s="112" t="n">
        <f aca="false">ABS(L289)/$P$3</f>
        <v>0</v>
      </c>
      <c r="Y289" s="112" t="n">
        <f aca="false">ABS(M289)/$P$3</f>
        <v>0</v>
      </c>
      <c r="Z289" s="112" t="n">
        <f aca="false">ABS(N289)/$P$3</f>
        <v>0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Data'!$A$2:$B$8,MATCH(WEEKDAY('RAC V@r Total'!A290,3),'Master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H290" s="112" t="n">
        <v>0</v>
      </c>
      <c r="I290" s="112" t="n">
        <v>0</v>
      </c>
      <c r="J290" s="112" t="n">
        <v>0</v>
      </c>
      <c r="K290" s="112" t="n">
        <v>0</v>
      </c>
      <c r="L290" s="112" t="n">
        <v>0</v>
      </c>
      <c r="M290" s="112" t="n">
        <v>0</v>
      </c>
      <c r="N290" s="112" t="n">
        <v>0</v>
      </c>
      <c r="P290" s="112" t="n">
        <f aca="false">ABS(D290)/$P$3</f>
        <v>0</v>
      </c>
      <c r="Q290" s="112" t="n">
        <f aca="false">ABS(E290)/$P$3</f>
        <v>0</v>
      </c>
      <c r="R290" s="112" t="n">
        <f aca="false">ABS(F290)/$P$3</f>
        <v>0</v>
      </c>
      <c r="S290" s="112" t="n">
        <f aca="false">ABS(G290)/$P$3</f>
        <v>0</v>
      </c>
      <c r="T290" s="112" t="n">
        <f aca="false">ABS(H290)/$P$3</f>
        <v>0</v>
      </c>
      <c r="U290" s="112" t="n">
        <f aca="false">ABS(I290)/$P$3</f>
        <v>0</v>
      </c>
      <c r="V290" s="112" t="n">
        <f aca="false">ABS(J290)/$P$3</f>
        <v>0</v>
      </c>
      <c r="W290" s="112" t="n">
        <f aca="false">ABS(K290)/$P$3</f>
        <v>0</v>
      </c>
      <c r="X290" s="112" t="n">
        <f aca="false">ABS(L290)/$P$3</f>
        <v>0</v>
      </c>
      <c r="Y290" s="112" t="n">
        <f aca="false">ABS(M290)/$P$3</f>
        <v>0</v>
      </c>
      <c r="Z290" s="112" t="n">
        <f aca="false">ABS(N290)/$P$3</f>
        <v>0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Data'!$A$2:$B$8,MATCH(WEEKDAY('RAC V@r Total'!A291,3),'Master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H291" s="112" t="n">
        <v>0</v>
      </c>
      <c r="I291" s="112" t="n">
        <v>0</v>
      </c>
      <c r="J291" s="112" t="n">
        <v>0</v>
      </c>
      <c r="K291" s="112" t="n">
        <v>0</v>
      </c>
      <c r="L291" s="112" t="n">
        <v>0</v>
      </c>
      <c r="M291" s="112" t="n">
        <v>0</v>
      </c>
      <c r="N291" s="112" t="n">
        <v>0</v>
      </c>
      <c r="P291" s="112" t="n">
        <f aca="false">ABS(D291)/$P$3</f>
        <v>0</v>
      </c>
      <c r="Q291" s="112" t="n">
        <f aca="false">ABS(E291)/$P$3</f>
        <v>0</v>
      </c>
      <c r="R291" s="112" t="n">
        <f aca="false">ABS(F291)/$P$3</f>
        <v>0</v>
      </c>
      <c r="S291" s="112" t="n">
        <f aca="false">ABS(G291)/$P$3</f>
        <v>0</v>
      </c>
      <c r="T291" s="112" t="n">
        <f aca="false">ABS(H291)/$P$3</f>
        <v>0</v>
      </c>
      <c r="U291" s="112" t="n">
        <f aca="false">ABS(I291)/$P$3</f>
        <v>0</v>
      </c>
      <c r="V291" s="112" t="n">
        <f aca="false">ABS(J291)/$P$3</f>
        <v>0</v>
      </c>
      <c r="W291" s="112" t="n">
        <f aca="false">ABS(K291)/$P$3</f>
        <v>0</v>
      </c>
      <c r="X291" s="112" t="n">
        <f aca="false">ABS(L291)/$P$3</f>
        <v>0</v>
      </c>
      <c r="Y291" s="112" t="n">
        <f aca="false">ABS(M291)/$P$3</f>
        <v>0</v>
      </c>
      <c r="Z291" s="112" t="n">
        <f aca="false">ABS(N291)/$P$3</f>
        <v>0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Data'!$A$2:$B$8,MATCH(WEEKDAY('RAC V@r Total'!A292,3),'Master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H292" s="112" t="n">
        <v>0</v>
      </c>
      <c r="I292" s="112" t="n">
        <v>0</v>
      </c>
      <c r="J292" s="112" t="n">
        <v>0</v>
      </c>
      <c r="K292" s="112" t="n">
        <v>0</v>
      </c>
      <c r="L292" s="112" t="n">
        <v>0</v>
      </c>
      <c r="M292" s="112" t="n">
        <v>0</v>
      </c>
      <c r="N292" s="112" t="n">
        <v>0</v>
      </c>
      <c r="P292" s="112" t="n">
        <f aca="false">ABS(D292)/$P$3</f>
        <v>0</v>
      </c>
      <c r="Q292" s="112" t="n">
        <f aca="false">ABS(E292)/$P$3</f>
        <v>0</v>
      </c>
      <c r="R292" s="112" t="n">
        <f aca="false">ABS(F292)/$P$3</f>
        <v>0</v>
      </c>
      <c r="S292" s="112" t="n">
        <f aca="false">ABS(G292)/$P$3</f>
        <v>0</v>
      </c>
      <c r="T292" s="112" t="n">
        <f aca="false">ABS(H292)/$P$3</f>
        <v>0</v>
      </c>
      <c r="U292" s="112" t="n">
        <f aca="false">ABS(I292)/$P$3</f>
        <v>0</v>
      </c>
      <c r="V292" s="112" t="n">
        <f aca="false">ABS(J292)/$P$3</f>
        <v>0</v>
      </c>
      <c r="W292" s="112" t="n">
        <f aca="false">ABS(K292)/$P$3</f>
        <v>0</v>
      </c>
      <c r="X292" s="112" t="n">
        <f aca="false">ABS(L292)/$P$3</f>
        <v>0</v>
      </c>
      <c r="Y292" s="112" t="n">
        <f aca="false">ABS(M292)/$P$3</f>
        <v>0</v>
      </c>
      <c r="Z292" s="112" t="n">
        <f aca="false">ABS(N292)/$P$3</f>
        <v>0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Data'!$A$2:$B$8,MATCH(WEEKDAY('RAC V@r Total'!A293,3),'Master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H293" s="112" t="n">
        <v>0</v>
      </c>
      <c r="I293" s="112" t="n">
        <v>0</v>
      </c>
      <c r="J293" s="112" t="n">
        <v>0</v>
      </c>
      <c r="K293" s="112" t="n">
        <v>0</v>
      </c>
      <c r="L293" s="112" t="n">
        <v>0</v>
      </c>
      <c r="M293" s="112" t="n">
        <v>0</v>
      </c>
      <c r="N293" s="112" t="n">
        <v>0</v>
      </c>
      <c r="P293" s="112" t="n">
        <f aca="false">ABS(D293)/$P$3</f>
        <v>0</v>
      </c>
      <c r="Q293" s="112" t="n">
        <f aca="false">ABS(E293)/$P$3</f>
        <v>0</v>
      </c>
      <c r="R293" s="112" t="n">
        <f aca="false">ABS(F293)/$P$3</f>
        <v>0</v>
      </c>
      <c r="S293" s="112" t="n">
        <f aca="false">ABS(G293)/$P$3</f>
        <v>0</v>
      </c>
      <c r="T293" s="112" t="n">
        <f aca="false">ABS(H293)/$P$3</f>
        <v>0</v>
      </c>
      <c r="U293" s="112" t="n">
        <f aca="false">ABS(I293)/$P$3</f>
        <v>0</v>
      </c>
      <c r="V293" s="112" t="n">
        <f aca="false">ABS(J293)/$P$3</f>
        <v>0</v>
      </c>
      <c r="W293" s="112" t="n">
        <f aca="false">ABS(K293)/$P$3</f>
        <v>0</v>
      </c>
      <c r="X293" s="112" t="n">
        <f aca="false">ABS(L293)/$P$3</f>
        <v>0</v>
      </c>
      <c r="Y293" s="112" t="n">
        <f aca="false">ABS(M293)/$P$3</f>
        <v>0</v>
      </c>
      <c r="Z293" s="112" t="n">
        <f aca="false">ABS(N293)/$P$3</f>
        <v>0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Data'!$A$2:$B$8,MATCH(WEEKDAY('RAC V@r Total'!A294,3),'Master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H294" s="112" t="n">
        <v>0</v>
      </c>
      <c r="I294" s="112" t="n">
        <v>0</v>
      </c>
      <c r="J294" s="112" t="n">
        <v>0</v>
      </c>
      <c r="K294" s="112" t="n">
        <v>0</v>
      </c>
      <c r="L294" s="112" t="n">
        <v>0</v>
      </c>
      <c r="M294" s="112" t="n">
        <v>0</v>
      </c>
      <c r="N294" s="112" t="n">
        <v>0</v>
      </c>
      <c r="P294" s="112" t="n">
        <f aca="false">ABS(D294)/$P$3</f>
        <v>0</v>
      </c>
      <c r="Q294" s="112" t="n">
        <f aca="false">ABS(E294)/$P$3</f>
        <v>0</v>
      </c>
      <c r="R294" s="112" t="n">
        <f aca="false">ABS(F294)/$P$3</f>
        <v>0</v>
      </c>
      <c r="S294" s="112" t="n">
        <f aca="false">ABS(G294)/$P$3</f>
        <v>0</v>
      </c>
      <c r="T294" s="112" t="n">
        <f aca="false">ABS(H294)/$P$3</f>
        <v>0</v>
      </c>
      <c r="U294" s="112" t="n">
        <f aca="false">ABS(I294)/$P$3</f>
        <v>0</v>
      </c>
      <c r="V294" s="112" t="n">
        <f aca="false">ABS(J294)/$P$3</f>
        <v>0</v>
      </c>
      <c r="W294" s="112" t="n">
        <f aca="false">ABS(K294)/$P$3</f>
        <v>0</v>
      </c>
      <c r="X294" s="112" t="n">
        <f aca="false">ABS(L294)/$P$3</f>
        <v>0</v>
      </c>
      <c r="Y294" s="112" t="n">
        <f aca="false">ABS(M294)/$P$3</f>
        <v>0</v>
      </c>
      <c r="Z294" s="112" t="n">
        <f aca="false">ABS(N294)/$P$3</f>
        <v>0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Data'!$A$2:$B$8,MATCH(WEEKDAY('RAC V@r Total'!A295,3),'Master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H295" s="112" t="n">
        <v>0</v>
      </c>
      <c r="I295" s="112" t="n">
        <v>0</v>
      </c>
      <c r="J295" s="112" t="n">
        <v>0</v>
      </c>
      <c r="K295" s="112" t="n">
        <v>0</v>
      </c>
      <c r="L295" s="112" t="n">
        <v>0</v>
      </c>
      <c r="M295" s="112" t="n">
        <v>0</v>
      </c>
      <c r="N295" s="112" t="n">
        <v>0</v>
      </c>
      <c r="P295" s="112" t="n">
        <f aca="false">ABS(D295)/$P$3</f>
        <v>0</v>
      </c>
      <c r="Q295" s="112" t="n">
        <f aca="false">ABS(E295)/$P$3</f>
        <v>0</v>
      </c>
      <c r="R295" s="112" t="n">
        <f aca="false">ABS(F295)/$P$3</f>
        <v>0</v>
      </c>
      <c r="S295" s="112" t="n">
        <f aca="false">ABS(G295)/$P$3</f>
        <v>0</v>
      </c>
      <c r="T295" s="112" t="n">
        <f aca="false">ABS(H295)/$P$3</f>
        <v>0</v>
      </c>
      <c r="U295" s="112" t="n">
        <f aca="false">ABS(I295)/$P$3</f>
        <v>0</v>
      </c>
      <c r="V295" s="112" t="n">
        <f aca="false">ABS(J295)/$P$3</f>
        <v>0</v>
      </c>
      <c r="W295" s="112" t="n">
        <f aca="false">ABS(K295)/$P$3</f>
        <v>0</v>
      </c>
      <c r="X295" s="112" t="n">
        <f aca="false">ABS(L295)/$P$3</f>
        <v>0</v>
      </c>
      <c r="Y295" s="112" t="n">
        <f aca="false">ABS(M295)/$P$3</f>
        <v>0</v>
      </c>
      <c r="Z295" s="112" t="n">
        <f aca="false">ABS(N295)/$P$3</f>
        <v>0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Data'!$A$2:$B$8,MATCH(WEEKDAY('RAC V@r Total'!A296,3),'Master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H296" s="112" t="n">
        <v>0</v>
      </c>
      <c r="I296" s="112" t="n">
        <v>0</v>
      </c>
      <c r="J296" s="112" t="n">
        <v>0</v>
      </c>
      <c r="K296" s="112" t="n">
        <v>0</v>
      </c>
      <c r="L296" s="112" t="n">
        <v>0</v>
      </c>
      <c r="M296" s="112" t="n">
        <v>0</v>
      </c>
      <c r="N296" s="112" t="n">
        <v>0</v>
      </c>
      <c r="P296" s="112" t="n">
        <f aca="false">ABS(D296)/$P$3</f>
        <v>0</v>
      </c>
      <c r="Q296" s="112" t="n">
        <f aca="false">ABS(E296)/$P$3</f>
        <v>0</v>
      </c>
      <c r="R296" s="112" t="n">
        <f aca="false">ABS(F296)/$P$3</f>
        <v>0</v>
      </c>
      <c r="S296" s="112" t="n">
        <f aca="false">ABS(G296)/$P$3</f>
        <v>0</v>
      </c>
      <c r="T296" s="112" t="n">
        <f aca="false">ABS(H296)/$P$3</f>
        <v>0</v>
      </c>
      <c r="U296" s="112" t="n">
        <f aca="false">ABS(I296)/$P$3</f>
        <v>0</v>
      </c>
      <c r="V296" s="112" t="n">
        <f aca="false">ABS(J296)/$P$3</f>
        <v>0</v>
      </c>
      <c r="W296" s="112" t="n">
        <f aca="false">ABS(K296)/$P$3</f>
        <v>0</v>
      </c>
      <c r="X296" s="112" t="n">
        <f aca="false">ABS(L296)/$P$3</f>
        <v>0</v>
      </c>
      <c r="Y296" s="112" t="n">
        <f aca="false">ABS(M296)/$P$3</f>
        <v>0</v>
      </c>
      <c r="Z296" s="112" t="n">
        <f aca="false">ABS(N296)/$P$3</f>
        <v>0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Data'!$A$2:$B$8,MATCH(WEEKDAY('RAC V@r Total'!A297,3),'Master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H297" s="112" t="n">
        <v>0</v>
      </c>
      <c r="I297" s="112" t="n">
        <v>0</v>
      </c>
      <c r="J297" s="112" t="n">
        <v>0</v>
      </c>
      <c r="K297" s="112" t="n">
        <v>0</v>
      </c>
      <c r="L297" s="112" t="n">
        <v>0</v>
      </c>
      <c r="M297" s="112" t="n">
        <v>0</v>
      </c>
      <c r="N297" s="112" t="n">
        <v>0</v>
      </c>
      <c r="P297" s="112" t="n">
        <f aca="false">ABS(D297)/$P$3</f>
        <v>0</v>
      </c>
      <c r="Q297" s="112" t="n">
        <f aca="false">ABS(E297)/$P$3</f>
        <v>0</v>
      </c>
      <c r="R297" s="112" t="n">
        <f aca="false">ABS(F297)/$P$3</f>
        <v>0</v>
      </c>
      <c r="S297" s="112" t="n">
        <f aca="false">ABS(G297)/$P$3</f>
        <v>0</v>
      </c>
      <c r="T297" s="112" t="n">
        <f aca="false">ABS(H297)/$P$3</f>
        <v>0</v>
      </c>
      <c r="U297" s="112" t="n">
        <f aca="false">ABS(I297)/$P$3</f>
        <v>0</v>
      </c>
      <c r="V297" s="112" t="n">
        <f aca="false">ABS(J297)/$P$3</f>
        <v>0</v>
      </c>
      <c r="W297" s="112" t="n">
        <f aca="false">ABS(K297)/$P$3</f>
        <v>0</v>
      </c>
      <c r="X297" s="112" t="n">
        <f aca="false">ABS(L297)/$P$3</f>
        <v>0</v>
      </c>
      <c r="Y297" s="112" t="n">
        <f aca="false">ABS(M297)/$P$3</f>
        <v>0</v>
      </c>
      <c r="Z297" s="112" t="n">
        <f aca="false">ABS(N297)/$P$3</f>
        <v>0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Data'!$A$2:$B$8,MATCH(WEEKDAY('RAC V@r Total'!A298,3),'Master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H298" s="112" t="n">
        <v>0</v>
      </c>
      <c r="I298" s="112" t="n">
        <v>0</v>
      </c>
      <c r="J298" s="112" t="n">
        <v>0</v>
      </c>
      <c r="K298" s="112" t="n">
        <v>0</v>
      </c>
      <c r="L298" s="112" t="n">
        <v>0</v>
      </c>
      <c r="M298" s="112" t="n">
        <v>0</v>
      </c>
      <c r="N298" s="112" t="n">
        <v>0</v>
      </c>
      <c r="P298" s="112" t="n">
        <f aca="false">ABS(D298)/$P$3</f>
        <v>0</v>
      </c>
      <c r="Q298" s="112" t="n">
        <f aca="false">ABS(E298)/$P$3</f>
        <v>0</v>
      </c>
      <c r="R298" s="112" t="n">
        <f aca="false">ABS(F298)/$P$3</f>
        <v>0</v>
      </c>
      <c r="S298" s="112" t="n">
        <f aca="false">ABS(G298)/$P$3</f>
        <v>0</v>
      </c>
      <c r="T298" s="112" t="n">
        <f aca="false">ABS(H298)/$P$3</f>
        <v>0</v>
      </c>
      <c r="U298" s="112" t="n">
        <f aca="false">ABS(I298)/$P$3</f>
        <v>0</v>
      </c>
      <c r="V298" s="112" t="n">
        <f aca="false">ABS(J298)/$P$3</f>
        <v>0</v>
      </c>
      <c r="W298" s="112" t="n">
        <f aca="false">ABS(K298)/$P$3</f>
        <v>0</v>
      </c>
      <c r="X298" s="112" t="n">
        <f aca="false">ABS(L298)/$P$3</f>
        <v>0</v>
      </c>
      <c r="Y298" s="112" t="n">
        <f aca="false">ABS(M298)/$P$3</f>
        <v>0</v>
      </c>
      <c r="Z298" s="112" t="n">
        <f aca="false">ABS(N298)/$P$3</f>
        <v>0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Data'!$A$2:$B$8,MATCH(WEEKDAY('RAC V@r Total'!A299,3),'Master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H299" s="112" t="n">
        <v>0</v>
      </c>
      <c r="I299" s="112" t="n">
        <v>0</v>
      </c>
      <c r="J299" s="112" t="n">
        <v>0</v>
      </c>
      <c r="K299" s="112" t="n">
        <v>0</v>
      </c>
      <c r="L299" s="112" t="n">
        <v>0</v>
      </c>
      <c r="M299" s="112" t="n">
        <v>0</v>
      </c>
      <c r="N299" s="112" t="n">
        <v>0</v>
      </c>
      <c r="P299" s="112" t="n">
        <f aca="false">ABS(D299)/$P$3</f>
        <v>0</v>
      </c>
      <c r="Q299" s="112" t="n">
        <f aca="false">ABS(E299)/$P$3</f>
        <v>0</v>
      </c>
      <c r="R299" s="112" t="n">
        <f aca="false">ABS(F299)/$P$3</f>
        <v>0</v>
      </c>
      <c r="S299" s="112" t="n">
        <f aca="false">ABS(G299)/$P$3</f>
        <v>0</v>
      </c>
      <c r="T299" s="112" t="n">
        <f aca="false">ABS(H299)/$P$3</f>
        <v>0</v>
      </c>
      <c r="U299" s="112" t="n">
        <f aca="false">ABS(I299)/$P$3</f>
        <v>0</v>
      </c>
      <c r="V299" s="112" t="n">
        <f aca="false">ABS(J299)/$P$3</f>
        <v>0</v>
      </c>
      <c r="W299" s="112" t="n">
        <f aca="false">ABS(K299)/$P$3</f>
        <v>0</v>
      </c>
      <c r="X299" s="112" t="n">
        <f aca="false">ABS(L299)/$P$3</f>
        <v>0</v>
      </c>
      <c r="Y299" s="112" t="n">
        <f aca="false">ABS(M299)/$P$3</f>
        <v>0</v>
      </c>
      <c r="Z299" s="112" t="n">
        <f aca="false">ABS(N299)/$P$3</f>
        <v>0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Data'!$A$2:$B$8,MATCH(WEEKDAY('RAC V@r Total'!A300,3),'Master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H300" s="112" t="n">
        <v>0</v>
      </c>
      <c r="I300" s="112" t="n">
        <v>0</v>
      </c>
      <c r="J300" s="112" t="n">
        <v>0</v>
      </c>
      <c r="K300" s="112" t="n">
        <v>0</v>
      </c>
      <c r="L300" s="112" t="n">
        <v>0</v>
      </c>
      <c r="M300" s="112" t="n">
        <v>0</v>
      </c>
      <c r="N300" s="112" t="n">
        <v>0</v>
      </c>
      <c r="P300" s="112" t="n">
        <f aca="false">ABS(D300)/$P$3</f>
        <v>0</v>
      </c>
      <c r="Q300" s="112" t="n">
        <f aca="false">ABS(E300)/$P$3</f>
        <v>0</v>
      </c>
      <c r="R300" s="112" t="n">
        <f aca="false">ABS(F300)/$P$3</f>
        <v>0</v>
      </c>
      <c r="S300" s="112" t="n">
        <f aca="false">ABS(G300)/$P$3</f>
        <v>0</v>
      </c>
      <c r="T300" s="112" t="n">
        <f aca="false">ABS(H300)/$P$3</f>
        <v>0</v>
      </c>
      <c r="U300" s="112" t="n">
        <f aca="false">ABS(I300)/$P$3</f>
        <v>0</v>
      </c>
      <c r="V300" s="112" t="n">
        <f aca="false">ABS(J300)/$P$3</f>
        <v>0</v>
      </c>
      <c r="W300" s="112" t="n">
        <f aca="false">ABS(K300)/$P$3</f>
        <v>0</v>
      </c>
      <c r="X300" s="112" t="n">
        <f aca="false">ABS(L300)/$P$3</f>
        <v>0</v>
      </c>
      <c r="Y300" s="112" t="n">
        <f aca="false">ABS(M300)/$P$3</f>
        <v>0</v>
      </c>
      <c r="Z300" s="112" t="n">
        <f aca="false">ABS(N300)/$P$3</f>
        <v>0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Data'!$A$2:$B$8,MATCH(WEEKDAY('RAC V@r Total'!A301,3),'Master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H301" s="112" t="n">
        <v>0</v>
      </c>
      <c r="I301" s="112" t="n">
        <v>0</v>
      </c>
      <c r="J301" s="112" t="n">
        <v>0</v>
      </c>
      <c r="K301" s="112" t="n">
        <v>0</v>
      </c>
      <c r="L301" s="112" t="n">
        <v>0</v>
      </c>
      <c r="M301" s="112" t="n">
        <v>0</v>
      </c>
      <c r="N301" s="112" t="n">
        <v>0</v>
      </c>
      <c r="P301" s="112" t="n">
        <f aca="false">ABS(D301)/$P$3</f>
        <v>0</v>
      </c>
      <c r="Q301" s="112" t="n">
        <f aca="false">ABS(E301)/$P$3</f>
        <v>0</v>
      </c>
      <c r="R301" s="112" t="n">
        <f aca="false">ABS(F301)/$P$3</f>
        <v>0</v>
      </c>
      <c r="S301" s="112" t="n">
        <f aca="false">ABS(G301)/$P$3</f>
        <v>0</v>
      </c>
      <c r="T301" s="112" t="n">
        <f aca="false">ABS(H301)/$P$3</f>
        <v>0</v>
      </c>
      <c r="U301" s="112" t="n">
        <f aca="false">ABS(I301)/$P$3</f>
        <v>0</v>
      </c>
      <c r="V301" s="112" t="n">
        <f aca="false">ABS(J301)/$P$3</f>
        <v>0</v>
      </c>
      <c r="W301" s="112" t="n">
        <f aca="false">ABS(K301)/$P$3</f>
        <v>0</v>
      </c>
      <c r="X301" s="112" t="n">
        <f aca="false">ABS(L301)/$P$3</f>
        <v>0</v>
      </c>
      <c r="Y301" s="112" t="n">
        <f aca="false">ABS(M301)/$P$3</f>
        <v>0</v>
      </c>
      <c r="Z301" s="112" t="n">
        <f aca="false">ABS(N301)/$P$3</f>
        <v>0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Data'!$A$2:$B$8,MATCH(WEEKDAY('RAC V@r Total'!A302,3),'Master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H302" s="112" t="n">
        <v>0</v>
      </c>
      <c r="I302" s="112" t="n">
        <v>0</v>
      </c>
      <c r="J302" s="112" t="n">
        <v>0</v>
      </c>
      <c r="K302" s="112" t="n">
        <v>0</v>
      </c>
      <c r="L302" s="112" t="n">
        <v>0</v>
      </c>
      <c r="M302" s="112" t="n">
        <v>0</v>
      </c>
      <c r="N302" s="112" t="n">
        <v>0</v>
      </c>
      <c r="P302" s="112" t="n">
        <f aca="false">ABS(D302)/$P$3</f>
        <v>0</v>
      </c>
      <c r="Q302" s="112" t="n">
        <f aca="false">ABS(E302)/$P$3</f>
        <v>0</v>
      </c>
      <c r="R302" s="112" t="n">
        <f aca="false">ABS(F302)/$P$3</f>
        <v>0</v>
      </c>
      <c r="S302" s="112" t="n">
        <f aca="false">ABS(G302)/$P$3</f>
        <v>0</v>
      </c>
      <c r="T302" s="112" t="n">
        <f aca="false">ABS(H302)/$P$3</f>
        <v>0</v>
      </c>
      <c r="U302" s="112" t="n">
        <f aca="false">ABS(I302)/$P$3</f>
        <v>0</v>
      </c>
      <c r="V302" s="112" t="n">
        <f aca="false">ABS(J302)/$P$3</f>
        <v>0</v>
      </c>
      <c r="W302" s="112" t="n">
        <f aca="false">ABS(K302)/$P$3</f>
        <v>0</v>
      </c>
      <c r="X302" s="112" t="n">
        <f aca="false">ABS(L302)/$P$3</f>
        <v>0</v>
      </c>
      <c r="Y302" s="112" t="n">
        <f aca="false">ABS(M302)/$P$3</f>
        <v>0</v>
      </c>
      <c r="Z302" s="112" t="n">
        <f aca="false">ABS(N302)/$P$3</f>
        <v>0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Data'!$A$2:$B$8,MATCH(WEEKDAY('RAC V@r Total'!A303,3),'Master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H303" s="112" t="n">
        <v>0</v>
      </c>
      <c r="I303" s="112" t="n">
        <v>0</v>
      </c>
      <c r="J303" s="112" t="n">
        <v>0</v>
      </c>
      <c r="K303" s="112" t="n">
        <v>0</v>
      </c>
      <c r="L303" s="112" t="n">
        <v>0</v>
      </c>
      <c r="M303" s="112" t="n">
        <v>0</v>
      </c>
      <c r="N303" s="112" t="n">
        <v>0</v>
      </c>
      <c r="P303" s="112" t="n">
        <f aca="false">ABS(D303)/$P$3</f>
        <v>0</v>
      </c>
      <c r="Q303" s="112" t="n">
        <f aca="false">ABS(E303)/$P$3</f>
        <v>0</v>
      </c>
      <c r="R303" s="112" t="n">
        <f aca="false">ABS(F303)/$P$3</f>
        <v>0</v>
      </c>
      <c r="S303" s="112" t="n">
        <f aca="false">ABS(G303)/$P$3</f>
        <v>0</v>
      </c>
      <c r="T303" s="112" t="n">
        <f aca="false">ABS(H303)/$P$3</f>
        <v>0</v>
      </c>
      <c r="U303" s="112" t="n">
        <f aca="false">ABS(I303)/$P$3</f>
        <v>0</v>
      </c>
      <c r="V303" s="112" t="n">
        <f aca="false">ABS(J303)/$P$3</f>
        <v>0</v>
      </c>
      <c r="W303" s="112" t="n">
        <f aca="false">ABS(K303)/$P$3</f>
        <v>0</v>
      </c>
      <c r="X303" s="112" t="n">
        <f aca="false">ABS(L303)/$P$3</f>
        <v>0</v>
      </c>
      <c r="Y303" s="112" t="n">
        <f aca="false">ABS(M303)/$P$3</f>
        <v>0</v>
      </c>
      <c r="Z303" s="112" t="n">
        <f aca="false">ABS(N303)/$P$3</f>
        <v>0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Data'!$A$2:$B$8,MATCH(WEEKDAY('RAC V@r Total'!A304,3),'Master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H304" s="112" t="n">
        <v>0</v>
      </c>
      <c r="I304" s="112" t="n">
        <v>0</v>
      </c>
      <c r="J304" s="112" t="n">
        <v>0</v>
      </c>
      <c r="K304" s="112" t="n">
        <v>0</v>
      </c>
      <c r="L304" s="112" t="n">
        <v>0</v>
      </c>
      <c r="M304" s="112" t="n">
        <v>0</v>
      </c>
      <c r="N304" s="112" t="n">
        <v>0</v>
      </c>
      <c r="P304" s="112" t="n">
        <f aca="false">ABS(D304)/$P$3</f>
        <v>0</v>
      </c>
      <c r="Q304" s="112" t="n">
        <f aca="false">ABS(E304)/$P$3</f>
        <v>0</v>
      </c>
      <c r="R304" s="112" t="n">
        <f aca="false">ABS(F304)/$P$3</f>
        <v>0</v>
      </c>
      <c r="S304" s="112" t="n">
        <f aca="false">ABS(G304)/$P$3</f>
        <v>0</v>
      </c>
      <c r="T304" s="112" t="n">
        <f aca="false">ABS(H304)/$P$3</f>
        <v>0</v>
      </c>
      <c r="U304" s="112" t="n">
        <f aca="false">ABS(I304)/$P$3</f>
        <v>0</v>
      </c>
      <c r="V304" s="112" t="n">
        <f aca="false">ABS(J304)/$P$3</f>
        <v>0</v>
      </c>
      <c r="W304" s="112" t="n">
        <f aca="false">ABS(K304)/$P$3</f>
        <v>0</v>
      </c>
      <c r="X304" s="112" t="n">
        <f aca="false">ABS(L304)/$P$3</f>
        <v>0</v>
      </c>
      <c r="Y304" s="112" t="n">
        <f aca="false">ABS(M304)/$P$3</f>
        <v>0</v>
      </c>
      <c r="Z304" s="112" t="n">
        <f aca="false">ABS(N304)/$P$3</f>
        <v>0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Data'!$A$2:$B$8,MATCH(WEEKDAY('RAC V@r Total'!A305,3),'Master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H305" s="112" t="n">
        <v>0</v>
      </c>
      <c r="I305" s="112" t="n">
        <v>0</v>
      </c>
      <c r="J305" s="112" t="n">
        <v>0</v>
      </c>
      <c r="K305" s="112" t="n">
        <v>0</v>
      </c>
      <c r="L305" s="112" t="n">
        <v>0</v>
      </c>
      <c r="M305" s="112" t="n">
        <v>0</v>
      </c>
      <c r="N305" s="112" t="n">
        <v>0</v>
      </c>
      <c r="P305" s="112" t="n">
        <f aca="false">ABS(D305)/$P$3</f>
        <v>0</v>
      </c>
      <c r="Q305" s="112" t="n">
        <f aca="false">ABS(E305)/$P$3</f>
        <v>0</v>
      </c>
      <c r="R305" s="112" t="n">
        <f aca="false">ABS(F305)/$P$3</f>
        <v>0</v>
      </c>
      <c r="S305" s="112" t="n">
        <f aca="false">ABS(G305)/$P$3</f>
        <v>0</v>
      </c>
      <c r="T305" s="112" t="n">
        <f aca="false">ABS(H305)/$P$3</f>
        <v>0</v>
      </c>
      <c r="U305" s="112" t="n">
        <f aca="false">ABS(I305)/$P$3</f>
        <v>0</v>
      </c>
      <c r="V305" s="112" t="n">
        <f aca="false">ABS(J305)/$P$3</f>
        <v>0</v>
      </c>
      <c r="W305" s="112" t="n">
        <f aca="false">ABS(K305)/$P$3</f>
        <v>0</v>
      </c>
      <c r="X305" s="112" t="n">
        <f aca="false">ABS(L305)/$P$3</f>
        <v>0</v>
      </c>
      <c r="Y305" s="112" t="n">
        <f aca="false">ABS(M305)/$P$3</f>
        <v>0</v>
      </c>
      <c r="Z305" s="112" t="n">
        <f aca="false">ABS(N305)/$P$3</f>
        <v>0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Data'!$A$2:$B$8,MATCH(WEEKDAY('RAC V@r Total'!A306,3),'Master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H306" s="112" t="n">
        <v>0</v>
      </c>
      <c r="I306" s="112" t="n">
        <v>0</v>
      </c>
      <c r="J306" s="112" t="n">
        <v>0</v>
      </c>
      <c r="K306" s="112" t="n">
        <v>0</v>
      </c>
      <c r="L306" s="112" t="n">
        <v>0</v>
      </c>
      <c r="M306" s="112" t="n">
        <v>0</v>
      </c>
      <c r="N306" s="112" t="n">
        <v>0</v>
      </c>
      <c r="P306" s="112" t="n">
        <f aca="false">ABS(D306)/$P$3</f>
        <v>0</v>
      </c>
      <c r="Q306" s="112" t="n">
        <f aca="false">ABS(E306)/$P$3</f>
        <v>0</v>
      </c>
      <c r="R306" s="112" t="n">
        <f aca="false">ABS(F306)/$P$3</f>
        <v>0</v>
      </c>
      <c r="S306" s="112" t="n">
        <f aca="false">ABS(G306)/$P$3</f>
        <v>0</v>
      </c>
      <c r="T306" s="112" t="n">
        <f aca="false">ABS(H306)/$P$3</f>
        <v>0</v>
      </c>
      <c r="U306" s="112" t="n">
        <f aca="false">ABS(I306)/$P$3</f>
        <v>0</v>
      </c>
      <c r="V306" s="112" t="n">
        <f aca="false">ABS(J306)/$P$3</f>
        <v>0</v>
      </c>
      <c r="W306" s="112" t="n">
        <f aca="false">ABS(K306)/$P$3</f>
        <v>0</v>
      </c>
      <c r="X306" s="112" t="n">
        <f aca="false">ABS(L306)/$P$3</f>
        <v>0</v>
      </c>
      <c r="Y306" s="112" t="n">
        <f aca="false">ABS(M306)/$P$3</f>
        <v>0</v>
      </c>
      <c r="Z306" s="112" t="n">
        <f aca="false">ABS(N306)/$P$3</f>
        <v>0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Data'!$A$2:$B$8,MATCH(WEEKDAY('RAC V@r Total'!A307,3),'Master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H307" s="112" t="n">
        <v>0</v>
      </c>
      <c r="I307" s="112" t="n">
        <v>0</v>
      </c>
      <c r="J307" s="112" t="n">
        <v>0</v>
      </c>
      <c r="K307" s="112" t="n">
        <v>0</v>
      </c>
      <c r="L307" s="112" t="n">
        <v>0</v>
      </c>
      <c r="M307" s="112" t="n">
        <v>0</v>
      </c>
      <c r="N307" s="112" t="n">
        <v>0</v>
      </c>
      <c r="P307" s="112" t="n">
        <f aca="false">ABS(D307)/$P$3</f>
        <v>0</v>
      </c>
      <c r="Q307" s="112" t="n">
        <f aca="false">ABS(E307)/$P$3</f>
        <v>0</v>
      </c>
      <c r="R307" s="112" t="n">
        <f aca="false">ABS(F307)/$P$3</f>
        <v>0</v>
      </c>
      <c r="S307" s="112" t="n">
        <f aca="false">ABS(G307)/$P$3</f>
        <v>0</v>
      </c>
      <c r="T307" s="112" t="n">
        <f aca="false">ABS(H307)/$P$3</f>
        <v>0</v>
      </c>
      <c r="U307" s="112" t="n">
        <f aca="false">ABS(I307)/$P$3</f>
        <v>0</v>
      </c>
      <c r="V307" s="112" t="n">
        <f aca="false">ABS(J307)/$P$3</f>
        <v>0</v>
      </c>
      <c r="W307" s="112" t="n">
        <f aca="false">ABS(K307)/$P$3</f>
        <v>0</v>
      </c>
      <c r="X307" s="112" t="n">
        <f aca="false">ABS(L307)/$P$3</f>
        <v>0</v>
      </c>
      <c r="Y307" s="112" t="n">
        <f aca="false">ABS(M307)/$P$3</f>
        <v>0</v>
      </c>
      <c r="Z307" s="112" t="n">
        <f aca="false">ABS(N307)/$P$3</f>
        <v>0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Data'!$A$2:$B$8,MATCH(WEEKDAY('RAC V@r Total'!A308,3),'Master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H308" s="112" t="n">
        <v>0</v>
      </c>
      <c r="I308" s="112" t="n">
        <v>0</v>
      </c>
      <c r="J308" s="112" t="n">
        <v>0</v>
      </c>
      <c r="K308" s="112" t="n">
        <v>0</v>
      </c>
      <c r="L308" s="112" t="n">
        <v>0</v>
      </c>
      <c r="M308" s="112" t="n">
        <v>0</v>
      </c>
      <c r="N308" s="112" t="n">
        <v>0</v>
      </c>
      <c r="P308" s="112" t="n">
        <f aca="false">ABS(D308)/$P$3</f>
        <v>0</v>
      </c>
      <c r="Q308" s="112" t="n">
        <f aca="false">ABS(E308)/$P$3</f>
        <v>0</v>
      </c>
      <c r="R308" s="112" t="n">
        <f aca="false">ABS(F308)/$P$3</f>
        <v>0</v>
      </c>
      <c r="S308" s="112" t="n">
        <f aca="false">ABS(G308)/$P$3</f>
        <v>0</v>
      </c>
      <c r="T308" s="112" t="n">
        <f aca="false">ABS(H308)/$P$3</f>
        <v>0</v>
      </c>
      <c r="U308" s="112" t="n">
        <f aca="false">ABS(I308)/$P$3</f>
        <v>0</v>
      </c>
      <c r="V308" s="112" t="n">
        <f aca="false">ABS(J308)/$P$3</f>
        <v>0</v>
      </c>
      <c r="W308" s="112" t="n">
        <f aca="false">ABS(K308)/$P$3</f>
        <v>0</v>
      </c>
      <c r="X308" s="112" t="n">
        <f aca="false">ABS(L308)/$P$3</f>
        <v>0</v>
      </c>
      <c r="Y308" s="112" t="n">
        <f aca="false">ABS(M308)/$P$3</f>
        <v>0</v>
      </c>
      <c r="Z308" s="112" t="n">
        <f aca="false">ABS(N308)/$P$3</f>
        <v>0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Data'!$A$2:$B$8,MATCH(WEEKDAY('RAC V@r Total'!A309,3),'Master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H309" s="112" t="n">
        <v>0</v>
      </c>
      <c r="I309" s="112" t="n">
        <v>0</v>
      </c>
      <c r="J309" s="112" t="n">
        <v>0</v>
      </c>
      <c r="K309" s="112" t="n">
        <v>0</v>
      </c>
      <c r="L309" s="112" t="n">
        <v>0</v>
      </c>
      <c r="M309" s="112" t="n">
        <v>0</v>
      </c>
      <c r="N309" s="112" t="n">
        <v>0</v>
      </c>
      <c r="P309" s="112" t="n">
        <f aca="false">ABS(D309)/$P$3</f>
        <v>0</v>
      </c>
      <c r="Q309" s="112" t="n">
        <f aca="false">ABS(E309)/$P$3</f>
        <v>0</v>
      </c>
      <c r="R309" s="112" t="n">
        <f aca="false">ABS(F309)/$P$3</f>
        <v>0</v>
      </c>
      <c r="S309" s="112" t="n">
        <f aca="false">ABS(G309)/$P$3</f>
        <v>0</v>
      </c>
      <c r="T309" s="112" t="n">
        <f aca="false">ABS(H309)/$P$3</f>
        <v>0</v>
      </c>
      <c r="U309" s="112" t="n">
        <f aca="false">ABS(I309)/$P$3</f>
        <v>0</v>
      </c>
      <c r="V309" s="112" t="n">
        <f aca="false">ABS(J309)/$P$3</f>
        <v>0</v>
      </c>
      <c r="W309" s="112" t="n">
        <f aca="false">ABS(K309)/$P$3</f>
        <v>0</v>
      </c>
      <c r="X309" s="112" t="n">
        <f aca="false">ABS(L309)/$P$3</f>
        <v>0</v>
      </c>
      <c r="Y309" s="112" t="n">
        <f aca="false">ABS(M309)/$P$3</f>
        <v>0</v>
      </c>
      <c r="Z309" s="112" t="n">
        <f aca="false">ABS(N309)/$P$3</f>
        <v>0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Data'!$A$2:$B$8,MATCH(WEEKDAY('RAC V@r Total'!A310,3),'Master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H310" s="112" t="n">
        <v>0</v>
      </c>
      <c r="I310" s="112" t="n">
        <v>0</v>
      </c>
      <c r="J310" s="112" t="n">
        <v>0</v>
      </c>
      <c r="K310" s="112" t="n">
        <v>0</v>
      </c>
      <c r="L310" s="112" t="n">
        <v>0</v>
      </c>
      <c r="M310" s="112" t="n">
        <v>0</v>
      </c>
      <c r="N310" s="112" t="n">
        <v>0</v>
      </c>
      <c r="P310" s="112" t="n">
        <f aca="false">ABS(D310)/$P$3</f>
        <v>0</v>
      </c>
      <c r="Q310" s="112" t="n">
        <f aca="false">ABS(E310)/$P$3</f>
        <v>0</v>
      </c>
      <c r="R310" s="112" t="n">
        <f aca="false">ABS(F310)/$P$3</f>
        <v>0</v>
      </c>
      <c r="S310" s="112" t="n">
        <f aca="false">ABS(G310)/$P$3</f>
        <v>0</v>
      </c>
      <c r="T310" s="112" t="n">
        <f aca="false">ABS(H310)/$P$3</f>
        <v>0</v>
      </c>
      <c r="U310" s="112" t="n">
        <f aca="false">ABS(I310)/$P$3</f>
        <v>0</v>
      </c>
      <c r="V310" s="112" t="n">
        <f aca="false">ABS(J310)/$P$3</f>
        <v>0</v>
      </c>
      <c r="W310" s="112" t="n">
        <f aca="false">ABS(K310)/$P$3</f>
        <v>0</v>
      </c>
      <c r="X310" s="112" t="n">
        <f aca="false">ABS(L310)/$P$3</f>
        <v>0</v>
      </c>
      <c r="Y310" s="112" t="n">
        <f aca="false">ABS(M310)/$P$3</f>
        <v>0</v>
      </c>
      <c r="Z310" s="112" t="n">
        <f aca="false">ABS(N310)/$P$3</f>
        <v>0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Data'!$A$2:$B$8,MATCH(WEEKDAY('RAC V@r Total'!A311,3),'Master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H311" s="112" t="n">
        <v>0</v>
      </c>
      <c r="I311" s="112" t="n">
        <v>0</v>
      </c>
      <c r="J311" s="112" t="n">
        <v>0</v>
      </c>
      <c r="K311" s="112" t="n">
        <v>0</v>
      </c>
      <c r="L311" s="112" t="n">
        <v>0</v>
      </c>
      <c r="M311" s="112" t="n">
        <v>0</v>
      </c>
      <c r="N311" s="112" t="n">
        <v>0</v>
      </c>
      <c r="P311" s="112" t="n">
        <f aca="false">ABS(D311)/$P$3</f>
        <v>0</v>
      </c>
      <c r="Q311" s="112" t="n">
        <f aca="false">ABS(E311)/$P$3</f>
        <v>0</v>
      </c>
      <c r="R311" s="112" t="n">
        <f aca="false">ABS(F311)/$P$3</f>
        <v>0</v>
      </c>
      <c r="S311" s="112" t="n">
        <f aca="false">ABS(G311)/$P$3</f>
        <v>0</v>
      </c>
      <c r="T311" s="112" t="n">
        <f aca="false">ABS(H311)/$P$3</f>
        <v>0</v>
      </c>
      <c r="U311" s="112" t="n">
        <f aca="false">ABS(I311)/$P$3</f>
        <v>0</v>
      </c>
      <c r="V311" s="112" t="n">
        <f aca="false">ABS(J311)/$P$3</f>
        <v>0</v>
      </c>
      <c r="W311" s="112" t="n">
        <f aca="false">ABS(K311)/$P$3</f>
        <v>0</v>
      </c>
      <c r="X311" s="112" t="n">
        <f aca="false">ABS(L311)/$P$3</f>
        <v>0</v>
      </c>
      <c r="Y311" s="112" t="n">
        <f aca="false">ABS(M311)/$P$3</f>
        <v>0</v>
      </c>
      <c r="Z311" s="112" t="n">
        <f aca="false">ABS(N311)/$P$3</f>
        <v>0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Data'!$A$2:$B$8,MATCH(WEEKDAY('RAC V@r Total'!A312,3),'Master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H312" s="112" t="n">
        <v>0</v>
      </c>
      <c r="I312" s="112" t="n">
        <v>0</v>
      </c>
      <c r="J312" s="112" t="n">
        <v>0</v>
      </c>
      <c r="K312" s="112" t="n">
        <v>0</v>
      </c>
      <c r="L312" s="112" t="n">
        <v>0</v>
      </c>
      <c r="M312" s="112" t="n">
        <v>0</v>
      </c>
      <c r="N312" s="112" t="n">
        <v>0</v>
      </c>
      <c r="P312" s="112" t="n">
        <f aca="false">ABS(D312)/$P$3</f>
        <v>0</v>
      </c>
      <c r="Q312" s="112" t="n">
        <f aca="false">ABS(E312)/$P$3</f>
        <v>0</v>
      </c>
      <c r="R312" s="112" t="n">
        <f aca="false">ABS(F312)/$P$3</f>
        <v>0</v>
      </c>
      <c r="S312" s="112" t="n">
        <f aca="false">ABS(G312)/$P$3</f>
        <v>0</v>
      </c>
      <c r="T312" s="112" t="n">
        <f aca="false">ABS(H312)/$P$3</f>
        <v>0</v>
      </c>
      <c r="U312" s="112" t="n">
        <f aca="false">ABS(I312)/$P$3</f>
        <v>0</v>
      </c>
      <c r="V312" s="112" t="n">
        <f aca="false">ABS(J312)/$P$3</f>
        <v>0</v>
      </c>
      <c r="W312" s="112" t="n">
        <f aca="false">ABS(K312)/$P$3</f>
        <v>0</v>
      </c>
      <c r="X312" s="112" t="n">
        <f aca="false">ABS(L312)/$P$3</f>
        <v>0</v>
      </c>
      <c r="Y312" s="112" t="n">
        <f aca="false">ABS(M312)/$P$3</f>
        <v>0</v>
      </c>
      <c r="Z312" s="112" t="n">
        <f aca="false">ABS(N312)/$P$3</f>
        <v>0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Data'!$A$2:$B$8,MATCH(WEEKDAY('RAC V@r Total'!A313,3),'Master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H313" s="112" t="n">
        <v>0</v>
      </c>
      <c r="I313" s="112" t="n">
        <v>0</v>
      </c>
      <c r="J313" s="112" t="n">
        <v>0</v>
      </c>
      <c r="K313" s="112" t="n">
        <v>0</v>
      </c>
      <c r="L313" s="112" t="n">
        <v>0</v>
      </c>
      <c r="M313" s="112" t="n">
        <v>0</v>
      </c>
      <c r="N313" s="112" t="n">
        <v>0</v>
      </c>
      <c r="P313" s="112" t="n">
        <f aca="false">ABS(D313)/$P$3</f>
        <v>0</v>
      </c>
      <c r="Q313" s="112" t="n">
        <f aca="false">ABS(E313)/$P$3</f>
        <v>0</v>
      </c>
      <c r="R313" s="112" t="n">
        <f aca="false">ABS(F313)/$P$3</f>
        <v>0</v>
      </c>
      <c r="S313" s="112" t="n">
        <f aca="false">ABS(G313)/$P$3</f>
        <v>0</v>
      </c>
      <c r="T313" s="112" t="n">
        <f aca="false">ABS(H313)/$P$3</f>
        <v>0</v>
      </c>
      <c r="U313" s="112" t="n">
        <f aca="false">ABS(I313)/$P$3</f>
        <v>0</v>
      </c>
      <c r="V313" s="112" t="n">
        <f aca="false">ABS(J313)/$P$3</f>
        <v>0</v>
      </c>
      <c r="W313" s="112" t="n">
        <f aca="false">ABS(K313)/$P$3</f>
        <v>0</v>
      </c>
      <c r="X313" s="112" t="n">
        <f aca="false">ABS(L313)/$P$3</f>
        <v>0</v>
      </c>
      <c r="Y313" s="112" t="n">
        <f aca="false">ABS(M313)/$P$3</f>
        <v>0</v>
      </c>
      <c r="Z313" s="112" t="n">
        <f aca="false">ABS(N313)/$P$3</f>
        <v>0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Data'!$A$2:$B$8,MATCH(WEEKDAY('RAC V@r Total'!A314,3),'Master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H314" s="112" t="n">
        <v>0</v>
      </c>
      <c r="I314" s="112" t="n">
        <v>0</v>
      </c>
      <c r="J314" s="112" t="n">
        <v>0</v>
      </c>
      <c r="K314" s="112" t="n">
        <v>0</v>
      </c>
      <c r="L314" s="112" t="n">
        <v>0</v>
      </c>
      <c r="M314" s="112" t="n">
        <v>0</v>
      </c>
      <c r="N314" s="112" t="n">
        <v>0</v>
      </c>
      <c r="P314" s="112" t="n">
        <f aca="false">ABS(D314)/$P$3</f>
        <v>0</v>
      </c>
      <c r="Q314" s="112" t="n">
        <f aca="false">ABS(E314)/$P$3</f>
        <v>0</v>
      </c>
      <c r="R314" s="112" t="n">
        <f aca="false">ABS(F314)/$P$3</f>
        <v>0</v>
      </c>
      <c r="S314" s="112" t="n">
        <f aca="false">ABS(G314)/$P$3</f>
        <v>0</v>
      </c>
      <c r="T314" s="112" t="n">
        <f aca="false">ABS(H314)/$P$3</f>
        <v>0</v>
      </c>
      <c r="U314" s="112" t="n">
        <f aca="false">ABS(I314)/$P$3</f>
        <v>0</v>
      </c>
      <c r="V314" s="112" t="n">
        <f aca="false">ABS(J314)/$P$3</f>
        <v>0</v>
      </c>
      <c r="W314" s="112" t="n">
        <f aca="false">ABS(K314)/$P$3</f>
        <v>0</v>
      </c>
      <c r="X314" s="112" t="n">
        <f aca="false">ABS(L314)/$P$3</f>
        <v>0</v>
      </c>
      <c r="Y314" s="112" t="n">
        <f aca="false">ABS(M314)/$P$3</f>
        <v>0</v>
      </c>
      <c r="Z314" s="112" t="n">
        <f aca="false">ABS(N314)/$P$3</f>
        <v>0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Data'!$A$2:$B$8,MATCH(WEEKDAY('RAC V@r Total'!A315,3),'Master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H315" s="112" t="n">
        <v>0</v>
      </c>
      <c r="I315" s="112" t="n">
        <v>0</v>
      </c>
      <c r="J315" s="112" t="n">
        <v>0</v>
      </c>
      <c r="K315" s="112" t="n">
        <v>0</v>
      </c>
      <c r="L315" s="112" t="n">
        <v>0</v>
      </c>
      <c r="M315" s="112" t="n">
        <v>0</v>
      </c>
      <c r="N315" s="112" t="n">
        <v>0</v>
      </c>
      <c r="P315" s="112" t="n">
        <f aca="false">ABS(D315)/$P$3</f>
        <v>0</v>
      </c>
      <c r="Q315" s="112" t="n">
        <f aca="false">ABS(E315)/$P$3</f>
        <v>0</v>
      </c>
      <c r="R315" s="112" t="n">
        <f aca="false">ABS(F315)/$P$3</f>
        <v>0</v>
      </c>
      <c r="S315" s="112" t="n">
        <f aca="false">ABS(G315)/$P$3</f>
        <v>0</v>
      </c>
      <c r="T315" s="112" t="n">
        <f aca="false">ABS(H315)/$P$3</f>
        <v>0</v>
      </c>
      <c r="U315" s="112" t="n">
        <f aca="false">ABS(I315)/$P$3</f>
        <v>0</v>
      </c>
      <c r="V315" s="112" t="n">
        <f aca="false">ABS(J315)/$P$3</f>
        <v>0</v>
      </c>
      <c r="W315" s="112" t="n">
        <f aca="false">ABS(K315)/$P$3</f>
        <v>0</v>
      </c>
      <c r="X315" s="112" t="n">
        <f aca="false">ABS(L315)/$P$3</f>
        <v>0</v>
      </c>
      <c r="Y315" s="112" t="n">
        <f aca="false">ABS(M315)/$P$3</f>
        <v>0</v>
      </c>
      <c r="Z315" s="112" t="n">
        <f aca="false">ABS(N315)/$P$3</f>
        <v>0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Data'!$A$2:$B$8,MATCH(WEEKDAY('RAC V@r Total'!A316,3),'Master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H316" s="112" t="n">
        <v>0</v>
      </c>
      <c r="I316" s="112" t="n">
        <v>0</v>
      </c>
      <c r="J316" s="112" t="n">
        <v>0</v>
      </c>
      <c r="K316" s="112" t="n">
        <v>0</v>
      </c>
      <c r="L316" s="112" t="n">
        <v>0</v>
      </c>
      <c r="M316" s="112" t="n">
        <v>0</v>
      </c>
      <c r="N316" s="112" t="n">
        <v>0</v>
      </c>
      <c r="P316" s="112" t="n">
        <f aca="false">ABS(D316)/$P$3</f>
        <v>0</v>
      </c>
      <c r="Q316" s="112" t="n">
        <f aca="false">ABS(E316)/$P$3</f>
        <v>0</v>
      </c>
      <c r="R316" s="112" t="n">
        <f aca="false">ABS(F316)/$P$3</f>
        <v>0</v>
      </c>
      <c r="S316" s="112" t="n">
        <f aca="false">ABS(G316)/$P$3</f>
        <v>0</v>
      </c>
      <c r="T316" s="112" t="n">
        <f aca="false">ABS(H316)/$P$3</f>
        <v>0</v>
      </c>
      <c r="U316" s="112" t="n">
        <f aca="false">ABS(I316)/$P$3</f>
        <v>0</v>
      </c>
      <c r="V316" s="112" t="n">
        <f aca="false">ABS(J316)/$P$3</f>
        <v>0</v>
      </c>
      <c r="W316" s="112" t="n">
        <f aca="false">ABS(K316)/$P$3</f>
        <v>0</v>
      </c>
      <c r="X316" s="112" t="n">
        <f aca="false">ABS(L316)/$P$3</f>
        <v>0</v>
      </c>
      <c r="Y316" s="112" t="n">
        <f aca="false">ABS(M316)/$P$3</f>
        <v>0</v>
      </c>
      <c r="Z316" s="112" t="n">
        <f aca="false">ABS(N316)/$P$3</f>
        <v>0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Data'!$A$2:$B$8,MATCH(WEEKDAY('RAC V@r Total'!A317,3),'Master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H317" s="112" t="n">
        <v>0</v>
      </c>
      <c r="I317" s="112" t="n">
        <v>0</v>
      </c>
      <c r="J317" s="112" t="n">
        <v>0</v>
      </c>
      <c r="K317" s="112" t="n">
        <v>0</v>
      </c>
      <c r="L317" s="112" t="n">
        <v>0</v>
      </c>
      <c r="M317" s="112" t="n">
        <v>0</v>
      </c>
      <c r="N317" s="112" t="n">
        <v>0</v>
      </c>
      <c r="P317" s="112" t="n">
        <f aca="false">ABS(D317)/$P$3</f>
        <v>0</v>
      </c>
      <c r="Q317" s="112" t="n">
        <f aca="false">ABS(E317)/$P$3</f>
        <v>0</v>
      </c>
      <c r="R317" s="112" t="n">
        <f aca="false">ABS(F317)/$P$3</f>
        <v>0</v>
      </c>
      <c r="S317" s="112" t="n">
        <f aca="false">ABS(G317)/$P$3</f>
        <v>0</v>
      </c>
      <c r="T317" s="112" t="n">
        <f aca="false">ABS(H317)/$P$3</f>
        <v>0</v>
      </c>
      <c r="U317" s="112" t="n">
        <f aca="false">ABS(I317)/$P$3</f>
        <v>0</v>
      </c>
      <c r="V317" s="112" t="n">
        <f aca="false">ABS(J317)/$P$3</f>
        <v>0</v>
      </c>
      <c r="W317" s="112" t="n">
        <f aca="false">ABS(K317)/$P$3</f>
        <v>0</v>
      </c>
      <c r="X317" s="112" t="n">
        <f aca="false">ABS(L317)/$P$3</f>
        <v>0</v>
      </c>
      <c r="Y317" s="112" t="n">
        <f aca="false">ABS(M317)/$P$3</f>
        <v>0</v>
      </c>
      <c r="Z317" s="112" t="n">
        <f aca="false">ABS(N317)/$P$3</f>
        <v>0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Data'!$A$2:$B$8,MATCH(WEEKDAY('RAC V@r Total'!A318,3),'Master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H318" s="112" t="n">
        <v>0</v>
      </c>
      <c r="I318" s="112" t="n">
        <v>0</v>
      </c>
      <c r="J318" s="112" t="n">
        <v>0</v>
      </c>
      <c r="K318" s="112" t="n">
        <v>0</v>
      </c>
      <c r="L318" s="112" t="n">
        <v>0</v>
      </c>
      <c r="M318" s="112" t="n">
        <v>0</v>
      </c>
      <c r="N318" s="112" t="n">
        <v>0</v>
      </c>
      <c r="P318" s="112" t="n">
        <f aca="false">ABS(D318)/$P$3</f>
        <v>0</v>
      </c>
      <c r="Q318" s="112" t="n">
        <f aca="false">ABS(E318)/$P$3</f>
        <v>0</v>
      </c>
      <c r="R318" s="112" t="n">
        <f aca="false">ABS(F318)/$P$3</f>
        <v>0</v>
      </c>
      <c r="S318" s="112" t="n">
        <f aca="false">ABS(G318)/$P$3</f>
        <v>0</v>
      </c>
      <c r="T318" s="112" t="n">
        <f aca="false">ABS(H318)/$P$3</f>
        <v>0</v>
      </c>
      <c r="U318" s="112" t="n">
        <f aca="false">ABS(I318)/$P$3</f>
        <v>0</v>
      </c>
      <c r="V318" s="112" t="n">
        <f aca="false">ABS(J318)/$P$3</f>
        <v>0</v>
      </c>
      <c r="W318" s="112" t="n">
        <f aca="false">ABS(K318)/$P$3</f>
        <v>0</v>
      </c>
      <c r="X318" s="112" t="n">
        <f aca="false">ABS(L318)/$P$3</f>
        <v>0</v>
      </c>
      <c r="Y318" s="112" t="n">
        <f aca="false">ABS(M318)/$P$3</f>
        <v>0</v>
      </c>
      <c r="Z318" s="112" t="n">
        <f aca="false">ABS(N318)/$P$3</f>
        <v>0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Data'!$A$2:$B$8,MATCH(WEEKDAY('RAC V@r Total'!A319,3),'Master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H319" s="112" t="n">
        <v>0</v>
      </c>
      <c r="I319" s="112" t="n">
        <v>0</v>
      </c>
      <c r="J319" s="112" t="n">
        <v>0</v>
      </c>
      <c r="K319" s="112" t="n">
        <v>0</v>
      </c>
      <c r="L319" s="112" t="n">
        <v>0</v>
      </c>
      <c r="M319" s="112" t="n">
        <v>0</v>
      </c>
      <c r="N319" s="112" t="n">
        <v>0</v>
      </c>
      <c r="P319" s="112" t="n">
        <f aca="false">ABS(D319)/$P$3</f>
        <v>0</v>
      </c>
      <c r="Q319" s="112" t="n">
        <f aca="false">ABS(E319)/$P$3</f>
        <v>0</v>
      </c>
      <c r="R319" s="112" t="n">
        <f aca="false">ABS(F319)/$P$3</f>
        <v>0</v>
      </c>
      <c r="S319" s="112" t="n">
        <f aca="false">ABS(G319)/$P$3</f>
        <v>0</v>
      </c>
      <c r="T319" s="112" t="n">
        <f aca="false">ABS(H319)/$P$3</f>
        <v>0</v>
      </c>
      <c r="U319" s="112" t="n">
        <f aca="false">ABS(I319)/$P$3</f>
        <v>0</v>
      </c>
      <c r="V319" s="112" t="n">
        <f aca="false">ABS(J319)/$P$3</f>
        <v>0</v>
      </c>
      <c r="W319" s="112" t="n">
        <f aca="false">ABS(K319)/$P$3</f>
        <v>0</v>
      </c>
      <c r="X319" s="112" t="n">
        <f aca="false">ABS(L319)/$P$3</f>
        <v>0</v>
      </c>
      <c r="Y319" s="112" t="n">
        <f aca="false">ABS(M319)/$P$3</f>
        <v>0</v>
      </c>
      <c r="Z319" s="112" t="n">
        <f aca="false">ABS(N319)/$P$3</f>
        <v>0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Data'!$A$2:$B$8,MATCH(WEEKDAY('RAC V@r Total'!A320,3),'Master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H320" s="112" t="n">
        <v>0</v>
      </c>
      <c r="I320" s="112" t="n">
        <v>0</v>
      </c>
      <c r="J320" s="112" t="n">
        <v>0</v>
      </c>
      <c r="K320" s="112" t="n">
        <v>0</v>
      </c>
      <c r="L320" s="112" t="n">
        <v>0</v>
      </c>
      <c r="M320" s="112" t="n">
        <v>0</v>
      </c>
      <c r="N320" s="112" t="n">
        <v>0</v>
      </c>
      <c r="P320" s="112" t="n">
        <f aca="false">ABS(D320)/$P$3</f>
        <v>0</v>
      </c>
      <c r="Q320" s="112" t="n">
        <f aca="false">ABS(E320)/$P$3</f>
        <v>0</v>
      </c>
      <c r="R320" s="112" t="n">
        <f aca="false">ABS(F320)/$P$3</f>
        <v>0</v>
      </c>
      <c r="S320" s="112" t="n">
        <f aca="false">ABS(G320)/$P$3</f>
        <v>0</v>
      </c>
      <c r="T320" s="112" t="n">
        <f aca="false">ABS(H320)/$P$3</f>
        <v>0</v>
      </c>
      <c r="U320" s="112" t="n">
        <f aca="false">ABS(I320)/$P$3</f>
        <v>0</v>
      </c>
      <c r="V320" s="112" t="n">
        <f aca="false">ABS(J320)/$P$3</f>
        <v>0</v>
      </c>
      <c r="W320" s="112" t="n">
        <f aca="false">ABS(K320)/$P$3</f>
        <v>0</v>
      </c>
      <c r="X320" s="112" t="n">
        <f aca="false">ABS(L320)/$P$3</f>
        <v>0</v>
      </c>
      <c r="Y320" s="112" t="n">
        <f aca="false">ABS(M320)/$P$3</f>
        <v>0</v>
      </c>
      <c r="Z320" s="112" t="n">
        <f aca="false">ABS(N320)/$P$3</f>
        <v>0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Data'!$A$2:$B$8,MATCH(WEEKDAY('RAC V@r Total'!A321,3),'Master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H321" s="112" t="n">
        <v>0</v>
      </c>
      <c r="I321" s="112" t="n">
        <v>0</v>
      </c>
      <c r="J321" s="112" t="n">
        <v>0</v>
      </c>
      <c r="K321" s="112" t="n">
        <v>0</v>
      </c>
      <c r="L321" s="112" t="n">
        <v>0</v>
      </c>
      <c r="M321" s="112" t="n">
        <v>0</v>
      </c>
      <c r="N321" s="112" t="n">
        <v>0</v>
      </c>
      <c r="P321" s="112" t="n">
        <f aca="false">ABS(D321)/$P$3</f>
        <v>0</v>
      </c>
      <c r="Q321" s="112" t="n">
        <f aca="false">ABS(E321)/$P$3</f>
        <v>0</v>
      </c>
      <c r="R321" s="112" t="n">
        <f aca="false">ABS(F321)/$P$3</f>
        <v>0</v>
      </c>
      <c r="S321" s="112" t="n">
        <f aca="false">ABS(G321)/$P$3</f>
        <v>0</v>
      </c>
      <c r="T321" s="112" t="n">
        <f aca="false">ABS(H321)/$P$3</f>
        <v>0</v>
      </c>
      <c r="U321" s="112" t="n">
        <f aca="false">ABS(I321)/$P$3</f>
        <v>0</v>
      </c>
      <c r="V321" s="112" t="n">
        <f aca="false">ABS(J321)/$P$3</f>
        <v>0</v>
      </c>
      <c r="W321" s="112" t="n">
        <f aca="false">ABS(K321)/$P$3</f>
        <v>0</v>
      </c>
      <c r="X321" s="112" t="n">
        <f aca="false">ABS(L321)/$P$3</f>
        <v>0</v>
      </c>
      <c r="Y321" s="112" t="n">
        <f aca="false">ABS(M321)/$P$3</f>
        <v>0</v>
      </c>
      <c r="Z321" s="112" t="n">
        <f aca="false">ABS(N321)/$P$3</f>
        <v>0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Data'!$A$2:$B$8,MATCH(WEEKDAY('RAC V@r Total'!A322,3),'Master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H322" s="112" t="n">
        <v>0</v>
      </c>
      <c r="I322" s="112" t="n">
        <v>0</v>
      </c>
      <c r="J322" s="112" t="n">
        <v>0</v>
      </c>
      <c r="K322" s="112" t="n">
        <v>0</v>
      </c>
      <c r="L322" s="112" t="n">
        <v>0</v>
      </c>
      <c r="M322" s="112" t="n">
        <v>0</v>
      </c>
      <c r="N322" s="112" t="n">
        <v>0</v>
      </c>
      <c r="P322" s="112" t="n">
        <f aca="false">ABS(D322)/$P$3</f>
        <v>0</v>
      </c>
      <c r="Q322" s="112" t="n">
        <f aca="false">ABS(E322)/$P$3</f>
        <v>0</v>
      </c>
      <c r="R322" s="112" t="n">
        <f aca="false">ABS(F322)/$P$3</f>
        <v>0</v>
      </c>
      <c r="S322" s="112" t="n">
        <f aca="false">ABS(G322)/$P$3</f>
        <v>0</v>
      </c>
      <c r="T322" s="112" t="n">
        <f aca="false">ABS(H322)/$P$3</f>
        <v>0</v>
      </c>
      <c r="U322" s="112" t="n">
        <f aca="false">ABS(I322)/$P$3</f>
        <v>0</v>
      </c>
      <c r="V322" s="112" t="n">
        <f aca="false">ABS(J322)/$P$3</f>
        <v>0</v>
      </c>
      <c r="W322" s="112" t="n">
        <f aca="false">ABS(K322)/$P$3</f>
        <v>0</v>
      </c>
      <c r="X322" s="112" t="n">
        <f aca="false">ABS(L322)/$P$3</f>
        <v>0</v>
      </c>
      <c r="Y322" s="112" t="n">
        <f aca="false">ABS(M322)/$P$3</f>
        <v>0</v>
      </c>
      <c r="Z322" s="112" t="n">
        <f aca="false">ABS(N322)/$P$3</f>
        <v>0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Data'!$A$2:$B$8,MATCH(WEEKDAY('RAC V@r Total'!A323,3),'Master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H323" s="112" t="n">
        <v>0</v>
      </c>
      <c r="I323" s="112" t="n">
        <v>0</v>
      </c>
      <c r="J323" s="112" t="n">
        <v>0</v>
      </c>
      <c r="K323" s="112" t="n">
        <v>0</v>
      </c>
      <c r="L323" s="112" t="n">
        <v>0</v>
      </c>
      <c r="M323" s="112" t="n">
        <v>0</v>
      </c>
      <c r="N323" s="112" t="n">
        <v>0</v>
      </c>
      <c r="P323" s="112" t="n">
        <f aca="false">ABS(D323)/$P$3</f>
        <v>0</v>
      </c>
      <c r="Q323" s="112" t="n">
        <f aca="false">ABS(E323)/$P$3</f>
        <v>0</v>
      </c>
      <c r="R323" s="112" t="n">
        <f aca="false">ABS(F323)/$P$3</f>
        <v>0</v>
      </c>
      <c r="S323" s="112" t="n">
        <f aca="false">ABS(G323)/$P$3</f>
        <v>0</v>
      </c>
      <c r="T323" s="112" t="n">
        <f aca="false">ABS(H323)/$P$3</f>
        <v>0</v>
      </c>
      <c r="U323" s="112" t="n">
        <f aca="false">ABS(I323)/$P$3</f>
        <v>0</v>
      </c>
      <c r="V323" s="112" t="n">
        <f aca="false">ABS(J323)/$P$3</f>
        <v>0</v>
      </c>
      <c r="W323" s="112" t="n">
        <f aca="false">ABS(K323)/$P$3</f>
        <v>0</v>
      </c>
      <c r="X323" s="112" t="n">
        <f aca="false">ABS(L323)/$P$3</f>
        <v>0</v>
      </c>
      <c r="Y323" s="112" t="n">
        <f aca="false">ABS(M323)/$P$3</f>
        <v>0</v>
      </c>
      <c r="Z323" s="112" t="n">
        <f aca="false">ABS(N323)/$P$3</f>
        <v>0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Data'!$A$2:$B$8,MATCH(WEEKDAY('RAC V@r Total'!A324,3),'Master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H324" s="112" t="n">
        <v>0</v>
      </c>
      <c r="I324" s="112" t="n">
        <v>0</v>
      </c>
      <c r="J324" s="112" t="n">
        <v>0</v>
      </c>
      <c r="K324" s="112" t="n">
        <v>0</v>
      </c>
      <c r="L324" s="112" t="n">
        <v>0</v>
      </c>
      <c r="M324" s="112" t="n">
        <v>0</v>
      </c>
      <c r="N324" s="112" t="n">
        <v>0</v>
      </c>
      <c r="P324" s="112" t="n">
        <f aca="false">ABS(D324)/$P$3</f>
        <v>0</v>
      </c>
      <c r="Q324" s="112" t="n">
        <f aca="false">ABS(E324)/$P$3</f>
        <v>0</v>
      </c>
      <c r="R324" s="112" t="n">
        <f aca="false">ABS(F324)/$P$3</f>
        <v>0</v>
      </c>
      <c r="S324" s="112" t="n">
        <f aca="false">ABS(G324)/$P$3</f>
        <v>0</v>
      </c>
      <c r="T324" s="112" t="n">
        <f aca="false">ABS(H324)/$P$3</f>
        <v>0</v>
      </c>
      <c r="U324" s="112" t="n">
        <f aca="false">ABS(I324)/$P$3</f>
        <v>0</v>
      </c>
      <c r="V324" s="112" t="n">
        <f aca="false">ABS(J324)/$P$3</f>
        <v>0</v>
      </c>
      <c r="W324" s="112" t="n">
        <f aca="false">ABS(K324)/$P$3</f>
        <v>0</v>
      </c>
      <c r="X324" s="112" t="n">
        <f aca="false">ABS(L324)/$P$3</f>
        <v>0</v>
      </c>
      <c r="Y324" s="112" t="n">
        <f aca="false">ABS(M324)/$P$3</f>
        <v>0</v>
      </c>
      <c r="Z324" s="112" t="n">
        <f aca="false">ABS(N324)/$P$3</f>
        <v>0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Data'!$A$2:$B$8,MATCH(WEEKDAY('RAC V@r Total'!A325,3),'Master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H325" s="112" t="n">
        <v>0</v>
      </c>
      <c r="I325" s="112" t="n">
        <v>0</v>
      </c>
      <c r="J325" s="112" t="n">
        <v>0</v>
      </c>
      <c r="K325" s="112" t="n">
        <v>0</v>
      </c>
      <c r="L325" s="112" t="n">
        <v>0</v>
      </c>
      <c r="M325" s="112" t="n">
        <v>0</v>
      </c>
      <c r="N325" s="112" t="n">
        <v>0</v>
      </c>
      <c r="P325" s="112" t="n">
        <f aca="false">ABS(D325)/$P$3</f>
        <v>0</v>
      </c>
      <c r="Q325" s="112" t="n">
        <f aca="false">ABS(E325)/$P$3</f>
        <v>0</v>
      </c>
      <c r="R325" s="112" t="n">
        <f aca="false">ABS(F325)/$P$3</f>
        <v>0</v>
      </c>
      <c r="S325" s="112" t="n">
        <f aca="false">ABS(G325)/$P$3</f>
        <v>0</v>
      </c>
      <c r="T325" s="112" t="n">
        <f aca="false">ABS(H325)/$P$3</f>
        <v>0</v>
      </c>
      <c r="U325" s="112" t="n">
        <f aca="false">ABS(I325)/$P$3</f>
        <v>0</v>
      </c>
      <c r="V325" s="112" t="n">
        <f aca="false">ABS(J325)/$P$3</f>
        <v>0</v>
      </c>
      <c r="W325" s="112" t="n">
        <f aca="false">ABS(K325)/$P$3</f>
        <v>0</v>
      </c>
      <c r="X325" s="112" t="n">
        <f aca="false">ABS(L325)/$P$3</f>
        <v>0</v>
      </c>
      <c r="Y325" s="112" t="n">
        <f aca="false">ABS(M325)/$P$3</f>
        <v>0</v>
      </c>
      <c r="Z325" s="112" t="n">
        <f aca="false">ABS(N325)/$P$3</f>
        <v>0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Data'!$A$2:$B$8,MATCH(WEEKDAY('RAC V@r Total'!A326,3),'Master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H326" s="112" t="n">
        <v>0</v>
      </c>
      <c r="I326" s="112" t="n">
        <v>0</v>
      </c>
      <c r="J326" s="112" t="n">
        <v>0</v>
      </c>
      <c r="K326" s="112" t="n">
        <v>0</v>
      </c>
      <c r="L326" s="112" t="n">
        <v>0</v>
      </c>
      <c r="M326" s="112" t="n">
        <v>0</v>
      </c>
      <c r="N326" s="112" t="n">
        <v>0</v>
      </c>
      <c r="P326" s="112" t="n">
        <f aca="false">ABS(D326)/$P$3</f>
        <v>0</v>
      </c>
      <c r="Q326" s="112" t="n">
        <f aca="false">ABS(E326)/$P$3</f>
        <v>0</v>
      </c>
      <c r="R326" s="112" t="n">
        <f aca="false">ABS(F326)/$P$3</f>
        <v>0</v>
      </c>
      <c r="S326" s="112" t="n">
        <f aca="false">ABS(G326)/$P$3</f>
        <v>0</v>
      </c>
      <c r="T326" s="112" t="n">
        <f aca="false">ABS(H326)/$P$3</f>
        <v>0</v>
      </c>
      <c r="U326" s="112" t="n">
        <f aca="false">ABS(I326)/$P$3</f>
        <v>0</v>
      </c>
      <c r="V326" s="112" t="n">
        <f aca="false">ABS(J326)/$P$3</f>
        <v>0</v>
      </c>
      <c r="W326" s="112" t="n">
        <f aca="false">ABS(K326)/$P$3</f>
        <v>0</v>
      </c>
      <c r="X326" s="112" t="n">
        <f aca="false">ABS(L326)/$P$3</f>
        <v>0</v>
      </c>
      <c r="Y326" s="112" t="n">
        <f aca="false">ABS(M326)/$P$3</f>
        <v>0</v>
      </c>
      <c r="Z326" s="112" t="n">
        <f aca="false">ABS(N326)/$P$3</f>
        <v>0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Data'!$A$2:$B$8,MATCH(WEEKDAY('RAC V@r Total'!A327,3),'Master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H327" s="112" t="n">
        <v>0</v>
      </c>
      <c r="I327" s="112" t="n">
        <v>0</v>
      </c>
      <c r="J327" s="112" t="n">
        <v>0</v>
      </c>
      <c r="K327" s="112" t="n">
        <v>0</v>
      </c>
      <c r="L327" s="112" t="n">
        <v>0</v>
      </c>
      <c r="M327" s="112" t="n">
        <v>0</v>
      </c>
      <c r="N327" s="112" t="n">
        <v>0</v>
      </c>
      <c r="P327" s="112" t="n">
        <f aca="false">ABS(D327)/$P$3</f>
        <v>0</v>
      </c>
      <c r="Q327" s="112" t="n">
        <f aca="false">ABS(E327)/$P$3</f>
        <v>0</v>
      </c>
      <c r="R327" s="112" t="n">
        <f aca="false">ABS(F327)/$P$3</f>
        <v>0</v>
      </c>
      <c r="S327" s="112" t="n">
        <f aca="false">ABS(G327)/$P$3</f>
        <v>0</v>
      </c>
      <c r="T327" s="112" t="n">
        <f aca="false">ABS(H327)/$P$3</f>
        <v>0</v>
      </c>
      <c r="U327" s="112" t="n">
        <f aca="false">ABS(I327)/$P$3</f>
        <v>0</v>
      </c>
      <c r="V327" s="112" t="n">
        <f aca="false">ABS(J327)/$P$3</f>
        <v>0</v>
      </c>
      <c r="W327" s="112" t="n">
        <f aca="false">ABS(K327)/$P$3</f>
        <v>0</v>
      </c>
      <c r="X327" s="112" t="n">
        <f aca="false">ABS(L327)/$P$3</f>
        <v>0</v>
      </c>
      <c r="Y327" s="112" t="n">
        <f aca="false">ABS(M327)/$P$3</f>
        <v>0</v>
      </c>
      <c r="Z327" s="112" t="n">
        <f aca="false">ABS(N327)/$P$3</f>
        <v>0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Data'!$A$2:$B$8,MATCH(WEEKDAY('RAC V@r Total'!A328,3),'Master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H328" s="112" t="n">
        <v>0</v>
      </c>
      <c r="I328" s="112" t="n">
        <v>0</v>
      </c>
      <c r="J328" s="112" t="n">
        <v>0</v>
      </c>
      <c r="K328" s="112" t="n">
        <v>0</v>
      </c>
      <c r="L328" s="112" t="n">
        <v>0</v>
      </c>
      <c r="M328" s="112" t="n">
        <v>0</v>
      </c>
      <c r="N328" s="112" t="n">
        <v>0</v>
      </c>
      <c r="P328" s="112" t="n">
        <f aca="false">ABS(D328)/$P$3</f>
        <v>0</v>
      </c>
      <c r="Q328" s="112" t="n">
        <f aca="false">ABS(E328)/$P$3</f>
        <v>0</v>
      </c>
      <c r="R328" s="112" t="n">
        <f aca="false">ABS(F328)/$P$3</f>
        <v>0</v>
      </c>
      <c r="S328" s="112" t="n">
        <f aca="false">ABS(G328)/$P$3</f>
        <v>0</v>
      </c>
      <c r="T328" s="112" t="n">
        <f aca="false">ABS(H328)/$P$3</f>
        <v>0</v>
      </c>
      <c r="U328" s="112" t="n">
        <f aca="false">ABS(I328)/$P$3</f>
        <v>0</v>
      </c>
      <c r="V328" s="112" t="n">
        <f aca="false">ABS(J328)/$P$3</f>
        <v>0</v>
      </c>
      <c r="W328" s="112" t="n">
        <f aca="false">ABS(K328)/$P$3</f>
        <v>0</v>
      </c>
      <c r="X328" s="112" t="n">
        <f aca="false">ABS(L328)/$P$3</f>
        <v>0</v>
      </c>
      <c r="Y328" s="112" t="n">
        <f aca="false">ABS(M328)/$P$3</f>
        <v>0</v>
      </c>
      <c r="Z328" s="112" t="n">
        <f aca="false">ABS(N328)/$P$3</f>
        <v>0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Data'!$A$2:$B$8,MATCH(WEEKDAY('RAC V@r Total'!A329,3),'Master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H329" s="112" t="n">
        <v>0</v>
      </c>
      <c r="I329" s="112" t="n">
        <v>0</v>
      </c>
      <c r="J329" s="112" t="n">
        <v>0</v>
      </c>
      <c r="K329" s="112" t="n">
        <v>0</v>
      </c>
      <c r="L329" s="112" t="n">
        <v>0</v>
      </c>
      <c r="M329" s="112" t="n">
        <v>0</v>
      </c>
      <c r="N329" s="112" t="n">
        <v>0</v>
      </c>
      <c r="P329" s="112" t="n">
        <f aca="false">ABS(D329)/$P$3</f>
        <v>0</v>
      </c>
      <c r="Q329" s="112" t="n">
        <f aca="false">ABS(E329)/$P$3</f>
        <v>0</v>
      </c>
      <c r="R329" s="112" t="n">
        <f aca="false">ABS(F329)/$P$3</f>
        <v>0</v>
      </c>
      <c r="S329" s="112" t="n">
        <f aca="false">ABS(G329)/$P$3</f>
        <v>0</v>
      </c>
      <c r="T329" s="112" t="n">
        <f aca="false">ABS(H329)/$P$3</f>
        <v>0</v>
      </c>
      <c r="U329" s="112" t="n">
        <f aca="false">ABS(I329)/$P$3</f>
        <v>0</v>
      </c>
      <c r="V329" s="112" t="n">
        <f aca="false">ABS(J329)/$P$3</f>
        <v>0</v>
      </c>
      <c r="W329" s="112" t="n">
        <f aca="false">ABS(K329)/$P$3</f>
        <v>0</v>
      </c>
      <c r="X329" s="112" t="n">
        <f aca="false">ABS(L329)/$P$3</f>
        <v>0</v>
      </c>
      <c r="Y329" s="112" t="n">
        <f aca="false">ABS(M329)/$P$3</f>
        <v>0</v>
      </c>
      <c r="Z329" s="112" t="n">
        <f aca="false">ABS(N329)/$P$3</f>
        <v>0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Data'!$A$2:$B$8,MATCH(WEEKDAY('RAC V@r Total'!A330,3),'Master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H330" s="112" t="n">
        <v>0</v>
      </c>
      <c r="I330" s="112" t="n">
        <v>0</v>
      </c>
      <c r="J330" s="112" t="n">
        <v>0</v>
      </c>
      <c r="K330" s="112" t="n">
        <v>0</v>
      </c>
      <c r="L330" s="112" t="n">
        <v>0</v>
      </c>
      <c r="M330" s="112" t="n">
        <v>0</v>
      </c>
      <c r="N330" s="112" t="n">
        <v>0</v>
      </c>
      <c r="P330" s="112" t="n">
        <f aca="false">ABS(D330)/$P$3</f>
        <v>0</v>
      </c>
      <c r="Q330" s="112" t="n">
        <f aca="false">ABS(E330)/$P$3</f>
        <v>0</v>
      </c>
      <c r="R330" s="112" t="n">
        <f aca="false">ABS(F330)/$P$3</f>
        <v>0</v>
      </c>
      <c r="S330" s="112" t="n">
        <f aca="false">ABS(G330)/$P$3</f>
        <v>0</v>
      </c>
      <c r="T330" s="112" t="n">
        <f aca="false">ABS(H330)/$P$3</f>
        <v>0</v>
      </c>
      <c r="U330" s="112" t="n">
        <f aca="false">ABS(I330)/$P$3</f>
        <v>0</v>
      </c>
      <c r="V330" s="112" t="n">
        <f aca="false">ABS(J330)/$P$3</f>
        <v>0</v>
      </c>
      <c r="W330" s="112" t="n">
        <f aca="false">ABS(K330)/$P$3</f>
        <v>0</v>
      </c>
      <c r="X330" s="112" t="n">
        <f aca="false">ABS(L330)/$P$3</f>
        <v>0</v>
      </c>
      <c r="Y330" s="112" t="n">
        <f aca="false">ABS(M330)/$P$3</f>
        <v>0</v>
      </c>
      <c r="Z330" s="112" t="n">
        <f aca="false">ABS(N330)/$P$3</f>
        <v>0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Data'!$A$2:$B$8,MATCH(WEEKDAY('RAC V@r Total'!A331,3),'Master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H331" s="112" t="n">
        <v>0</v>
      </c>
      <c r="I331" s="112" t="n">
        <v>0</v>
      </c>
      <c r="J331" s="112" t="n">
        <v>0</v>
      </c>
      <c r="K331" s="112" t="n">
        <v>0</v>
      </c>
      <c r="L331" s="112" t="n">
        <v>0</v>
      </c>
      <c r="M331" s="112" t="n">
        <v>0</v>
      </c>
      <c r="N331" s="112" t="n">
        <v>0</v>
      </c>
      <c r="P331" s="112" t="n">
        <f aca="false">ABS(D331)/$P$3</f>
        <v>0</v>
      </c>
      <c r="Q331" s="112" t="n">
        <f aca="false">ABS(E331)/$P$3</f>
        <v>0</v>
      </c>
      <c r="R331" s="112" t="n">
        <f aca="false">ABS(F331)/$P$3</f>
        <v>0</v>
      </c>
      <c r="S331" s="112" t="n">
        <f aca="false">ABS(G331)/$P$3</f>
        <v>0</v>
      </c>
      <c r="T331" s="112" t="n">
        <f aca="false">ABS(H331)/$P$3</f>
        <v>0</v>
      </c>
      <c r="U331" s="112" t="n">
        <f aca="false">ABS(I331)/$P$3</f>
        <v>0</v>
      </c>
      <c r="V331" s="112" t="n">
        <f aca="false">ABS(J331)/$P$3</f>
        <v>0</v>
      </c>
      <c r="W331" s="112" t="n">
        <f aca="false">ABS(K331)/$P$3</f>
        <v>0</v>
      </c>
      <c r="X331" s="112" t="n">
        <f aca="false">ABS(L331)/$P$3</f>
        <v>0</v>
      </c>
      <c r="Y331" s="112" t="n">
        <f aca="false">ABS(M331)/$P$3</f>
        <v>0</v>
      </c>
      <c r="Z331" s="112" t="n">
        <f aca="false">ABS(N331)/$P$3</f>
        <v>0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Data'!$A$2:$B$8,MATCH(WEEKDAY('RAC V@r Total'!A332,3),'Master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H332" s="112" t="n">
        <v>0</v>
      </c>
      <c r="I332" s="112" t="n">
        <v>0</v>
      </c>
      <c r="J332" s="112" t="n">
        <v>0</v>
      </c>
      <c r="K332" s="112" t="n">
        <v>0</v>
      </c>
      <c r="L332" s="112" t="n">
        <v>0</v>
      </c>
      <c r="M332" s="112" t="n">
        <v>0</v>
      </c>
      <c r="N332" s="112" t="n">
        <v>0</v>
      </c>
      <c r="P332" s="112" t="n">
        <f aca="false">ABS(D332)/$P$3</f>
        <v>0</v>
      </c>
      <c r="Q332" s="112" t="n">
        <f aca="false">ABS(E332)/$P$3</f>
        <v>0</v>
      </c>
      <c r="R332" s="112" t="n">
        <f aca="false">ABS(F332)/$P$3</f>
        <v>0</v>
      </c>
      <c r="S332" s="112" t="n">
        <f aca="false">ABS(G332)/$P$3</f>
        <v>0</v>
      </c>
      <c r="T332" s="112" t="n">
        <f aca="false">ABS(H332)/$P$3</f>
        <v>0</v>
      </c>
      <c r="U332" s="112" t="n">
        <f aca="false">ABS(I332)/$P$3</f>
        <v>0</v>
      </c>
      <c r="V332" s="112" t="n">
        <f aca="false">ABS(J332)/$P$3</f>
        <v>0</v>
      </c>
      <c r="W332" s="112" t="n">
        <f aca="false">ABS(K332)/$P$3</f>
        <v>0</v>
      </c>
      <c r="X332" s="112" t="n">
        <f aca="false">ABS(L332)/$P$3</f>
        <v>0</v>
      </c>
      <c r="Y332" s="112" t="n">
        <f aca="false">ABS(M332)/$P$3</f>
        <v>0</v>
      </c>
      <c r="Z332" s="112" t="n">
        <f aca="false">ABS(N332)/$P$3</f>
        <v>0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Data'!$A$2:$B$8,MATCH(WEEKDAY('RAC V@r Total'!A333,3),'Master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H333" s="112" t="n">
        <v>0</v>
      </c>
      <c r="I333" s="112" t="n">
        <v>0</v>
      </c>
      <c r="J333" s="112" t="n">
        <v>0</v>
      </c>
      <c r="K333" s="112" t="n">
        <v>0</v>
      </c>
      <c r="L333" s="112" t="n">
        <v>0</v>
      </c>
      <c r="M333" s="112" t="n">
        <v>0</v>
      </c>
      <c r="N333" s="112" t="n">
        <v>0</v>
      </c>
      <c r="P333" s="112" t="n">
        <f aca="false">ABS(D333)/$P$3</f>
        <v>0</v>
      </c>
      <c r="Q333" s="112" t="n">
        <f aca="false">ABS(E333)/$P$3</f>
        <v>0</v>
      </c>
      <c r="R333" s="112" t="n">
        <f aca="false">ABS(F333)/$P$3</f>
        <v>0</v>
      </c>
      <c r="S333" s="112" t="n">
        <f aca="false">ABS(G333)/$P$3</f>
        <v>0</v>
      </c>
      <c r="T333" s="112" t="n">
        <f aca="false">ABS(H333)/$P$3</f>
        <v>0</v>
      </c>
      <c r="U333" s="112" t="n">
        <f aca="false">ABS(I333)/$P$3</f>
        <v>0</v>
      </c>
      <c r="V333" s="112" t="n">
        <f aca="false">ABS(J333)/$P$3</f>
        <v>0</v>
      </c>
      <c r="W333" s="112" t="n">
        <f aca="false">ABS(K333)/$P$3</f>
        <v>0</v>
      </c>
      <c r="X333" s="112" t="n">
        <f aca="false">ABS(L333)/$P$3</f>
        <v>0</v>
      </c>
      <c r="Y333" s="112" t="n">
        <f aca="false">ABS(M333)/$P$3</f>
        <v>0</v>
      </c>
      <c r="Z333" s="112" t="n">
        <f aca="false">ABS(N333)/$P$3</f>
        <v>0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Data'!$A$2:$B$8,MATCH(WEEKDAY('RAC V@r Total'!A334,3),'Master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H334" s="112" t="n">
        <v>0</v>
      </c>
      <c r="I334" s="112" t="n">
        <v>0</v>
      </c>
      <c r="J334" s="112" t="n">
        <v>0</v>
      </c>
      <c r="K334" s="112" t="n">
        <v>0</v>
      </c>
      <c r="L334" s="112" t="n">
        <v>0</v>
      </c>
      <c r="M334" s="112" t="n">
        <v>0</v>
      </c>
      <c r="N334" s="112" t="n">
        <v>0</v>
      </c>
      <c r="P334" s="112" t="n">
        <f aca="false">ABS(D334)/$P$3</f>
        <v>0</v>
      </c>
      <c r="Q334" s="112" t="n">
        <f aca="false">ABS(E334)/$P$3</f>
        <v>0</v>
      </c>
      <c r="R334" s="112" t="n">
        <f aca="false">ABS(F334)/$P$3</f>
        <v>0</v>
      </c>
      <c r="S334" s="112" t="n">
        <f aca="false">ABS(G334)/$P$3</f>
        <v>0</v>
      </c>
      <c r="T334" s="112" t="n">
        <f aca="false">ABS(H334)/$P$3</f>
        <v>0</v>
      </c>
      <c r="U334" s="112" t="n">
        <f aca="false">ABS(I334)/$P$3</f>
        <v>0</v>
      </c>
      <c r="V334" s="112" t="n">
        <f aca="false">ABS(J334)/$P$3</f>
        <v>0</v>
      </c>
      <c r="W334" s="112" t="n">
        <f aca="false">ABS(K334)/$P$3</f>
        <v>0</v>
      </c>
      <c r="X334" s="112" t="n">
        <f aca="false">ABS(L334)/$P$3</f>
        <v>0</v>
      </c>
      <c r="Y334" s="112" t="n">
        <f aca="false">ABS(M334)/$P$3</f>
        <v>0</v>
      </c>
      <c r="Z334" s="112" t="n">
        <f aca="false">ABS(N334)/$P$3</f>
        <v>0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Data'!$A$2:$B$8,MATCH(WEEKDAY('RAC V@r Total'!A335,3),'Master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H335" s="112" t="n">
        <v>0</v>
      </c>
      <c r="I335" s="112" t="n">
        <v>0</v>
      </c>
      <c r="J335" s="112" t="n">
        <v>0</v>
      </c>
      <c r="K335" s="112" t="n">
        <v>0</v>
      </c>
      <c r="L335" s="112" t="n">
        <v>0</v>
      </c>
      <c r="M335" s="112" t="n">
        <v>0</v>
      </c>
      <c r="N335" s="112" t="n">
        <v>0</v>
      </c>
      <c r="P335" s="112" t="n">
        <f aca="false">ABS(D335)/$P$3</f>
        <v>0</v>
      </c>
      <c r="Q335" s="112" t="n">
        <f aca="false">ABS(E335)/$P$3</f>
        <v>0</v>
      </c>
      <c r="R335" s="112" t="n">
        <f aca="false">ABS(F335)/$P$3</f>
        <v>0</v>
      </c>
      <c r="S335" s="112" t="n">
        <f aca="false">ABS(G335)/$P$3</f>
        <v>0</v>
      </c>
      <c r="T335" s="112" t="n">
        <f aca="false">ABS(H335)/$P$3</f>
        <v>0</v>
      </c>
      <c r="U335" s="112" t="n">
        <f aca="false">ABS(I335)/$P$3</f>
        <v>0</v>
      </c>
      <c r="V335" s="112" t="n">
        <f aca="false">ABS(J335)/$P$3</f>
        <v>0</v>
      </c>
      <c r="W335" s="112" t="n">
        <f aca="false">ABS(K335)/$P$3</f>
        <v>0</v>
      </c>
      <c r="X335" s="112" t="n">
        <f aca="false">ABS(L335)/$P$3</f>
        <v>0</v>
      </c>
      <c r="Y335" s="112" t="n">
        <f aca="false">ABS(M335)/$P$3</f>
        <v>0</v>
      </c>
      <c r="Z335" s="112" t="n">
        <f aca="false">ABS(N335)/$P$3</f>
        <v>0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Data'!$A$2:$B$8,MATCH(WEEKDAY('RAC V@r Total'!A336,3),'Master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H336" s="112" t="n">
        <v>0</v>
      </c>
      <c r="I336" s="112" t="n">
        <v>0</v>
      </c>
      <c r="J336" s="112" t="n">
        <v>0</v>
      </c>
      <c r="K336" s="112" t="n">
        <v>0</v>
      </c>
      <c r="L336" s="112" t="n">
        <v>0</v>
      </c>
      <c r="M336" s="112" t="n">
        <v>0</v>
      </c>
      <c r="N336" s="112" t="n">
        <v>0</v>
      </c>
      <c r="P336" s="112" t="n">
        <f aca="false">ABS(D336)/$P$3</f>
        <v>0</v>
      </c>
      <c r="Q336" s="112" t="n">
        <f aca="false">ABS(E336)/$P$3</f>
        <v>0</v>
      </c>
      <c r="R336" s="112" t="n">
        <f aca="false">ABS(F336)/$P$3</f>
        <v>0</v>
      </c>
      <c r="S336" s="112" t="n">
        <f aca="false">ABS(G336)/$P$3</f>
        <v>0</v>
      </c>
      <c r="T336" s="112" t="n">
        <f aca="false">ABS(H336)/$P$3</f>
        <v>0</v>
      </c>
      <c r="U336" s="112" t="n">
        <f aca="false">ABS(I336)/$P$3</f>
        <v>0</v>
      </c>
      <c r="V336" s="112" t="n">
        <f aca="false">ABS(J336)/$P$3</f>
        <v>0</v>
      </c>
      <c r="W336" s="112" t="n">
        <f aca="false">ABS(K336)/$P$3</f>
        <v>0</v>
      </c>
      <c r="X336" s="112" t="n">
        <f aca="false">ABS(L336)/$P$3</f>
        <v>0</v>
      </c>
      <c r="Y336" s="112" t="n">
        <f aca="false">ABS(M336)/$P$3</f>
        <v>0</v>
      </c>
      <c r="Z336" s="112" t="n">
        <f aca="false">ABS(N336)/$P$3</f>
        <v>0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Data'!$A$2:$B$8,MATCH(WEEKDAY('RAC V@r Total'!A337,3),'Master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H337" s="112" t="n">
        <v>0</v>
      </c>
      <c r="I337" s="112" t="n">
        <v>0</v>
      </c>
      <c r="J337" s="112" t="n">
        <v>0</v>
      </c>
      <c r="K337" s="112" t="n">
        <v>0</v>
      </c>
      <c r="L337" s="112" t="n">
        <v>0</v>
      </c>
      <c r="M337" s="112" t="n">
        <v>0</v>
      </c>
      <c r="N337" s="112" t="n">
        <v>0</v>
      </c>
      <c r="P337" s="112" t="n">
        <f aca="false">ABS(D337)/$P$3</f>
        <v>0</v>
      </c>
      <c r="Q337" s="112" t="n">
        <f aca="false">ABS(E337)/$P$3</f>
        <v>0</v>
      </c>
      <c r="R337" s="112" t="n">
        <f aca="false">ABS(F337)/$P$3</f>
        <v>0</v>
      </c>
      <c r="S337" s="112" t="n">
        <f aca="false">ABS(G337)/$P$3</f>
        <v>0</v>
      </c>
      <c r="T337" s="112" t="n">
        <f aca="false">ABS(H337)/$P$3</f>
        <v>0</v>
      </c>
      <c r="U337" s="112" t="n">
        <f aca="false">ABS(I337)/$P$3</f>
        <v>0</v>
      </c>
      <c r="V337" s="112" t="n">
        <f aca="false">ABS(J337)/$P$3</f>
        <v>0</v>
      </c>
      <c r="W337" s="112" t="n">
        <f aca="false">ABS(K337)/$P$3</f>
        <v>0</v>
      </c>
      <c r="X337" s="112" t="n">
        <f aca="false">ABS(L337)/$P$3</f>
        <v>0</v>
      </c>
      <c r="Y337" s="112" t="n">
        <f aca="false">ABS(M337)/$P$3</f>
        <v>0</v>
      </c>
      <c r="Z337" s="112" t="n">
        <f aca="false">ABS(N337)/$P$3</f>
        <v>0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Data'!$A$2:$B$8,MATCH(WEEKDAY('RAC V@r Total'!A338,3),'Master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H338" s="112" t="n">
        <v>0</v>
      </c>
      <c r="I338" s="112" t="n">
        <v>0</v>
      </c>
      <c r="J338" s="112" t="n">
        <v>0</v>
      </c>
      <c r="K338" s="112" t="n">
        <v>0</v>
      </c>
      <c r="L338" s="112" t="n">
        <v>0</v>
      </c>
      <c r="M338" s="112" t="n">
        <v>0</v>
      </c>
      <c r="N338" s="112" t="n">
        <v>0</v>
      </c>
      <c r="P338" s="112" t="n">
        <f aca="false">ABS(D338)/$P$3</f>
        <v>0</v>
      </c>
      <c r="Q338" s="112" t="n">
        <f aca="false">ABS(E338)/$P$3</f>
        <v>0</v>
      </c>
      <c r="R338" s="112" t="n">
        <f aca="false">ABS(F338)/$P$3</f>
        <v>0</v>
      </c>
      <c r="S338" s="112" t="n">
        <f aca="false">ABS(G338)/$P$3</f>
        <v>0</v>
      </c>
      <c r="T338" s="112" t="n">
        <f aca="false">ABS(H338)/$P$3</f>
        <v>0</v>
      </c>
      <c r="U338" s="112" t="n">
        <f aca="false">ABS(I338)/$P$3</f>
        <v>0</v>
      </c>
      <c r="V338" s="112" t="n">
        <f aca="false">ABS(J338)/$P$3</f>
        <v>0</v>
      </c>
      <c r="W338" s="112" t="n">
        <f aca="false">ABS(K338)/$P$3</f>
        <v>0</v>
      </c>
      <c r="X338" s="112" t="n">
        <f aca="false">ABS(L338)/$P$3</f>
        <v>0</v>
      </c>
      <c r="Y338" s="112" t="n">
        <f aca="false">ABS(M338)/$P$3</f>
        <v>0</v>
      </c>
      <c r="Z338" s="112" t="n">
        <f aca="false">ABS(N338)/$P$3</f>
        <v>0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Data'!$A$2:$B$8,MATCH(WEEKDAY('RAC V@r Total'!A339,3),'Master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H339" s="112" t="n">
        <v>0</v>
      </c>
      <c r="I339" s="112" t="n">
        <v>0</v>
      </c>
      <c r="J339" s="112" t="n">
        <v>0</v>
      </c>
      <c r="K339" s="112" t="n">
        <v>0</v>
      </c>
      <c r="L339" s="112" t="n">
        <v>0</v>
      </c>
      <c r="M339" s="112" t="n">
        <v>0</v>
      </c>
      <c r="N339" s="112" t="n">
        <v>0</v>
      </c>
      <c r="P339" s="112" t="n">
        <f aca="false">ABS(D339)/$P$3</f>
        <v>0</v>
      </c>
      <c r="Q339" s="112" t="n">
        <f aca="false">ABS(E339)/$P$3</f>
        <v>0</v>
      </c>
      <c r="R339" s="112" t="n">
        <f aca="false">ABS(F339)/$P$3</f>
        <v>0</v>
      </c>
      <c r="S339" s="112" t="n">
        <f aca="false">ABS(G339)/$P$3</f>
        <v>0</v>
      </c>
      <c r="T339" s="112" t="n">
        <f aca="false">ABS(H339)/$P$3</f>
        <v>0</v>
      </c>
      <c r="U339" s="112" t="n">
        <f aca="false">ABS(I339)/$P$3</f>
        <v>0</v>
      </c>
      <c r="V339" s="112" t="n">
        <f aca="false">ABS(J339)/$P$3</f>
        <v>0</v>
      </c>
      <c r="W339" s="112" t="n">
        <f aca="false">ABS(K339)/$P$3</f>
        <v>0</v>
      </c>
      <c r="X339" s="112" t="n">
        <f aca="false">ABS(L339)/$P$3</f>
        <v>0</v>
      </c>
      <c r="Y339" s="112" t="n">
        <f aca="false">ABS(M339)/$P$3</f>
        <v>0</v>
      </c>
      <c r="Z339" s="112" t="n">
        <f aca="false">ABS(N339)/$P$3</f>
        <v>0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Data'!$A$2:$B$8,MATCH(WEEKDAY('RAC V@r Total'!A340,3),'Master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H340" s="112" t="n">
        <v>0</v>
      </c>
      <c r="I340" s="112" t="n">
        <v>0</v>
      </c>
      <c r="J340" s="112" t="n">
        <v>0</v>
      </c>
      <c r="K340" s="112" t="n">
        <v>0</v>
      </c>
      <c r="L340" s="112" t="n">
        <v>0</v>
      </c>
      <c r="M340" s="112" t="n">
        <v>0</v>
      </c>
      <c r="N340" s="112" t="n">
        <v>0</v>
      </c>
      <c r="P340" s="112" t="n">
        <f aca="false">ABS(D340)/$P$3</f>
        <v>0</v>
      </c>
      <c r="Q340" s="112" t="n">
        <f aca="false">ABS(E340)/$P$3</f>
        <v>0</v>
      </c>
      <c r="R340" s="112" t="n">
        <f aca="false">ABS(F340)/$P$3</f>
        <v>0</v>
      </c>
      <c r="S340" s="112" t="n">
        <f aca="false">ABS(G340)/$P$3</f>
        <v>0</v>
      </c>
      <c r="T340" s="112" t="n">
        <f aca="false">ABS(H340)/$P$3</f>
        <v>0</v>
      </c>
      <c r="U340" s="112" t="n">
        <f aca="false">ABS(I340)/$P$3</f>
        <v>0</v>
      </c>
      <c r="V340" s="112" t="n">
        <f aca="false">ABS(J340)/$P$3</f>
        <v>0</v>
      </c>
      <c r="W340" s="112" t="n">
        <f aca="false">ABS(K340)/$P$3</f>
        <v>0</v>
      </c>
      <c r="X340" s="112" t="n">
        <f aca="false">ABS(L340)/$P$3</f>
        <v>0</v>
      </c>
      <c r="Y340" s="112" t="n">
        <f aca="false">ABS(M340)/$P$3</f>
        <v>0</v>
      </c>
      <c r="Z340" s="112" t="n">
        <f aca="false">ABS(N340)/$P$3</f>
        <v>0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Data'!$A$2:$B$8,MATCH(WEEKDAY('RAC V@r Total'!A341,3),'Master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H341" s="112" t="n">
        <v>0</v>
      </c>
      <c r="I341" s="112" t="n">
        <v>0</v>
      </c>
      <c r="J341" s="112" t="n">
        <v>0</v>
      </c>
      <c r="K341" s="112" t="n">
        <v>0</v>
      </c>
      <c r="L341" s="112" t="n">
        <v>0</v>
      </c>
      <c r="M341" s="112" t="n">
        <v>0</v>
      </c>
      <c r="N341" s="112" t="n">
        <v>0</v>
      </c>
      <c r="P341" s="112" t="n">
        <f aca="false">ABS(D341)/$P$3</f>
        <v>0</v>
      </c>
      <c r="Q341" s="112" t="n">
        <f aca="false">ABS(E341)/$P$3</f>
        <v>0</v>
      </c>
      <c r="R341" s="112" t="n">
        <f aca="false">ABS(F341)/$P$3</f>
        <v>0</v>
      </c>
      <c r="S341" s="112" t="n">
        <f aca="false">ABS(G341)/$P$3</f>
        <v>0</v>
      </c>
      <c r="T341" s="112" t="n">
        <f aca="false">ABS(H341)/$P$3</f>
        <v>0</v>
      </c>
      <c r="U341" s="112" t="n">
        <f aca="false">ABS(I341)/$P$3</f>
        <v>0</v>
      </c>
      <c r="V341" s="112" t="n">
        <f aca="false">ABS(J341)/$P$3</f>
        <v>0</v>
      </c>
      <c r="W341" s="112" t="n">
        <f aca="false">ABS(K341)/$P$3</f>
        <v>0</v>
      </c>
      <c r="X341" s="112" t="n">
        <f aca="false">ABS(L341)/$P$3</f>
        <v>0</v>
      </c>
      <c r="Y341" s="112" t="n">
        <f aca="false">ABS(M341)/$P$3</f>
        <v>0</v>
      </c>
      <c r="Z341" s="112" t="n">
        <f aca="false">ABS(N341)/$P$3</f>
        <v>0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Data'!$A$2:$B$8,MATCH(WEEKDAY('RAC V@r Total'!A342,3),'Master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H342" s="112" t="n">
        <v>0</v>
      </c>
      <c r="I342" s="112" t="n">
        <v>0</v>
      </c>
      <c r="J342" s="112" t="n">
        <v>0</v>
      </c>
      <c r="K342" s="112" t="n">
        <v>0</v>
      </c>
      <c r="L342" s="112" t="n">
        <v>0</v>
      </c>
      <c r="M342" s="112" t="n">
        <v>0</v>
      </c>
      <c r="N342" s="112" t="n">
        <v>0</v>
      </c>
      <c r="P342" s="112" t="n">
        <f aca="false">ABS(D342)/$P$3</f>
        <v>0</v>
      </c>
      <c r="Q342" s="112" t="n">
        <f aca="false">ABS(E342)/$P$3</f>
        <v>0</v>
      </c>
      <c r="R342" s="112" t="n">
        <f aca="false">ABS(F342)/$P$3</f>
        <v>0</v>
      </c>
      <c r="S342" s="112" t="n">
        <f aca="false">ABS(G342)/$P$3</f>
        <v>0</v>
      </c>
      <c r="T342" s="112" t="n">
        <f aca="false">ABS(H342)/$P$3</f>
        <v>0</v>
      </c>
      <c r="U342" s="112" t="n">
        <f aca="false">ABS(I342)/$P$3</f>
        <v>0</v>
      </c>
      <c r="V342" s="112" t="n">
        <f aca="false">ABS(J342)/$P$3</f>
        <v>0</v>
      </c>
      <c r="W342" s="112" t="n">
        <f aca="false">ABS(K342)/$P$3</f>
        <v>0</v>
      </c>
      <c r="X342" s="112" t="n">
        <f aca="false">ABS(L342)/$P$3</f>
        <v>0</v>
      </c>
      <c r="Y342" s="112" t="n">
        <f aca="false">ABS(M342)/$P$3</f>
        <v>0</v>
      </c>
      <c r="Z342" s="112" t="n">
        <f aca="false">ABS(N342)/$P$3</f>
        <v>0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Data'!$A$2:$B$8,MATCH(WEEKDAY('RAC V@r Total'!A343,3),'Master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H343" s="112" t="n">
        <v>0</v>
      </c>
      <c r="I343" s="112" t="n">
        <v>0</v>
      </c>
      <c r="J343" s="112" t="n">
        <v>0</v>
      </c>
      <c r="K343" s="112" t="n">
        <v>0</v>
      </c>
      <c r="L343" s="112" t="n">
        <v>0</v>
      </c>
      <c r="M343" s="112" t="n">
        <v>0</v>
      </c>
      <c r="N343" s="112" t="n">
        <v>0</v>
      </c>
      <c r="P343" s="112" t="n">
        <f aca="false">ABS(D343)/$P$3</f>
        <v>0</v>
      </c>
      <c r="Q343" s="112" t="n">
        <f aca="false">ABS(E343)/$P$3</f>
        <v>0</v>
      </c>
      <c r="R343" s="112" t="n">
        <f aca="false">ABS(F343)/$P$3</f>
        <v>0</v>
      </c>
      <c r="S343" s="112" t="n">
        <f aca="false">ABS(G343)/$P$3</f>
        <v>0</v>
      </c>
      <c r="T343" s="112" t="n">
        <f aca="false">ABS(H343)/$P$3</f>
        <v>0</v>
      </c>
      <c r="U343" s="112" t="n">
        <f aca="false">ABS(I343)/$P$3</f>
        <v>0</v>
      </c>
      <c r="V343" s="112" t="n">
        <f aca="false">ABS(J343)/$P$3</f>
        <v>0</v>
      </c>
      <c r="W343" s="112" t="n">
        <f aca="false">ABS(K343)/$P$3</f>
        <v>0</v>
      </c>
      <c r="X343" s="112" t="n">
        <f aca="false">ABS(L343)/$P$3</f>
        <v>0</v>
      </c>
      <c r="Y343" s="112" t="n">
        <f aca="false">ABS(M343)/$P$3</f>
        <v>0</v>
      </c>
      <c r="Z343" s="112" t="n">
        <f aca="false">ABS(N343)/$P$3</f>
        <v>0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Data'!$A$2:$B$8,MATCH(WEEKDAY('RAC V@r Total'!A344,3),'Master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H344" s="112" t="n">
        <v>0</v>
      </c>
      <c r="I344" s="112" t="n">
        <v>0</v>
      </c>
      <c r="J344" s="112" t="n">
        <v>0</v>
      </c>
      <c r="K344" s="112" t="n">
        <v>0</v>
      </c>
      <c r="L344" s="112" t="n">
        <v>0</v>
      </c>
      <c r="M344" s="112" t="n">
        <v>0</v>
      </c>
      <c r="N344" s="112" t="n">
        <v>0</v>
      </c>
      <c r="P344" s="112" t="n">
        <f aca="false">ABS(D344)/$P$3</f>
        <v>0</v>
      </c>
      <c r="Q344" s="112" t="n">
        <f aca="false">ABS(E344)/$P$3</f>
        <v>0</v>
      </c>
      <c r="R344" s="112" t="n">
        <f aca="false">ABS(F344)/$P$3</f>
        <v>0</v>
      </c>
      <c r="S344" s="112" t="n">
        <f aca="false">ABS(G344)/$P$3</f>
        <v>0</v>
      </c>
      <c r="T344" s="112" t="n">
        <f aca="false">ABS(H344)/$P$3</f>
        <v>0</v>
      </c>
      <c r="U344" s="112" t="n">
        <f aca="false">ABS(I344)/$P$3</f>
        <v>0</v>
      </c>
      <c r="V344" s="112" t="n">
        <f aca="false">ABS(J344)/$P$3</f>
        <v>0</v>
      </c>
      <c r="W344" s="112" t="n">
        <f aca="false">ABS(K344)/$P$3</f>
        <v>0</v>
      </c>
      <c r="X344" s="112" t="n">
        <f aca="false">ABS(L344)/$P$3</f>
        <v>0</v>
      </c>
      <c r="Y344" s="112" t="n">
        <f aca="false">ABS(M344)/$P$3</f>
        <v>0</v>
      </c>
      <c r="Z344" s="112" t="n">
        <f aca="false">ABS(N344)/$P$3</f>
        <v>0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Data'!$A$2:$B$8,MATCH(WEEKDAY('RAC V@r Total'!A345,3),'Master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H345" s="112" t="n">
        <v>0</v>
      </c>
      <c r="I345" s="112" t="n">
        <v>0</v>
      </c>
      <c r="J345" s="112" t="n">
        <v>0</v>
      </c>
      <c r="K345" s="112" t="n">
        <v>0</v>
      </c>
      <c r="L345" s="112" t="n">
        <v>0</v>
      </c>
      <c r="M345" s="112" t="n">
        <v>0</v>
      </c>
      <c r="N345" s="112" t="n">
        <v>0</v>
      </c>
      <c r="P345" s="112" t="n">
        <f aca="false">ABS(D345)/$P$3</f>
        <v>0</v>
      </c>
      <c r="Q345" s="112" t="n">
        <f aca="false">ABS(E345)/$P$3</f>
        <v>0</v>
      </c>
      <c r="R345" s="112" t="n">
        <f aca="false">ABS(F345)/$P$3</f>
        <v>0</v>
      </c>
      <c r="S345" s="112" t="n">
        <f aca="false">ABS(G345)/$P$3</f>
        <v>0</v>
      </c>
      <c r="T345" s="112" t="n">
        <f aca="false">ABS(H345)/$P$3</f>
        <v>0</v>
      </c>
      <c r="U345" s="112" t="n">
        <f aca="false">ABS(I345)/$P$3</f>
        <v>0</v>
      </c>
      <c r="V345" s="112" t="n">
        <f aca="false">ABS(J345)/$P$3</f>
        <v>0</v>
      </c>
      <c r="W345" s="112" t="n">
        <f aca="false">ABS(K345)/$P$3</f>
        <v>0</v>
      </c>
      <c r="X345" s="112" t="n">
        <f aca="false">ABS(L345)/$P$3</f>
        <v>0</v>
      </c>
      <c r="Y345" s="112" t="n">
        <f aca="false">ABS(M345)/$P$3</f>
        <v>0</v>
      </c>
      <c r="Z345" s="112" t="n">
        <f aca="false">ABS(N345)/$P$3</f>
        <v>0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Data'!$A$2:$B$8,MATCH(WEEKDAY('RAC V@r Total'!A346,3),'Master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H346" s="112" t="n">
        <v>0</v>
      </c>
      <c r="I346" s="112" t="n">
        <v>0</v>
      </c>
      <c r="J346" s="112" t="n">
        <v>0</v>
      </c>
      <c r="K346" s="112" t="n">
        <v>0</v>
      </c>
      <c r="L346" s="112" t="n">
        <v>0</v>
      </c>
      <c r="M346" s="112" t="n">
        <v>0</v>
      </c>
      <c r="N346" s="112" t="n">
        <v>0</v>
      </c>
      <c r="P346" s="112" t="n">
        <f aca="false">ABS(D346)/$P$3</f>
        <v>0</v>
      </c>
      <c r="Q346" s="112" t="n">
        <f aca="false">ABS(E346)/$P$3</f>
        <v>0</v>
      </c>
      <c r="R346" s="112" t="n">
        <f aca="false">ABS(F346)/$P$3</f>
        <v>0</v>
      </c>
      <c r="S346" s="112" t="n">
        <f aca="false">ABS(G346)/$P$3</f>
        <v>0</v>
      </c>
      <c r="T346" s="112" t="n">
        <f aca="false">ABS(H346)/$P$3</f>
        <v>0</v>
      </c>
      <c r="U346" s="112" t="n">
        <f aca="false">ABS(I346)/$P$3</f>
        <v>0</v>
      </c>
      <c r="V346" s="112" t="n">
        <f aca="false">ABS(J346)/$P$3</f>
        <v>0</v>
      </c>
      <c r="W346" s="112" t="n">
        <f aca="false">ABS(K346)/$P$3</f>
        <v>0</v>
      </c>
      <c r="X346" s="112" t="n">
        <f aca="false">ABS(L346)/$P$3</f>
        <v>0</v>
      </c>
      <c r="Y346" s="112" t="n">
        <f aca="false">ABS(M346)/$P$3</f>
        <v>0</v>
      </c>
      <c r="Z346" s="112" t="n">
        <f aca="false">ABS(N346)/$P$3</f>
        <v>0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Data'!$A$2:$B$8,MATCH(WEEKDAY('RAC V@r Total'!A347,3),'Master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H347" s="112" t="n">
        <v>0</v>
      </c>
      <c r="I347" s="112" t="n">
        <v>0</v>
      </c>
      <c r="J347" s="112" t="n">
        <v>0</v>
      </c>
      <c r="K347" s="112" t="n">
        <v>0</v>
      </c>
      <c r="L347" s="112" t="n">
        <v>0</v>
      </c>
      <c r="M347" s="112" t="n">
        <v>0</v>
      </c>
      <c r="N347" s="112" t="n">
        <v>0</v>
      </c>
      <c r="P347" s="112" t="n">
        <f aca="false">ABS(D347)/$P$3</f>
        <v>0</v>
      </c>
      <c r="Q347" s="112" t="n">
        <f aca="false">ABS(E347)/$P$3</f>
        <v>0</v>
      </c>
      <c r="R347" s="112" t="n">
        <f aca="false">ABS(F347)/$P$3</f>
        <v>0</v>
      </c>
      <c r="S347" s="112" t="n">
        <f aca="false">ABS(G347)/$P$3</f>
        <v>0</v>
      </c>
      <c r="T347" s="112" t="n">
        <f aca="false">ABS(H347)/$P$3</f>
        <v>0</v>
      </c>
      <c r="U347" s="112" t="n">
        <f aca="false">ABS(I347)/$P$3</f>
        <v>0</v>
      </c>
      <c r="V347" s="112" t="n">
        <f aca="false">ABS(J347)/$P$3</f>
        <v>0</v>
      </c>
      <c r="W347" s="112" t="n">
        <f aca="false">ABS(K347)/$P$3</f>
        <v>0</v>
      </c>
      <c r="X347" s="112" t="n">
        <f aca="false">ABS(L347)/$P$3</f>
        <v>0</v>
      </c>
      <c r="Y347" s="112" t="n">
        <f aca="false">ABS(M347)/$P$3</f>
        <v>0</v>
      </c>
      <c r="Z347" s="112" t="n">
        <f aca="false">ABS(N347)/$P$3</f>
        <v>0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Data'!$A$2:$B$8,MATCH(WEEKDAY('RAC V@r Total'!A348,3),'Master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H348" s="112" t="n">
        <v>0</v>
      </c>
      <c r="I348" s="112" t="n">
        <v>0</v>
      </c>
      <c r="J348" s="112" t="n">
        <v>0</v>
      </c>
      <c r="K348" s="112" t="n">
        <v>0</v>
      </c>
      <c r="L348" s="112" t="n">
        <v>0</v>
      </c>
      <c r="M348" s="112" t="n">
        <v>0</v>
      </c>
      <c r="N348" s="112" t="n">
        <v>0</v>
      </c>
      <c r="P348" s="112" t="n">
        <f aca="false">ABS(D348)/$P$3</f>
        <v>0</v>
      </c>
      <c r="Q348" s="112" t="n">
        <f aca="false">ABS(E348)/$P$3</f>
        <v>0</v>
      </c>
      <c r="R348" s="112" t="n">
        <f aca="false">ABS(F348)/$P$3</f>
        <v>0</v>
      </c>
      <c r="S348" s="112" t="n">
        <f aca="false">ABS(G348)/$P$3</f>
        <v>0</v>
      </c>
      <c r="T348" s="112" t="n">
        <f aca="false">ABS(H348)/$P$3</f>
        <v>0</v>
      </c>
      <c r="U348" s="112" t="n">
        <f aca="false">ABS(I348)/$P$3</f>
        <v>0</v>
      </c>
      <c r="V348" s="112" t="n">
        <f aca="false">ABS(J348)/$P$3</f>
        <v>0</v>
      </c>
      <c r="W348" s="112" t="n">
        <f aca="false">ABS(K348)/$P$3</f>
        <v>0</v>
      </c>
      <c r="X348" s="112" t="n">
        <f aca="false">ABS(L348)/$P$3</f>
        <v>0</v>
      </c>
      <c r="Y348" s="112" t="n">
        <f aca="false">ABS(M348)/$P$3</f>
        <v>0</v>
      </c>
      <c r="Z348" s="112" t="n">
        <f aca="false">ABS(N348)/$P$3</f>
        <v>0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Data'!$A$2:$B$8,MATCH(WEEKDAY('RAC V@r Total'!A349,3),'Master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H349" s="112" t="n">
        <v>0</v>
      </c>
      <c r="I349" s="112" t="n">
        <v>0</v>
      </c>
      <c r="J349" s="112" t="n">
        <v>0</v>
      </c>
      <c r="K349" s="112" t="n">
        <v>0</v>
      </c>
      <c r="L349" s="112" t="n">
        <v>0</v>
      </c>
      <c r="M349" s="112" t="n">
        <v>0</v>
      </c>
      <c r="N349" s="112" t="n">
        <v>0</v>
      </c>
      <c r="P349" s="112" t="n">
        <f aca="false">ABS(D349)/$P$3</f>
        <v>0</v>
      </c>
      <c r="Q349" s="112" t="n">
        <f aca="false">ABS(E349)/$P$3</f>
        <v>0</v>
      </c>
      <c r="R349" s="112" t="n">
        <f aca="false">ABS(F349)/$P$3</f>
        <v>0</v>
      </c>
      <c r="S349" s="112" t="n">
        <f aca="false">ABS(G349)/$P$3</f>
        <v>0</v>
      </c>
      <c r="T349" s="112" t="n">
        <f aca="false">ABS(H349)/$P$3</f>
        <v>0</v>
      </c>
      <c r="U349" s="112" t="n">
        <f aca="false">ABS(I349)/$P$3</f>
        <v>0</v>
      </c>
      <c r="V349" s="112" t="n">
        <f aca="false">ABS(J349)/$P$3</f>
        <v>0</v>
      </c>
      <c r="W349" s="112" t="n">
        <f aca="false">ABS(K349)/$P$3</f>
        <v>0</v>
      </c>
      <c r="X349" s="112" t="n">
        <f aca="false">ABS(L349)/$P$3</f>
        <v>0</v>
      </c>
      <c r="Y349" s="112" t="n">
        <f aca="false">ABS(M349)/$P$3</f>
        <v>0</v>
      </c>
      <c r="Z349" s="112" t="n">
        <f aca="false">ABS(N349)/$P$3</f>
        <v>0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Data'!$A$2:$B$8,MATCH(WEEKDAY('RAC V@r Total'!A350,3),'Master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H350" s="112" t="n">
        <v>0</v>
      </c>
      <c r="I350" s="112" t="n">
        <v>0</v>
      </c>
      <c r="J350" s="112" t="n">
        <v>0</v>
      </c>
      <c r="K350" s="112" t="n">
        <v>0</v>
      </c>
      <c r="L350" s="112" t="n">
        <v>0</v>
      </c>
      <c r="M350" s="112" t="n">
        <v>0</v>
      </c>
      <c r="N350" s="112" t="n">
        <v>0</v>
      </c>
      <c r="P350" s="112" t="n">
        <f aca="false">ABS(D350)/$P$3</f>
        <v>0</v>
      </c>
      <c r="Q350" s="112" t="n">
        <f aca="false">ABS(E350)/$P$3</f>
        <v>0</v>
      </c>
      <c r="R350" s="112" t="n">
        <f aca="false">ABS(F350)/$P$3</f>
        <v>0</v>
      </c>
      <c r="S350" s="112" t="n">
        <f aca="false">ABS(G350)/$P$3</f>
        <v>0</v>
      </c>
      <c r="T350" s="112" t="n">
        <f aca="false">ABS(H350)/$P$3</f>
        <v>0</v>
      </c>
      <c r="U350" s="112" t="n">
        <f aca="false">ABS(I350)/$P$3</f>
        <v>0</v>
      </c>
      <c r="V350" s="112" t="n">
        <f aca="false">ABS(J350)/$P$3</f>
        <v>0</v>
      </c>
      <c r="W350" s="112" t="n">
        <f aca="false">ABS(K350)/$P$3</f>
        <v>0</v>
      </c>
      <c r="X350" s="112" t="n">
        <f aca="false">ABS(L350)/$P$3</f>
        <v>0</v>
      </c>
      <c r="Y350" s="112" t="n">
        <f aca="false">ABS(M350)/$P$3</f>
        <v>0</v>
      </c>
      <c r="Z350" s="112" t="n">
        <f aca="false">ABS(N350)/$P$3</f>
        <v>0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Data'!$A$2:$B$8,MATCH(WEEKDAY('RAC V@r Total'!A351,3),'Master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H351" s="112" t="n">
        <v>0</v>
      </c>
      <c r="I351" s="112" t="n">
        <v>0</v>
      </c>
      <c r="J351" s="112" t="n">
        <v>0</v>
      </c>
      <c r="K351" s="112" t="n">
        <v>0</v>
      </c>
      <c r="L351" s="112" t="n">
        <v>0</v>
      </c>
      <c r="M351" s="112" t="n">
        <v>0</v>
      </c>
      <c r="N351" s="112" t="n">
        <v>0</v>
      </c>
      <c r="P351" s="112" t="n">
        <f aca="false">ABS(D351)/$P$3</f>
        <v>0</v>
      </c>
      <c r="Q351" s="112" t="n">
        <f aca="false">ABS(E351)/$P$3</f>
        <v>0</v>
      </c>
      <c r="R351" s="112" t="n">
        <f aca="false">ABS(F351)/$P$3</f>
        <v>0</v>
      </c>
      <c r="S351" s="112" t="n">
        <f aca="false">ABS(G351)/$P$3</f>
        <v>0</v>
      </c>
      <c r="T351" s="112" t="n">
        <f aca="false">ABS(H351)/$P$3</f>
        <v>0</v>
      </c>
      <c r="U351" s="112" t="n">
        <f aca="false">ABS(I351)/$P$3</f>
        <v>0</v>
      </c>
      <c r="V351" s="112" t="n">
        <f aca="false">ABS(J351)/$P$3</f>
        <v>0</v>
      </c>
      <c r="W351" s="112" t="n">
        <f aca="false">ABS(K351)/$P$3</f>
        <v>0</v>
      </c>
      <c r="X351" s="112" t="n">
        <f aca="false">ABS(L351)/$P$3</f>
        <v>0</v>
      </c>
      <c r="Y351" s="112" t="n">
        <f aca="false">ABS(M351)/$P$3</f>
        <v>0</v>
      </c>
      <c r="Z351" s="112" t="n">
        <f aca="false">ABS(N351)/$P$3</f>
        <v>0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Data'!$A$2:$B$8,MATCH(WEEKDAY('RAC V@r Total'!A352,3),'Master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H352" s="112" t="n">
        <v>0</v>
      </c>
      <c r="I352" s="112" t="n">
        <v>0</v>
      </c>
      <c r="J352" s="112" t="n">
        <v>0</v>
      </c>
      <c r="K352" s="112" t="n">
        <v>0</v>
      </c>
      <c r="L352" s="112" t="n">
        <v>0</v>
      </c>
      <c r="M352" s="112" t="n">
        <v>0</v>
      </c>
      <c r="N352" s="112" t="n">
        <v>0</v>
      </c>
      <c r="P352" s="112" t="n">
        <f aca="false">ABS(D352)/$P$3</f>
        <v>0</v>
      </c>
      <c r="Q352" s="112" t="n">
        <f aca="false">ABS(E352)/$P$3</f>
        <v>0</v>
      </c>
      <c r="R352" s="112" t="n">
        <f aca="false">ABS(F352)/$P$3</f>
        <v>0</v>
      </c>
      <c r="S352" s="112" t="n">
        <f aca="false">ABS(G352)/$P$3</f>
        <v>0</v>
      </c>
      <c r="T352" s="112" t="n">
        <f aca="false">ABS(H352)/$P$3</f>
        <v>0</v>
      </c>
      <c r="U352" s="112" t="n">
        <f aca="false">ABS(I352)/$P$3</f>
        <v>0</v>
      </c>
      <c r="V352" s="112" t="n">
        <f aca="false">ABS(J352)/$P$3</f>
        <v>0</v>
      </c>
      <c r="W352" s="112" t="n">
        <f aca="false">ABS(K352)/$P$3</f>
        <v>0</v>
      </c>
      <c r="X352" s="112" t="n">
        <f aca="false">ABS(L352)/$P$3</f>
        <v>0</v>
      </c>
      <c r="Y352" s="112" t="n">
        <f aca="false">ABS(M352)/$P$3</f>
        <v>0</v>
      </c>
      <c r="Z352" s="112" t="n">
        <f aca="false">ABS(N352)/$P$3</f>
        <v>0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Data'!$A$2:$B$8,MATCH(WEEKDAY('RAC V@r Total'!A353,3),'Master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H353" s="112" t="n">
        <v>0</v>
      </c>
      <c r="I353" s="112" t="n">
        <v>0</v>
      </c>
      <c r="J353" s="112" t="n">
        <v>0</v>
      </c>
      <c r="K353" s="112" t="n">
        <v>0</v>
      </c>
      <c r="L353" s="112" t="n">
        <v>0</v>
      </c>
      <c r="M353" s="112" t="n">
        <v>0</v>
      </c>
      <c r="N353" s="112" t="n">
        <v>0</v>
      </c>
      <c r="P353" s="112" t="n">
        <f aca="false">ABS(D353)/$P$3</f>
        <v>0</v>
      </c>
      <c r="Q353" s="112" t="n">
        <f aca="false">ABS(E353)/$P$3</f>
        <v>0</v>
      </c>
      <c r="R353" s="112" t="n">
        <f aca="false">ABS(F353)/$P$3</f>
        <v>0</v>
      </c>
      <c r="S353" s="112" t="n">
        <f aca="false">ABS(G353)/$P$3</f>
        <v>0</v>
      </c>
      <c r="T353" s="112" t="n">
        <f aca="false">ABS(H353)/$P$3</f>
        <v>0</v>
      </c>
      <c r="U353" s="112" t="n">
        <f aca="false">ABS(I353)/$P$3</f>
        <v>0</v>
      </c>
      <c r="V353" s="112" t="n">
        <f aca="false">ABS(J353)/$P$3</f>
        <v>0</v>
      </c>
      <c r="W353" s="112" t="n">
        <f aca="false">ABS(K353)/$P$3</f>
        <v>0</v>
      </c>
      <c r="X353" s="112" t="n">
        <f aca="false">ABS(L353)/$P$3</f>
        <v>0</v>
      </c>
      <c r="Y353" s="112" t="n">
        <f aca="false">ABS(M353)/$P$3</f>
        <v>0</v>
      </c>
      <c r="Z353" s="112" t="n">
        <f aca="false">ABS(N353)/$P$3</f>
        <v>0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Data'!$A$2:$B$8,MATCH(WEEKDAY('RAC V@r Total'!A354,3),'Master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H354" s="112" t="n">
        <v>0</v>
      </c>
      <c r="I354" s="112" t="n">
        <v>0</v>
      </c>
      <c r="J354" s="112" t="n">
        <v>0</v>
      </c>
      <c r="K354" s="112" t="n">
        <v>0</v>
      </c>
      <c r="L354" s="112" t="n">
        <v>0</v>
      </c>
      <c r="M354" s="112" t="n">
        <v>0</v>
      </c>
      <c r="N354" s="112" t="n">
        <v>0</v>
      </c>
      <c r="P354" s="112" t="n">
        <f aca="false">ABS(D354)/$P$3</f>
        <v>0</v>
      </c>
      <c r="Q354" s="112" t="n">
        <f aca="false">ABS(E354)/$P$3</f>
        <v>0</v>
      </c>
      <c r="R354" s="112" t="n">
        <f aca="false">ABS(F354)/$P$3</f>
        <v>0</v>
      </c>
      <c r="S354" s="112" t="n">
        <f aca="false">ABS(G354)/$P$3</f>
        <v>0</v>
      </c>
      <c r="T354" s="112" t="n">
        <f aca="false">ABS(H354)/$P$3</f>
        <v>0</v>
      </c>
      <c r="U354" s="112" t="n">
        <f aca="false">ABS(I354)/$P$3</f>
        <v>0</v>
      </c>
      <c r="V354" s="112" t="n">
        <f aca="false">ABS(J354)/$P$3</f>
        <v>0</v>
      </c>
      <c r="W354" s="112" t="n">
        <f aca="false">ABS(K354)/$P$3</f>
        <v>0</v>
      </c>
      <c r="X354" s="112" t="n">
        <f aca="false">ABS(L354)/$P$3</f>
        <v>0</v>
      </c>
      <c r="Y354" s="112" t="n">
        <f aca="false">ABS(M354)/$P$3</f>
        <v>0</v>
      </c>
      <c r="Z354" s="112" t="n">
        <f aca="false">ABS(N354)/$P$3</f>
        <v>0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Data'!$A$2:$B$8,MATCH(WEEKDAY('RAC V@r Total'!A355,3),'Master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H355" s="112" t="n">
        <v>0</v>
      </c>
      <c r="I355" s="112" t="n">
        <v>0</v>
      </c>
      <c r="J355" s="112" t="n">
        <v>0</v>
      </c>
      <c r="K355" s="112" t="n">
        <v>0</v>
      </c>
      <c r="L355" s="112" t="n">
        <v>0</v>
      </c>
      <c r="M355" s="112" t="n">
        <v>0</v>
      </c>
      <c r="N355" s="112" t="n">
        <v>0</v>
      </c>
      <c r="P355" s="112" t="n">
        <f aca="false">ABS(D355)/$P$3</f>
        <v>0</v>
      </c>
      <c r="Q355" s="112" t="n">
        <f aca="false">ABS(E355)/$P$3</f>
        <v>0</v>
      </c>
      <c r="R355" s="112" t="n">
        <f aca="false">ABS(F355)/$P$3</f>
        <v>0</v>
      </c>
      <c r="S355" s="112" t="n">
        <f aca="false">ABS(G355)/$P$3</f>
        <v>0</v>
      </c>
      <c r="T355" s="112" t="n">
        <f aca="false">ABS(H355)/$P$3</f>
        <v>0</v>
      </c>
      <c r="U355" s="112" t="n">
        <f aca="false">ABS(I355)/$P$3</f>
        <v>0</v>
      </c>
      <c r="V355" s="112" t="n">
        <f aca="false">ABS(J355)/$P$3</f>
        <v>0</v>
      </c>
      <c r="W355" s="112" t="n">
        <f aca="false">ABS(K355)/$P$3</f>
        <v>0</v>
      </c>
      <c r="X355" s="112" t="n">
        <f aca="false">ABS(L355)/$P$3</f>
        <v>0</v>
      </c>
      <c r="Y355" s="112" t="n">
        <f aca="false">ABS(M355)/$P$3</f>
        <v>0</v>
      </c>
      <c r="Z355" s="112" t="n">
        <f aca="false">ABS(N355)/$P$3</f>
        <v>0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Data'!$A$2:$B$8,MATCH(WEEKDAY('RAC V@r Total'!A356,3),'Master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H356" s="112" t="n">
        <v>0</v>
      </c>
      <c r="I356" s="112" t="n">
        <v>0</v>
      </c>
      <c r="J356" s="112" t="n">
        <v>0</v>
      </c>
      <c r="K356" s="112" t="n">
        <v>0</v>
      </c>
      <c r="L356" s="112" t="n">
        <v>0</v>
      </c>
      <c r="M356" s="112" t="n">
        <v>0</v>
      </c>
      <c r="N356" s="112" t="n">
        <v>0</v>
      </c>
      <c r="P356" s="112" t="n">
        <f aca="false">ABS(D356)/$P$3</f>
        <v>0</v>
      </c>
      <c r="Q356" s="112" t="n">
        <f aca="false">ABS(E356)/$P$3</f>
        <v>0</v>
      </c>
      <c r="R356" s="112" t="n">
        <f aca="false">ABS(F356)/$P$3</f>
        <v>0</v>
      </c>
      <c r="S356" s="112" t="n">
        <f aca="false">ABS(G356)/$P$3</f>
        <v>0</v>
      </c>
      <c r="T356" s="112" t="n">
        <f aca="false">ABS(H356)/$P$3</f>
        <v>0</v>
      </c>
      <c r="U356" s="112" t="n">
        <f aca="false">ABS(I356)/$P$3</f>
        <v>0</v>
      </c>
      <c r="V356" s="112" t="n">
        <f aca="false">ABS(J356)/$P$3</f>
        <v>0</v>
      </c>
      <c r="W356" s="112" t="n">
        <f aca="false">ABS(K356)/$P$3</f>
        <v>0</v>
      </c>
      <c r="X356" s="112" t="n">
        <f aca="false">ABS(L356)/$P$3</f>
        <v>0</v>
      </c>
      <c r="Y356" s="112" t="n">
        <f aca="false">ABS(M356)/$P$3</f>
        <v>0</v>
      </c>
      <c r="Z356" s="112" t="n">
        <f aca="false">ABS(N356)/$P$3</f>
        <v>0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Data'!$A$2:$B$8,MATCH(WEEKDAY('RAC V@r Total'!A357,3),'Master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H357" s="112" t="n">
        <v>0</v>
      </c>
      <c r="I357" s="112" t="n">
        <v>0</v>
      </c>
      <c r="J357" s="112" t="n">
        <v>0</v>
      </c>
      <c r="K357" s="112" t="n">
        <v>0</v>
      </c>
      <c r="L357" s="112" t="n">
        <v>0</v>
      </c>
      <c r="M357" s="112" t="n">
        <v>0</v>
      </c>
      <c r="N357" s="112" t="n">
        <v>0</v>
      </c>
      <c r="P357" s="112" t="n">
        <f aca="false">ABS(D357)/$P$3</f>
        <v>0</v>
      </c>
      <c r="Q357" s="112" t="n">
        <f aca="false">ABS(E357)/$P$3</f>
        <v>0</v>
      </c>
      <c r="R357" s="112" t="n">
        <f aca="false">ABS(F357)/$P$3</f>
        <v>0</v>
      </c>
      <c r="S357" s="112" t="n">
        <f aca="false">ABS(G357)/$P$3</f>
        <v>0</v>
      </c>
      <c r="T357" s="112" t="n">
        <f aca="false">ABS(H357)/$P$3</f>
        <v>0</v>
      </c>
      <c r="U357" s="112" t="n">
        <f aca="false">ABS(I357)/$P$3</f>
        <v>0</v>
      </c>
      <c r="V357" s="112" t="n">
        <f aca="false">ABS(J357)/$P$3</f>
        <v>0</v>
      </c>
      <c r="W357" s="112" t="n">
        <f aca="false">ABS(K357)/$P$3</f>
        <v>0</v>
      </c>
      <c r="X357" s="112" t="n">
        <f aca="false">ABS(L357)/$P$3</f>
        <v>0</v>
      </c>
      <c r="Y357" s="112" t="n">
        <f aca="false">ABS(M357)/$P$3</f>
        <v>0</v>
      </c>
      <c r="Z357" s="112" t="n">
        <f aca="false">ABS(N357)/$P$3</f>
        <v>0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Data'!$A$2:$B$8,MATCH(WEEKDAY('RAC V@r Total'!A358,3),'Master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H358" s="112" t="n">
        <v>0</v>
      </c>
      <c r="I358" s="112" t="n">
        <v>0</v>
      </c>
      <c r="J358" s="112" t="n">
        <v>0</v>
      </c>
      <c r="K358" s="112" t="n">
        <v>0</v>
      </c>
      <c r="L358" s="112" t="n">
        <v>0</v>
      </c>
      <c r="M358" s="112" t="n">
        <v>0</v>
      </c>
      <c r="N358" s="112" t="n">
        <v>0</v>
      </c>
      <c r="P358" s="112" t="n">
        <f aca="false">ABS(D358)/$P$3</f>
        <v>0</v>
      </c>
      <c r="Q358" s="112" t="n">
        <f aca="false">ABS(E358)/$P$3</f>
        <v>0</v>
      </c>
      <c r="R358" s="112" t="n">
        <f aca="false">ABS(F358)/$P$3</f>
        <v>0</v>
      </c>
      <c r="S358" s="112" t="n">
        <f aca="false">ABS(G358)/$P$3</f>
        <v>0</v>
      </c>
      <c r="T358" s="112" t="n">
        <f aca="false">ABS(H358)/$P$3</f>
        <v>0</v>
      </c>
      <c r="U358" s="112" t="n">
        <f aca="false">ABS(I358)/$P$3</f>
        <v>0</v>
      </c>
      <c r="V358" s="112" t="n">
        <f aca="false">ABS(J358)/$P$3</f>
        <v>0</v>
      </c>
      <c r="W358" s="112" t="n">
        <f aca="false">ABS(K358)/$P$3</f>
        <v>0</v>
      </c>
      <c r="X358" s="112" t="n">
        <f aca="false">ABS(L358)/$P$3</f>
        <v>0</v>
      </c>
      <c r="Y358" s="112" t="n">
        <f aca="false">ABS(M358)/$P$3</f>
        <v>0</v>
      </c>
      <c r="Z358" s="112" t="n">
        <f aca="false">ABS(N358)/$P$3</f>
        <v>0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Data'!$A$2:$B$8,MATCH(WEEKDAY('RAC V@r Total'!A359,3),'Master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H359" s="112" t="n">
        <v>0</v>
      </c>
      <c r="I359" s="112" t="n">
        <v>0</v>
      </c>
      <c r="J359" s="112" t="n">
        <v>0</v>
      </c>
      <c r="K359" s="112" t="n">
        <v>0</v>
      </c>
      <c r="L359" s="112" t="n">
        <v>0</v>
      </c>
      <c r="M359" s="112" t="n">
        <v>0</v>
      </c>
      <c r="N359" s="112" t="n">
        <v>0</v>
      </c>
      <c r="P359" s="112" t="n">
        <f aca="false">ABS(D359)/$P$3</f>
        <v>0</v>
      </c>
      <c r="Q359" s="112" t="n">
        <f aca="false">ABS(E359)/$P$3</f>
        <v>0</v>
      </c>
      <c r="R359" s="112" t="n">
        <f aca="false">ABS(F359)/$P$3</f>
        <v>0</v>
      </c>
      <c r="S359" s="112" t="n">
        <f aca="false">ABS(G359)/$P$3</f>
        <v>0</v>
      </c>
      <c r="T359" s="112" t="n">
        <f aca="false">ABS(H359)/$P$3</f>
        <v>0</v>
      </c>
      <c r="U359" s="112" t="n">
        <f aca="false">ABS(I359)/$P$3</f>
        <v>0</v>
      </c>
      <c r="V359" s="112" t="n">
        <f aca="false">ABS(J359)/$P$3</f>
        <v>0</v>
      </c>
      <c r="W359" s="112" t="n">
        <f aca="false">ABS(K359)/$P$3</f>
        <v>0</v>
      </c>
      <c r="X359" s="112" t="n">
        <f aca="false">ABS(L359)/$P$3</f>
        <v>0</v>
      </c>
      <c r="Y359" s="112" t="n">
        <f aca="false">ABS(M359)/$P$3</f>
        <v>0</v>
      </c>
      <c r="Z359" s="112" t="n">
        <f aca="false">ABS(N359)/$P$3</f>
        <v>0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Data'!$A$2:$B$8,MATCH(WEEKDAY('RAC V@r Total'!A360,3),'Master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H360" s="112" t="n">
        <v>0</v>
      </c>
      <c r="I360" s="112" t="n">
        <v>0</v>
      </c>
      <c r="J360" s="112" t="n">
        <v>0</v>
      </c>
      <c r="K360" s="112" t="n">
        <v>0</v>
      </c>
      <c r="L360" s="112" t="n">
        <v>0</v>
      </c>
      <c r="M360" s="112" t="n">
        <v>0</v>
      </c>
      <c r="N360" s="112" t="n">
        <v>0</v>
      </c>
      <c r="P360" s="112" t="n">
        <f aca="false">ABS(D360)/$P$3</f>
        <v>0</v>
      </c>
      <c r="Q360" s="112" t="n">
        <f aca="false">ABS(E360)/$P$3</f>
        <v>0</v>
      </c>
      <c r="R360" s="112" t="n">
        <f aca="false">ABS(F360)/$P$3</f>
        <v>0</v>
      </c>
      <c r="S360" s="112" t="n">
        <f aca="false">ABS(G360)/$P$3</f>
        <v>0</v>
      </c>
      <c r="T360" s="112" t="n">
        <f aca="false">ABS(H360)/$P$3</f>
        <v>0</v>
      </c>
      <c r="U360" s="112" t="n">
        <f aca="false">ABS(I360)/$P$3</f>
        <v>0</v>
      </c>
      <c r="V360" s="112" t="n">
        <f aca="false">ABS(J360)/$P$3</f>
        <v>0</v>
      </c>
      <c r="W360" s="112" t="n">
        <f aca="false">ABS(K360)/$P$3</f>
        <v>0</v>
      </c>
      <c r="X360" s="112" t="n">
        <f aca="false">ABS(L360)/$P$3</f>
        <v>0</v>
      </c>
      <c r="Y360" s="112" t="n">
        <f aca="false">ABS(M360)/$P$3</f>
        <v>0</v>
      </c>
      <c r="Z360" s="112" t="n">
        <f aca="false">ABS(N360)/$P$3</f>
        <v>0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Data'!$A$2:$B$8,MATCH(WEEKDAY('RAC V@r Total'!A361,3),'Master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H361" s="112" t="n">
        <v>0</v>
      </c>
      <c r="I361" s="112" t="n">
        <v>0</v>
      </c>
      <c r="J361" s="112" t="n">
        <v>0</v>
      </c>
      <c r="K361" s="112" t="n">
        <v>0</v>
      </c>
      <c r="L361" s="112" t="n">
        <v>0</v>
      </c>
      <c r="M361" s="112" t="n">
        <v>0</v>
      </c>
      <c r="N361" s="112" t="n">
        <v>0</v>
      </c>
      <c r="P361" s="112" t="n">
        <f aca="false">ABS(D361)/$P$3</f>
        <v>0</v>
      </c>
      <c r="Q361" s="112" t="n">
        <f aca="false">ABS(E361)/$P$3</f>
        <v>0</v>
      </c>
      <c r="R361" s="112" t="n">
        <f aca="false">ABS(F361)/$P$3</f>
        <v>0</v>
      </c>
      <c r="S361" s="112" t="n">
        <f aca="false">ABS(G361)/$P$3</f>
        <v>0</v>
      </c>
      <c r="T361" s="112" t="n">
        <f aca="false">ABS(H361)/$P$3</f>
        <v>0</v>
      </c>
      <c r="U361" s="112" t="n">
        <f aca="false">ABS(I361)/$P$3</f>
        <v>0</v>
      </c>
      <c r="V361" s="112" t="n">
        <f aca="false">ABS(J361)/$P$3</f>
        <v>0</v>
      </c>
      <c r="W361" s="112" t="n">
        <f aca="false">ABS(K361)/$P$3</f>
        <v>0</v>
      </c>
      <c r="X361" s="112" t="n">
        <f aca="false">ABS(L361)/$P$3</f>
        <v>0</v>
      </c>
      <c r="Y361" s="112" t="n">
        <f aca="false">ABS(M361)/$P$3</f>
        <v>0</v>
      </c>
      <c r="Z361" s="112" t="n">
        <f aca="false">ABS(N361)/$P$3</f>
        <v>0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Data'!$A$2:$B$8,MATCH(WEEKDAY('RAC V@r Total'!A362,3),'Master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H362" s="112" t="n">
        <v>0</v>
      </c>
      <c r="I362" s="112" t="n">
        <v>0</v>
      </c>
      <c r="J362" s="112" t="n">
        <v>0</v>
      </c>
      <c r="K362" s="112" t="n">
        <v>0</v>
      </c>
      <c r="L362" s="112" t="n">
        <v>0</v>
      </c>
      <c r="M362" s="112" t="n">
        <v>0</v>
      </c>
      <c r="N362" s="112" t="n">
        <v>0</v>
      </c>
      <c r="P362" s="112" t="n">
        <f aca="false">ABS(D362)/$P$3</f>
        <v>0</v>
      </c>
      <c r="Q362" s="112" t="n">
        <f aca="false">ABS(E362)/$P$3</f>
        <v>0</v>
      </c>
      <c r="R362" s="112" t="n">
        <f aca="false">ABS(F362)/$P$3</f>
        <v>0</v>
      </c>
      <c r="S362" s="112" t="n">
        <f aca="false">ABS(G362)/$P$3</f>
        <v>0</v>
      </c>
      <c r="T362" s="112" t="n">
        <f aca="false">ABS(H362)/$P$3</f>
        <v>0</v>
      </c>
      <c r="U362" s="112" t="n">
        <f aca="false">ABS(I362)/$P$3</f>
        <v>0</v>
      </c>
      <c r="V362" s="112" t="n">
        <f aca="false">ABS(J362)/$P$3</f>
        <v>0</v>
      </c>
      <c r="W362" s="112" t="n">
        <f aca="false">ABS(K362)/$P$3</f>
        <v>0</v>
      </c>
      <c r="X362" s="112" t="n">
        <f aca="false">ABS(L362)/$P$3</f>
        <v>0</v>
      </c>
      <c r="Y362" s="112" t="n">
        <f aca="false">ABS(M362)/$P$3</f>
        <v>0</v>
      </c>
      <c r="Z362" s="112" t="n">
        <f aca="false">ABS(N362)/$P$3</f>
        <v>0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Data'!$A$2:$B$8,MATCH(WEEKDAY('RAC V@r Total'!A363,3),'Master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H363" s="112" t="n">
        <v>0</v>
      </c>
      <c r="I363" s="112" t="n">
        <v>0</v>
      </c>
      <c r="J363" s="112" t="n">
        <v>0</v>
      </c>
      <c r="K363" s="112" t="n">
        <v>0</v>
      </c>
      <c r="L363" s="112" t="n">
        <v>0</v>
      </c>
      <c r="M363" s="112" t="n">
        <v>0</v>
      </c>
      <c r="N363" s="112" t="n">
        <v>0</v>
      </c>
      <c r="P363" s="112" t="n">
        <f aca="false">ABS(D363)/$P$3</f>
        <v>0</v>
      </c>
      <c r="Q363" s="112" t="n">
        <f aca="false">ABS(E363)/$P$3</f>
        <v>0</v>
      </c>
      <c r="R363" s="112" t="n">
        <f aca="false">ABS(F363)/$P$3</f>
        <v>0</v>
      </c>
      <c r="S363" s="112" t="n">
        <f aca="false">ABS(G363)/$P$3</f>
        <v>0</v>
      </c>
      <c r="T363" s="112" t="n">
        <f aca="false">ABS(H363)/$P$3</f>
        <v>0</v>
      </c>
      <c r="U363" s="112" t="n">
        <f aca="false">ABS(I363)/$P$3</f>
        <v>0</v>
      </c>
      <c r="V363" s="112" t="n">
        <f aca="false">ABS(J363)/$P$3</f>
        <v>0</v>
      </c>
      <c r="W363" s="112" t="n">
        <f aca="false">ABS(K363)/$P$3</f>
        <v>0</v>
      </c>
      <c r="X363" s="112" t="n">
        <f aca="false">ABS(L363)/$P$3</f>
        <v>0</v>
      </c>
      <c r="Y363" s="112" t="n">
        <f aca="false">ABS(M363)/$P$3</f>
        <v>0</v>
      </c>
      <c r="Z363" s="112" t="n">
        <f aca="false">ABS(N363)/$P$3</f>
        <v>0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Data'!$A$2:$B$8,MATCH(WEEKDAY('RAC V@r Total'!A364,3),'Master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H364" s="112" t="n">
        <v>0</v>
      </c>
      <c r="I364" s="112" t="n">
        <v>0</v>
      </c>
      <c r="J364" s="112" t="n">
        <v>0</v>
      </c>
      <c r="K364" s="112" t="n">
        <v>0</v>
      </c>
      <c r="L364" s="112" t="n">
        <v>0</v>
      </c>
      <c r="M364" s="112" t="n">
        <v>0</v>
      </c>
      <c r="N364" s="112" t="n">
        <v>0</v>
      </c>
      <c r="P364" s="112" t="n">
        <f aca="false">ABS(D364)/$P$3</f>
        <v>0</v>
      </c>
      <c r="Q364" s="112" t="n">
        <f aca="false">ABS(E364)/$P$3</f>
        <v>0</v>
      </c>
      <c r="R364" s="112" t="n">
        <f aca="false">ABS(F364)/$P$3</f>
        <v>0</v>
      </c>
      <c r="S364" s="112" t="n">
        <f aca="false">ABS(G364)/$P$3</f>
        <v>0</v>
      </c>
      <c r="T364" s="112" t="n">
        <f aca="false">ABS(H364)/$P$3</f>
        <v>0</v>
      </c>
      <c r="U364" s="112" t="n">
        <f aca="false">ABS(I364)/$P$3</f>
        <v>0</v>
      </c>
      <c r="V364" s="112" t="n">
        <f aca="false">ABS(J364)/$P$3</f>
        <v>0</v>
      </c>
      <c r="W364" s="112" t="n">
        <f aca="false">ABS(K364)/$P$3</f>
        <v>0</v>
      </c>
      <c r="X364" s="112" t="n">
        <f aca="false">ABS(L364)/$P$3</f>
        <v>0</v>
      </c>
      <c r="Y364" s="112" t="n">
        <f aca="false">ABS(M364)/$P$3</f>
        <v>0</v>
      </c>
      <c r="Z364" s="112" t="n">
        <f aca="false">ABS(N364)/$P$3</f>
        <v>0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Data'!$A$2:$B$8,MATCH(WEEKDAY('RAC V@r Total'!A365,3),'Master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H365" s="112" t="n">
        <v>0</v>
      </c>
      <c r="I365" s="112" t="n">
        <v>0</v>
      </c>
      <c r="J365" s="112" t="n">
        <v>0</v>
      </c>
      <c r="K365" s="112" t="n">
        <v>0</v>
      </c>
      <c r="L365" s="112" t="n">
        <v>0</v>
      </c>
      <c r="M365" s="112" t="n">
        <v>0</v>
      </c>
      <c r="N365" s="112" t="n">
        <v>0</v>
      </c>
      <c r="P365" s="112" t="n">
        <f aca="false">ABS(D365)/$P$3</f>
        <v>0</v>
      </c>
      <c r="Q365" s="112" t="n">
        <f aca="false">ABS(E365)/$P$3</f>
        <v>0</v>
      </c>
      <c r="R365" s="112" t="n">
        <f aca="false">ABS(F365)/$P$3</f>
        <v>0</v>
      </c>
      <c r="S365" s="112" t="n">
        <f aca="false">ABS(G365)/$P$3</f>
        <v>0</v>
      </c>
      <c r="T365" s="112" t="n">
        <f aca="false">ABS(H365)/$P$3</f>
        <v>0</v>
      </c>
      <c r="U365" s="112" t="n">
        <f aca="false">ABS(I365)/$P$3</f>
        <v>0</v>
      </c>
      <c r="V365" s="112" t="n">
        <f aca="false">ABS(J365)/$P$3</f>
        <v>0</v>
      </c>
      <c r="W365" s="112" t="n">
        <f aca="false">ABS(K365)/$P$3</f>
        <v>0</v>
      </c>
      <c r="X365" s="112" t="n">
        <f aca="false">ABS(L365)/$P$3</f>
        <v>0</v>
      </c>
      <c r="Y365" s="112" t="n">
        <f aca="false">ABS(M365)/$P$3</f>
        <v>0</v>
      </c>
      <c r="Z365" s="112" t="n">
        <f aca="false">ABS(N365)/$P$3</f>
        <v>0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Data'!$A$2:$B$8,MATCH(WEEKDAY('RAC V@r Total'!A366,3),'Master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H366" s="112" t="n">
        <v>0</v>
      </c>
      <c r="I366" s="112" t="n">
        <v>0</v>
      </c>
      <c r="J366" s="112" t="n">
        <v>0</v>
      </c>
      <c r="K366" s="112" t="n">
        <v>0</v>
      </c>
      <c r="L366" s="112" t="n">
        <v>0</v>
      </c>
      <c r="M366" s="112" t="n">
        <v>0</v>
      </c>
      <c r="N366" s="112" t="n">
        <v>0</v>
      </c>
      <c r="P366" s="112" t="n">
        <f aca="false">ABS(D366)/$P$3</f>
        <v>0</v>
      </c>
      <c r="Q366" s="112" t="n">
        <f aca="false">ABS(E366)/$P$3</f>
        <v>0</v>
      </c>
      <c r="R366" s="112" t="n">
        <f aca="false">ABS(F366)/$P$3</f>
        <v>0</v>
      </c>
      <c r="S366" s="112" t="n">
        <f aca="false">ABS(G366)/$P$3</f>
        <v>0</v>
      </c>
      <c r="T366" s="112" t="n">
        <f aca="false">ABS(H366)/$P$3</f>
        <v>0</v>
      </c>
      <c r="U366" s="112" t="n">
        <f aca="false">ABS(I366)/$P$3</f>
        <v>0</v>
      </c>
      <c r="V366" s="112" t="n">
        <f aca="false">ABS(J366)/$P$3</f>
        <v>0</v>
      </c>
      <c r="W366" s="112" t="n">
        <f aca="false">ABS(K366)/$P$3</f>
        <v>0</v>
      </c>
      <c r="X366" s="112" t="n">
        <f aca="false">ABS(L366)/$P$3</f>
        <v>0</v>
      </c>
      <c r="Y366" s="112" t="n">
        <f aca="false">ABS(M366)/$P$3</f>
        <v>0</v>
      </c>
      <c r="Z366" s="112" t="n">
        <f aca="false">ABS(N366)/$P$3</f>
        <v>0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Data'!$A$2:$B$8,MATCH(WEEKDAY('RAC V@r Total'!A367,3),'Master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H367" s="112" t="n">
        <v>0</v>
      </c>
      <c r="I367" s="112" t="n">
        <v>0</v>
      </c>
      <c r="J367" s="112" t="n">
        <v>0</v>
      </c>
      <c r="K367" s="112" t="n">
        <v>0</v>
      </c>
      <c r="L367" s="112" t="n">
        <v>0</v>
      </c>
      <c r="M367" s="112" t="n">
        <v>0</v>
      </c>
      <c r="N367" s="112" t="n">
        <v>0</v>
      </c>
      <c r="P367" s="112" t="n">
        <f aca="false">ABS(D367)/$P$3</f>
        <v>0</v>
      </c>
      <c r="Q367" s="112" t="n">
        <f aca="false">ABS(E367)/$P$3</f>
        <v>0</v>
      </c>
      <c r="R367" s="112" t="n">
        <f aca="false">ABS(F367)/$P$3</f>
        <v>0</v>
      </c>
      <c r="S367" s="112" t="n">
        <f aca="false">ABS(G367)/$P$3</f>
        <v>0</v>
      </c>
      <c r="T367" s="112" t="n">
        <f aca="false">ABS(H367)/$P$3</f>
        <v>0</v>
      </c>
      <c r="U367" s="112" t="n">
        <f aca="false">ABS(I367)/$P$3</f>
        <v>0</v>
      </c>
      <c r="V367" s="112" t="n">
        <f aca="false">ABS(J367)/$P$3</f>
        <v>0</v>
      </c>
      <c r="W367" s="112" t="n">
        <f aca="false">ABS(K367)/$P$3</f>
        <v>0</v>
      </c>
      <c r="X367" s="112" t="n">
        <f aca="false">ABS(L367)/$P$3</f>
        <v>0</v>
      </c>
      <c r="Y367" s="112" t="n">
        <f aca="false">ABS(M367)/$P$3</f>
        <v>0</v>
      </c>
      <c r="Z367" s="112" t="n">
        <f aca="false">ABS(N367)/$P$3</f>
        <v>0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Data'!$A$2:$B$8,MATCH(WEEKDAY('RAC V@r Total'!A368,3),'Master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H368" s="112" t="n">
        <v>0</v>
      </c>
      <c r="I368" s="112" t="n">
        <v>0</v>
      </c>
      <c r="J368" s="112" t="n">
        <v>0</v>
      </c>
      <c r="K368" s="112" t="n">
        <v>0</v>
      </c>
      <c r="L368" s="112" t="n">
        <v>0</v>
      </c>
      <c r="M368" s="112" t="n">
        <v>0</v>
      </c>
      <c r="N368" s="112" t="n">
        <v>0</v>
      </c>
      <c r="P368" s="112" t="n">
        <f aca="false">ABS(D368)/$P$3</f>
        <v>0</v>
      </c>
      <c r="Q368" s="112" t="n">
        <f aca="false">ABS(E368)/$P$3</f>
        <v>0</v>
      </c>
      <c r="R368" s="112" t="n">
        <f aca="false">ABS(F368)/$P$3</f>
        <v>0</v>
      </c>
      <c r="S368" s="112" t="n">
        <f aca="false">ABS(G368)/$P$3</f>
        <v>0</v>
      </c>
      <c r="T368" s="112" t="n">
        <f aca="false">ABS(H368)/$P$3</f>
        <v>0</v>
      </c>
      <c r="U368" s="112" t="n">
        <f aca="false">ABS(I368)/$P$3</f>
        <v>0</v>
      </c>
      <c r="V368" s="112" t="n">
        <f aca="false">ABS(J368)/$P$3</f>
        <v>0</v>
      </c>
      <c r="W368" s="112" t="n">
        <f aca="false">ABS(K368)/$P$3</f>
        <v>0</v>
      </c>
      <c r="X368" s="112" t="n">
        <f aca="false">ABS(L368)/$P$3</f>
        <v>0</v>
      </c>
      <c r="Y368" s="112" t="n">
        <f aca="false">ABS(M368)/$P$3</f>
        <v>0</v>
      </c>
      <c r="Z368" s="112" t="n">
        <f aca="false">ABS(N368)/$P$3</f>
        <v>0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Data'!$A$2:$B$8,MATCH(WEEKDAY('RAC V@r Total'!A369,3),'Master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H369" s="112" t="n">
        <v>0</v>
      </c>
      <c r="I369" s="112" t="n">
        <v>0</v>
      </c>
      <c r="J369" s="112" t="n">
        <v>0</v>
      </c>
      <c r="K369" s="112" t="n">
        <v>0</v>
      </c>
      <c r="L369" s="112" t="n">
        <v>0</v>
      </c>
      <c r="M369" s="112" t="n">
        <v>0</v>
      </c>
      <c r="N369" s="112" t="n">
        <v>0</v>
      </c>
      <c r="P369" s="112" t="n">
        <f aca="false">ABS(D369)/$P$3</f>
        <v>0</v>
      </c>
      <c r="Q369" s="112" t="n">
        <f aca="false">ABS(E369)/$P$3</f>
        <v>0</v>
      </c>
      <c r="R369" s="112" t="n">
        <f aca="false">ABS(F369)/$P$3</f>
        <v>0</v>
      </c>
      <c r="S369" s="112" t="n">
        <f aca="false">ABS(G369)/$P$3</f>
        <v>0</v>
      </c>
      <c r="T369" s="112" t="n">
        <f aca="false">ABS(H369)/$P$3</f>
        <v>0</v>
      </c>
      <c r="U369" s="112" t="n">
        <f aca="false">ABS(I369)/$P$3</f>
        <v>0</v>
      </c>
      <c r="V369" s="112" t="n">
        <f aca="false">ABS(J369)/$P$3</f>
        <v>0</v>
      </c>
      <c r="W369" s="112" t="n">
        <f aca="false">ABS(K369)/$P$3</f>
        <v>0</v>
      </c>
      <c r="X369" s="112" t="n">
        <f aca="false">ABS(L369)/$P$3</f>
        <v>0</v>
      </c>
      <c r="Y369" s="112" t="n">
        <f aca="false">ABS(M369)/$P$3</f>
        <v>0</v>
      </c>
      <c r="Z369" s="112" t="n">
        <f aca="false">ABS(N369)/$P$3</f>
        <v>0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Data'!$A$2:$B$8,MATCH(WEEKDAY('RAC V@r Total'!A370,3),'Master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H370" s="112" t="n">
        <v>0</v>
      </c>
      <c r="I370" s="112" t="n">
        <v>0</v>
      </c>
      <c r="J370" s="112" t="n">
        <v>0</v>
      </c>
      <c r="K370" s="112" t="n">
        <v>0</v>
      </c>
      <c r="L370" s="112" t="n">
        <v>0</v>
      </c>
      <c r="M370" s="112" t="n">
        <v>0</v>
      </c>
      <c r="N370" s="112" t="n">
        <v>0</v>
      </c>
      <c r="P370" s="112" t="n">
        <f aca="false">ABS(D370)/$P$3</f>
        <v>0</v>
      </c>
      <c r="Q370" s="112" t="n">
        <f aca="false">ABS(E370)/$P$3</f>
        <v>0</v>
      </c>
      <c r="R370" s="112" t="n">
        <f aca="false">ABS(F370)/$P$3</f>
        <v>0</v>
      </c>
      <c r="S370" s="112" t="n">
        <f aca="false">ABS(G370)/$P$3</f>
        <v>0</v>
      </c>
      <c r="T370" s="112" t="n">
        <f aca="false">ABS(H370)/$P$3</f>
        <v>0</v>
      </c>
      <c r="U370" s="112" t="n">
        <f aca="false">ABS(I370)/$P$3</f>
        <v>0</v>
      </c>
      <c r="V370" s="112" t="n">
        <f aca="false">ABS(J370)/$P$3</f>
        <v>0</v>
      </c>
      <c r="W370" s="112" t="n">
        <f aca="false">ABS(K370)/$P$3</f>
        <v>0</v>
      </c>
      <c r="X370" s="112" t="n">
        <f aca="false">ABS(L370)/$P$3</f>
        <v>0</v>
      </c>
      <c r="Y370" s="112" t="n">
        <f aca="false">ABS(M370)/$P$3</f>
        <v>0</v>
      </c>
      <c r="Z370" s="112" t="n">
        <f aca="false">ABS(N370)/$P$3</f>
        <v>0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Data'!$A$2:$B$8,MATCH(WEEKDAY('RAC V@r Total'!A371,3),'Master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H371" s="112" t="n">
        <v>0</v>
      </c>
      <c r="I371" s="112" t="n">
        <v>0</v>
      </c>
      <c r="J371" s="112" t="n">
        <v>0</v>
      </c>
      <c r="K371" s="112" t="n">
        <v>0</v>
      </c>
      <c r="L371" s="112" t="n">
        <v>0</v>
      </c>
      <c r="M371" s="112" t="n">
        <v>0</v>
      </c>
      <c r="N371" s="112" t="n">
        <v>0</v>
      </c>
      <c r="P371" s="112" t="n">
        <f aca="false">ABS(D371)/$P$3</f>
        <v>0</v>
      </c>
      <c r="Q371" s="112" t="n">
        <f aca="false">ABS(E371)/$P$3</f>
        <v>0</v>
      </c>
      <c r="R371" s="112" t="n">
        <f aca="false">ABS(F371)/$P$3</f>
        <v>0</v>
      </c>
      <c r="S371" s="112" t="n">
        <f aca="false">ABS(G371)/$P$3</f>
        <v>0</v>
      </c>
      <c r="T371" s="112" t="n">
        <f aca="false">ABS(H371)/$P$3</f>
        <v>0</v>
      </c>
      <c r="U371" s="112" t="n">
        <f aca="false">ABS(I371)/$P$3</f>
        <v>0</v>
      </c>
      <c r="V371" s="112" t="n">
        <f aca="false">ABS(J371)/$P$3</f>
        <v>0</v>
      </c>
      <c r="W371" s="112" t="n">
        <f aca="false">ABS(K371)/$P$3</f>
        <v>0</v>
      </c>
      <c r="X371" s="112" t="n">
        <f aca="false">ABS(L371)/$P$3</f>
        <v>0</v>
      </c>
      <c r="Y371" s="112" t="n">
        <f aca="false">ABS(M371)/$P$3</f>
        <v>0</v>
      </c>
      <c r="Z371" s="112" t="n">
        <f aca="false">ABS(N371)/$P$3</f>
        <v>0</v>
      </c>
    </row>
    <row r="372" customFormat="false" ht="12.75" hidden="false" customHeight="false" outlineLevel="0" collapsed="false"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0</v>
      </c>
      <c r="P3" s="112" t="n">
        <v>1000000</v>
      </c>
      <c r="Q3" s="112"/>
      <c r="R3" s="112" t="n">
        <v>1000</v>
      </c>
      <c r="S3" s="109"/>
      <c r="T3" s="118" t="n">
        <f aca="false">SUM(T6:T371)</f>
        <v>0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" hidden="false" customHeight="tru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Data'!$A$2:$B$8,MATCH(WEEKDAY('SC Total Gas'!A6,3),'Master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Data'!$A$2:$B$8,MATCH(WEEKDAY('SC Total Gas'!A7,3),'Master Data'!$A$2:$A$8,0),2)</f>
        <v>T</v>
      </c>
      <c r="D7" s="112" t="n">
        <v>0</v>
      </c>
      <c r="E7" s="112" t="n">
        <v>4271182.71089207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4.27118271089207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Data'!$A$2:$B$8,MATCH(WEEKDAY('SC Total Gas'!A8,3),'Master Data'!$A$2:$A$8,0),2)</f>
        <v>W</v>
      </c>
      <c r="D8" s="112" t="n">
        <v>0</v>
      </c>
      <c r="E8" s="112" t="n">
        <v>4256087.65870311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4.25608765870311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Data'!$A$2:$B$8,MATCH(WEEKDAY('SC Total Gas'!A9,3),'Master Data'!$A$2:$A$8,0),2)</f>
        <v>Th</v>
      </c>
      <c r="D9" s="112" t="n">
        <v>0</v>
      </c>
      <c r="E9" s="112" t="n">
        <v>4281490.18640119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4.28149018640119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Data'!$A$2:$B$8,MATCH(WEEKDAY('SC Total Gas'!A10,3),'Master Data'!$A$2:$A$8,0),2)</f>
        <v>F</v>
      </c>
      <c r="D10" s="112" t="n">
        <v>0</v>
      </c>
      <c r="E10" s="112" t="n">
        <v>4066137.04619216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4.06613704619216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Data'!$A$2:$B$8,MATCH(WEEKDAY('SC Total Gas'!A11,3),'Master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Data'!$A$2:$B$8,MATCH(WEEKDAY('SC Total Gas'!A12,3),'Master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Data'!$A$2:$B$8,MATCH(WEEKDAY('SC Total Gas'!A13,3),'Master Data'!$A$2:$A$8,0),2)</f>
        <v>M</v>
      </c>
      <c r="D13" s="112" t="n">
        <v>0</v>
      </c>
      <c r="E13" s="112" t="n">
        <v>4104421.54084903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4.10442154084903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Data'!$A$2:$B$8,MATCH(WEEKDAY('SC Total Gas'!A14,3),'Master Data'!$A$2:$A$8,0),2)</f>
        <v>T</v>
      </c>
      <c r="D14" s="112" t="n">
        <v>0</v>
      </c>
      <c r="E14" s="112" t="n">
        <v>4090228.12737347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4.09022812737347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Data'!$A$2:$B$8,MATCH(WEEKDAY('SC Total Gas'!A15,3),'Master Data'!$A$2:$A$8,0),2)</f>
        <v>W</v>
      </c>
      <c r="D15" s="112" t="n">
        <v>0</v>
      </c>
      <c r="E15" s="112" t="n">
        <v>4069082.74399359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4.06908274399359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Data'!$A$2:$B$8,MATCH(WEEKDAY('SC Total Gas'!A16,3),'Master Data'!$A$2:$A$8,0),2)</f>
        <v>Th</v>
      </c>
      <c r="D16" s="112" t="n">
        <v>0</v>
      </c>
      <c r="E16" s="112" t="n">
        <v>4069721.66879597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4.06972166879597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Data'!$A$2:$B$8,MATCH(WEEKDAY('SC Total Gas'!A17,3),'Master Data'!$A$2:$A$8,0),2)</f>
        <v>F</v>
      </c>
      <c r="D17" s="112" t="n">
        <v>0</v>
      </c>
      <c r="E17" s="112" t="n">
        <v>4051666.57456439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4.05166657456439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Data'!$A$2:$B$8,MATCH(WEEKDAY('SC Total Gas'!A18,3),'Master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Data'!$A$2:$B$8,MATCH(WEEKDAY('SC Total Gas'!A19,3),'Master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Data'!$A$2:$B$8,MATCH(WEEKDAY('SC Total Gas'!A20,3),'Master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Data'!$A$2:$B$8,MATCH(WEEKDAY('SC Total Gas'!A21,3),'Master Data'!$A$2:$A$8,0),2)</f>
        <v>T</v>
      </c>
      <c r="D21" s="112" t="n">
        <v>0</v>
      </c>
      <c r="E21" s="112" t="n">
        <v>4072764.93727928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4.07276493727928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Data'!$A$2:$B$8,MATCH(WEEKDAY('SC Total Gas'!A22,3),'Master Data'!$A$2:$A$8,0),2)</f>
        <v>W</v>
      </c>
      <c r="D22" s="112" t="n">
        <v>0</v>
      </c>
      <c r="E22" s="112" t="n">
        <v>4091356.51987023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4.09135651987023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Data'!$A$2:$B$8,MATCH(WEEKDAY('SC Total Gas'!A23,3),'Master Data'!$A$2:$A$8,0),2)</f>
        <v>Th</v>
      </c>
      <c r="D23" s="112" t="n">
        <v>0</v>
      </c>
      <c r="E23" s="112" t="n">
        <v>4097458.47927387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4.09745847927387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Data'!$A$2:$B$8,MATCH(WEEKDAY('SC Total Gas'!A24,3),'Master Data'!$A$2:$A$8,0),2)</f>
        <v>F</v>
      </c>
      <c r="D24" s="112" t="n">
        <v>0</v>
      </c>
      <c r="E24" s="112" t="n">
        <v>4113285.56861446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4.11328556861446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Data'!$A$2:$B$8,MATCH(WEEKDAY('SC Total Gas'!A25,3),'Master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Data'!$A$2:$B$8,MATCH(WEEKDAY('SC Total Gas'!A26,3),'Master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Data'!$A$2:$B$8,MATCH(WEEKDAY('SC Total Gas'!A27,3),'Master Data'!$A$2:$A$8,0),2)</f>
        <v>M</v>
      </c>
      <c r="D27" s="112" t="n">
        <v>0</v>
      </c>
      <c r="E27" s="112" t="n">
        <v>4125962.6484395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4.1259626484395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Data'!$A$2:$B$8,MATCH(WEEKDAY('SC Total Gas'!A28,3),'Master Data'!$A$2:$A$8,0),2)</f>
        <v>T</v>
      </c>
      <c r="D28" s="112" t="n">
        <v>0</v>
      </c>
      <c r="E28" s="112" t="n">
        <v>4118749.90477405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4.11874990477405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Data'!$A$2:$B$8,MATCH(WEEKDAY('SC Total Gas'!A29,3),'Master Data'!$A$2:$A$8,0),2)</f>
        <v>W</v>
      </c>
      <c r="D29" s="112" t="n">
        <v>0</v>
      </c>
      <c r="E29" s="112" t="n">
        <v>4121149.67945708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4.12114967945708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Data'!$A$2:$B$8,MATCH(WEEKDAY('SC Total Gas'!A30,3),'Master Data'!$A$2:$A$8,0),2)</f>
        <v>Th</v>
      </c>
      <c r="D30" s="112" t="n">
        <v>0</v>
      </c>
      <c r="E30" s="112" t="n">
        <v>4130162.98160879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4.13016298160879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Data'!$A$2:$B$8,MATCH(WEEKDAY('SC Total Gas'!A31,3),'Master Data'!$A$2:$A$8,0),2)</f>
        <v>F</v>
      </c>
      <c r="D31" s="112" t="n">
        <v>0</v>
      </c>
      <c r="E31" s="112" t="n">
        <v>4140989.74140363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4.14098974140363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Data'!$A$2:$B$8,MATCH(WEEKDAY('SC Total Gas'!A32,3),'Master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Data'!$A$2:$B$8,MATCH(WEEKDAY('SC Total Gas'!A33,3),'Master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Data'!$A$2:$B$8,MATCH(WEEKDAY('SC Total Gas'!A34,3),'Master Data'!$A$2:$A$8,0),2)</f>
        <v>M</v>
      </c>
      <c r="D34" s="112" t="n">
        <v>0</v>
      </c>
      <c r="E34" s="112" t="n">
        <v>4160788.11198303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4.16078811198303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Data'!$A$2:$B$8,MATCH(WEEKDAY('SC Total Gas'!A35,3),'Master Data'!$A$2:$A$8,0),2)</f>
        <v>T</v>
      </c>
      <c r="D35" s="112" t="n">
        <v>0</v>
      </c>
      <c r="E35" s="112" t="n">
        <v>4181140.02510727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4.18114002510728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Data'!$A$2:$B$8,MATCH(WEEKDAY('SC Total Gas'!A36,3),'Master Data'!$A$2:$A$8,0),2)</f>
        <v>W</v>
      </c>
      <c r="D36" s="112" t="n">
        <v>0</v>
      </c>
      <c r="E36" s="112" t="n">
        <v>4207043.91070359</v>
      </c>
      <c r="F36" s="112" t="n">
        <v>0</v>
      </c>
      <c r="G36" s="112" t="n">
        <v>0</v>
      </c>
      <c r="I36" s="112" t="n">
        <f aca="false">IF(MONTH($A36)=MONTH($A35),IF(G36=0,I35,G36),0)</f>
        <v>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0</v>
      </c>
      <c r="N36" s="112" t="n">
        <f aca="false">SUM(J$6:J36)</f>
        <v>0</v>
      </c>
      <c r="P36" s="112" t="n">
        <f aca="false">D36/P$3</f>
        <v>0</v>
      </c>
      <c r="Q36" s="112" t="n">
        <f aca="false">E36/P$3</f>
        <v>4.20704391070359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</v>
      </c>
      <c r="V36" s="114" t="n">
        <f aca="false">M36/$R$3</f>
        <v>0</v>
      </c>
      <c r="W36" s="114" t="n">
        <f aca="false">N36/$R$3</f>
        <v>0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Data'!$A$2:$B$8,MATCH(WEEKDAY('SC Total Gas'!A37,3),'Master Data'!$A$2:$A$8,0),2)</f>
        <v>Th</v>
      </c>
      <c r="D37" s="112" t="n">
        <v>0</v>
      </c>
      <c r="E37" s="112" t="n">
        <v>4220946.70231905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0</v>
      </c>
      <c r="N37" s="112" t="n">
        <f aca="false">SUM(J$6:J37)</f>
        <v>0</v>
      </c>
      <c r="P37" s="112" t="n">
        <f aca="false">D37/P$3</f>
        <v>0</v>
      </c>
      <c r="Q37" s="112" t="n">
        <f aca="false">E37/P$3</f>
        <v>4.22094670231904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0</v>
      </c>
      <c r="W37" s="114" t="n">
        <f aca="false">N37/$R$3</f>
        <v>0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Data'!$A$2:$B$8,MATCH(WEEKDAY('SC Total Gas'!A38,3),'Master Data'!$A$2:$A$8,0),2)</f>
        <v>F</v>
      </c>
      <c r="D38" s="112" t="n">
        <v>0</v>
      </c>
      <c r="E38" s="112" t="n">
        <v>4206744.25968275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0</v>
      </c>
      <c r="N38" s="112" t="n">
        <f aca="false">SUM(J$6:J38)</f>
        <v>0</v>
      </c>
      <c r="P38" s="112" t="n">
        <f aca="false">D38/P$3</f>
        <v>0</v>
      </c>
      <c r="Q38" s="112" t="n">
        <f aca="false">E38/P$3</f>
        <v>4.20674425968275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0</v>
      </c>
      <c r="W38" s="114" t="n">
        <f aca="false">N38/$R$3</f>
        <v>0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Data'!$A$2:$B$8,MATCH(WEEKDAY('SC Total Gas'!A39,3),'Master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0</v>
      </c>
      <c r="N39" s="112" t="n">
        <f aca="false">SUM(J$6:J39)</f>
        <v>0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0</v>
      </c>
      <c r="W39" s="114" t="n">
        <f aca="false">N39/$R$3</f>
        <v>0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Data'!$A$2:$B$8,MATCH(WEEKDAY('SC Total Gas'!A40,3),'Master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0</v>
      </c>
      <c r="N40" s="112" t="n">
        <f aca="false">SUM(J$6:J40)</f>
        <v>0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0</v>
      </c>
      <c r="W40" s="114" t="n">
        <f aca="false">N40/$R$3</f>
        <v>0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Data'!$A$2:$B$8,MATCH(WEEKDAY('SC Total Gas'!A41,3),'Master Data'!$A$2:$A$8,0),2)</f>
        <v>M</v>
      </c>
      <c r="D41" s="112" t="n">
        <v>0</v>
      </c>
      <c r="E41" s="112" t="n">
        <v>4223062.84621519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0</v>
      </c>
      <c r="N41" s="112" t="n">
        <f aca="false">SUM(J$6:J41)</f>
        <v>0</v>
      </c>
      <c r="P41" s="112" t="n">
        <f aca="false">D41/P$3</f>
        <v>0</v>
      </c>
      <c r="Q41" s="112" t="n">
        <f aca="false">E41/P$3</f>
        <v>4.22306284621519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0</v>
      </c>
      <c r="W41" s="114" t="n">
        <f aca="false">N41/$R$3</f>
        <v>0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Data'!$A$2:$B$8,MATCH(WEEKDAY('SC Total Gas'!A42,3),'Master Data'!$A$2:$A$8,0),2)</f>
        <v>T</v>
      </c>
      <c r="D42" s="112" t="n">
        <v>0</v>
      </c>
      <c r="E42" s="112" t="n">
        <v>4220086.69648696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0</v>
      </c>
      <c r="N42" s="112" t="n">
        <f aca="false">SUM(J$6:J42)</f>
        <v>0</v>
      </c>
      <c r="P42" s="112" t="n">
        <f aca="false">D42/P$3</f>
        <v>0</v>
      </c>
      <c r="Q42" s="112" t="n">
        <f aca="false">E42/P$3</f>
        <v>4.22008669648696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0</v>
      </c>
      <c r="W42" s="114" t="n">
        <f aca="false">N42/$R$3</f>
        <v>0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Data'!$A$2:$B$8,MATCH(WEEKDAY('SC Total Gas'!A43,3),'Master Data'!$A$2:$A$8,0),2)</f>
        <v>W</v>
      </c>
      <c r="D43" s="112" t="n">
        <v>0</v>
      </c>
      <c r="E43" s="112" t="n">
        <v>4232151.5073108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0</v>
      </c>
      <c r="N43" s="112" t="n">
        <f aca="false">SUM(J$6:J43)</f>
        <v>0</v>
      </c>
      <c r="P43" s="112" t="n">
        <f aca="false">D43/P$3</f>
        <v>0</v>
      </c>
      <c r="Q43" s="112" t="n">
        <f aca="false">E43/P$3</f>
        <v>4.2321515073108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0</v>
      </c>
      <c r="W43" s="114" t="n">
        <f aca="false">N43/$R$3</f>
        <v>0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Data'!$A$2:$B$8,MATCH(WEEKDAY('SC Total Gas'!A44,3),'Master Data'!$A$2:$A$8,0),2)</f>
        <v>Th</v>
      </c>
      <c r="D44" s="112" t="n">
        <v>0</v>
      </c>
      <c r="E44" s="112" t="n">
        <v>4234213.85988021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0</v>
      </c>
      <c r="N44" s="112" t="n">
        <f aca="false">SUM(J$6:J44)</f>
        <v>0</v>
      </c>
      <c r="P44" s="112" t="n">
        <f aca="false">D44/P$3</f>
        <v>0</v>
      </c>
      <c r="Q44" s="112" t="n">
        <f aca="false">E44/P$3</f>
        <v>4.23421385988021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0</v>
      </c>
      <c r="W44" s="114" t="n">
        <f aca="false">N44/$R$3</f>
        <v>0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Data'!$A$2:$B$8,MATCH(WEEKDAY('SC Total Gas'!A45,3),'Master Data'!$A$2:$A$8,0),2)</f>
        <v>F</v>
      </c>
      <c r="D45" s="112" t="n">
        <v>0</v>
      </c>
      <c r="E45" s="112" t="n">
        <v>4253125.87494682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0</v>
      </c>
      <c r="N45" s="112" t="n">
        <f aca="false">SUM(J$6:J45)</f>
        <v>0</v>
      </c>
      <c r="P45" s="112" t="n">
        <f aca="false">D45/P$3</f>
        <v>0</v>
      </c>
      <c r="Q45" s="112" t="n">
        <f aca="false">E45/P$3</f>
        <v>4.25312587494682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0</v>
      </c>
      <c r="W45" s="114" t="n">
        <f aca="false">N45/$R$3</f>
        <v>0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Data'!$A$2:$B$8,MATCH(WEEKDAY('SC Total Gas'!A46,3),'Master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0</v>
      </c>
      <c r="N46" s="112" t="n">
        <f aca="false">SUM(J$6:J46)</f>
        <v>0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0</v>
      </c>
      <c r="W46" s="114" t="n">
        <f aca="false">N46/$R$3</f>
        <v>0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Data'!$A$2:$B$8,MATCH(WEEKDAY('SC Total Gas'!A47,3),'Master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0</v>
      </c>
      <c r="N47" s="112" t="n">
        <f aca="false">SUM(J$6:J47)</f>
        <v>0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0</v>
      </c>
      <c r="W47" s="114" t="n">
        <f aca="false">N47/$R$3</f>
        <v>0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Data'!$A$2:$B$8,MATCH(WEEKDAY('SC Total Gas'!A48,3),'Master Data'!$A$2:$A$8,0),2)</f>
        <v>M</v>
      </c>
      <c r="D48" s="112" t="n">
        <v>0</v>
      </c>
      <c r="E48" s="112" t="n">
        <v>4267895.28562596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0</v>
      </c>
      <c r="N48" s="112" t="n">
        <f aca="false">SUM(J$6:J48)</f>
        <v>0</v>
      </c>
      <c r="P48" s="112" t="n">
        <f aca="false">D48/P$3</f>
        <v>0</v>
      </c>
      <c r="Q48" s="112" t="n">
        <f aca="false">E48/P$3</f>
        <v>4.26789528562596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0</v>
      </c>
      <c r="W48" s="114" t="n">
        <f aca="false">N48/$R$3</f>
        <v>0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Data'!$A$2:$B$8,MATCH(WEEKDAY('SC Total Gas'!A49,3),'Master Data'!$A$2:$A$8,0),2)</f>
        <v>T</v>
      </c>
      <c r="D49" s="112" t="n">
        <v>0</v>
      </c>
      <c r="E49" s="112" t="n">
        <v>4265417.83490328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0</v>
      </c>
      <c r="N49" s="112" t="n">
        <f aca="false">SUM(J$6:J49)</f>
        <v>0</v>
      </c>
      <c r="P49" s="112" t="n">
        <f aca="false">D49/P$3</f>
        <v>0</v>
      </c>
      <c r="Q49" s="112" t="n">
        <f aca="false">E49/P$3</f>
        <v>4.26541783490328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0</v>
      </c>
      <c r="W49" s="114" t="n">
        <f aca="false">N49/$R$3</f>
        <v>0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Data'!$A$2:$B$8,MATCH(WEEKDAY('SC Total Gas'!A50,3),'Master Data'!$A$2:$A$8,0),2)</f>
        <v>W</v>
      </c>
      <c r="D50" s="112" t="n">
        <v>0</v>
      </c>
      <c r="E50" s="112" t="n">
        <v>4255654.37749165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0</v>
      </c>
      <c r="N50" s="112" t="n">
        <f aca="false">SUM(J$6:J50)</f>
        <v>0</v>
      </c>
      <c r="P50" s="112" t="n">
        <f aca="false">D50/P$3</f>
        <v>0</v>
      </c>
      <c r="Q50" s="112" t="n">
        <f aca="false">E50/P$3</f>
        <v>4.25565437749165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0</v>
      </c>
      <c r="W50" s="114" t="n">
        <f aca="false">N50/$R$3</f>
        <v>0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Data'!$A$2:$B$8,MATCH(WEEKDAY('SC Total Gas'!A51,3),'Master Data'!$A$2:$A$8,0),2)</f>
        <v>Th</v>
      </c>
      <c r="D51" s="112" t="n">
        <v>0</v>
      </c>
      <c r="E51" s="112" t="n">
        <v>4252505.83690297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0</v>
      </c>
      <c r="N51" s="112" t="n">
        <f aca="false">SUM(J$6:J51)</f>
        <v>0</v>
      </c>
      <c r="P51" s="112" t="n">
        <f aca="false">D51/P$3</f>
        <v>0</v>
      </c>
      <c r="Q51" s="112" t="n">
        <f aca="false">E51/P$3</f>
        <v>4.25250583690297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0</v>
      </c>
      <c r="W51" s="114" t="n">
        <f aca="false">N51/$R$3</f>
        <v>0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Data'!$A$2:$B$8,MATCH(WEEKDAY('SC Total Gas'!A52,3),'Master Data'!$A$2:$A$8,0),2)</f>
        <v>F</v>
      </c>
      <c r="D52" s="112" t="n">
        <v>0</v>
      </c>
      <c r="E52" s="112" t="n">
        <v>4280563.11968616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0</v>
      </c>
      <c r="N52" s="112" t="n">
        <f aca="false">SUM(J$6:J52)</f>
        <v>0</v>
      </c>
      <c r="P52" s="112" t="n">
        <f aca="false">D52/P$3</f>
        <v>0</v>
      </c>
      <c r="Q52" s="112" t="n">
        <f aca="false">E52/P$3</f>
        <v>4.28056311968616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0</v>
      </c>
      <c r="W52" s="114" t="n">
        <f aca="false">N52/$R$3</f>
        <v>0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Data'!$A$2:$B$8,MATCH(WEEKDAY('SC Total Gas'!A53,3),'Master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0</v>
      </c>
      <c r="N53" s="112" t="n">
        <f aca="false">SUM(J$6:J53)</f>
        <v>0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0</v>
      </c>
      <c r="W53" s="114" t="n">
        <f aca="false">N53/$R$3</f>
        <v>0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Data'!$A$2:$B$8,MATCH(WEEKDAY('SC Total Gas'!A54,3),'Master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0</v>
      </c>
      <c r="N54" s="112" t="n">
        <f aca="false">SUM(J$6:J54)</f>
        <v>0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0</v>
      </c>
      <c r="W54" s="114" t="n">
        <f aca="false">N54/$R$3</f>
        <v>0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Data'!$A$2:$B$8,MATCH(WEEKDAY('SC Total Gas'!A55,3),'Master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0</v>
      </c>
      <c r="N55" s="112" t="n">
        <f aca="false">SUM(J$6:J55)</f>
        <v>0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0</v>
      </c>
      <c r="W55" s="114" t="n">
        <f aca="false">N55/$R$3</f>
        <v>0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Data'!$A$2:$B$8,MATCH(WEEKDAY('SC Total Gas'!A56,3),'Master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0</v>
      </c>
      <c r="N56" s="112" t="n">
        <f aca="false">SUM(J$6:J56)</f>
        <v>0</v>
      </c>
      <c r="P56" s="112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0</v>
      </c>
      <c r="W56" s="114" t="n">
        <f aca="false">N56/$R$3</f>
        <v>0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Data'!$A$2:$B$8,MATCH(WEEKDAY('SC Total Gas'!A57,3),'Master Data'!$A$2:$A$8,0),2)</f>
        <v>W</v>
      </c>
      <c r="D57" s="112" t="n">
        <v>0</v>
      </c>
      <c r="E57" s="112" t="n">
        <v>4315262.47546553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0</v>
      </c>
      <c r="N57" s="112" t="n">
        <f aca="false">SUM(J$6:J57)</f>
        <v>0</v>
      </c>
      <c r="P57" s="112" t="n">
        <f aca="false">D57/P$3</f>
        <v>0</v>
      </c>
      <c r="Q57" s="112" t="n">
        <f aca="false">E57/P$3</f>
        <v>4.31526247546553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0</v>
      </c>
      <c r="W57" s="114" t="n">
        <f aca="false">N57/$R$3</f>
        <v>0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Data'!$A$2:$B$8,MATCH(WEEKDAY('SC Total Gas'!A58,3),'Master Data'!$A$2:$A$8,0),2)</f>
        <v>Th</v>
      </c>
      <c r="D58" s="112" t="n">
        <v>0</v>
      </c>
      <c r="E58" s="112" t="n">
        <v>4328870.22249439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0</v>
      </c>
      <c r="N58" s="112" t="n">
        <f aca="false">SUM(J$6:J58)</f>
        <v>0</v>
      </c>
      <c r="P58" s="112" t="n">
        <f aca="false">D58/P$3</f>
        <v>0</v>
      </c>
      <c r="Q58" s="112" t="n">
        <f aca="false">E58/P$3</f>
        <v>4.32887022249439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0</v>
      </c>
      <c r="W58" s="114" t="n">
        <f aca="false">N58/$R$3</f>
        <v>0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Data'!$A$2:$B$8,MATCH(WEEKDAY('SC Total Gas'!A59,3),'Master Data'!$A$2:$A$8,0),2)</f>
        <v>F</v>
      </c>
      <c r="D59" s="112" t="n">
        <v>0</v>
      </c>
      <c r="E59" s="112" t="n">
        <v>4349360.2339676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0</v>
      </c>
      <c r="N59" s="112" t="n">
        <f aca="false">SUM(J$6:J59)</f>
        <v>0</v>
      </c>
      <c r="P59" s="112" t="n">
        <f aca="false">D59/P$3</f>
        <v>0</v>
      </c>
      <c r="Q59" s="112" t="n">
        <f aca="false">E59/P$3</f>
        <v>4.3493602339676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0</v>
      </c>
      <c r="W59" s="114" t="n">
        <f aca="false">N59/$R$3</f>
        <v>0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Data'!$A$2:$B$8,MATCH(WEEKDAY('SC Total Gas'!A60,3),'Master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0</v>
      </c>
      <c r="N60" s="112" t="n">
        <f aca="false">SUM(J$6:J60)</f>
        <v>0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0</v>
      </c>
      <c r="W60" s="114" t="n">
        <f aca="false">N60/$R$3</f>
        <v>0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Data'!$A$2:$B$8,MATCH(WEEKDAY('SC Total Gas'!A61,3),'Master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0</v>
      </c>
      <c r="N61" s="112" t="n">
        <f aca="false">SUM(J$6:J61)</f>
        <v>0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0</v>
      </c>
      <c r="W61" s="114" t="n">
        <f aca="false">N61/$R$3</f>
        <v>0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Data'!$A$2:$B$8,MATCH(WEEKDAY('SC Total Gas'!A62,3),'Master Data'!$A$2:$A$8,0),2)</f>
        <v>M</v>
      </c>
      <c r="D62" s="112" t="n">
        <v>0</v>
      </c>
      <c r="E62" s="112" t="n">
        <v>4373945.26155185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0</v>
      </c>
      <c r="N62" s="112" t="n">
        <f aca="false">SUM(J$6:J62)</f>
        <v>0</v>
      </c>
      <c r="P62" s="112" t="n">
        <f aca="false">D62/P$3</f>
        <v>0</v>
      </c>
      <c r="Q62" s="112" t="n">
        <f aca="false">E62/P$3</f>
        <v>4.37394526155185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0</v>
      </c>
      <c r="W62" s="114" t="n">
        <f aca="false">N62/$R$3</f>
        <v>0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Data'!$A$2:$B$8,MATCH(WEEKDAY('SC Total Gas'!A63,3),'Master Data'!$A$2:$A$8,0),2)</f>
        <v>T</v>
      </c>
      <c r="D63" s="112" t="n">
        <v>0</v>
      </c>
      <c r="E63" s="112" t="n">
        <v>4387443.43217845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0</v>
      </c>
      <c r="N63" s="112" t="n">
        <f aca="false">SUM(J$6:J63)</f>
        <v>0</v>
      </c>
      <c r="P63" s="112" t="n">
        <f aca="false">D63/P$3</f>
        <v>0</v>
      </c>
      <c r="Q63" s="112" t="n">
        <f aca="false">E63/P$3</f>
        <v>4.38744343217845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0</v>
      </c>
      <c r="W63" s="114" t="n">
        <f aca="false">N63/$R$3</f>
        <v>0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Data'!$A$2:$B$8,MATCH(WEEKDAY('SC Total Gas'!A64,3),'Master Data'!$A$2:$A$8,0),2)</f>
        <v>W</v>
      </c>
      <c r="D64" s="112" t="n">
        <v>0</v>
      </c>
      <c r="E64" s="112" t="n">
        <v>4092003.69856658</v>
      </c>
      <c r="F64" s="112" t="n">
        <v>0</v>
      </c>
      <c r="G64" s="112" t="n">
        <v>0</v>
      </c>
      <c r="I64" s="112" t="n">
        <f aca="false">IF(MONTH($A64)=MONTH($A63),IF(G64=0,I63,G64),G64)</f>
        <v>0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0</v>
      </c>
      <c r="N64" s="112" t="n">
        <f aca="false">SUM(J$6:J64)</f>
        <v>0</v>
      </c>
      <c r="P64" s="112" t="n">
        <f aca="false">D64/P$3</f>
        <v>0</v>
      </c>
      <c r="Q64" s="112" t="n">
        <f aca="false">E64/P$3</f>
        <v>4.09200369856658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0</v>
      </c>
      <c r="V64" s="114" t="n">
        <f aca="false">M64/$R$3</f>
        <v>0</v>
      </c>
      <c r="W64" s="114" t="n">
        <f aca="false">N64/$R$3</f>
        <v>0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Data'!$A$2:$B$8,MATCH(WEEKDAY('SC Total Gas'!A65,3),'Master Data'!$A$2:$A$8,0),2)</f>
        <v>Th</v>
      </c>
      <c r="D65" s="112" t="n">
        <v>0</v>
      </c>
      <c r="E65" s="112" t="n">
        <v>4101721.49444746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0</v>
      </c>
      <c r="N65" s="112" t="n">
        <f aca="false">SUM(J$6:J65)</f>
        <v>0</v>
      </c>
      <c r="P65" s="112" t="n">
        <f aca="false">D65/P$3</f>
        <v>0</v>
      </c>
      <c r="Q65" s="112" t="n">
        <f aca="false">E65/P$3</f>
        <v>4.10172149444746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0</v>
      </c>
      <c r="W65" s="114" t="n">
        <f aca="false">N65/$R$3</f>
        <v>0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Data'!$A$2:$B$8,MATCH(WEEKDAY('SC Total Gas'!A66,3),'Master Data'!$A$2:$A$8,0),2)</f>
        <v>F</v>
      </c>
      <c r="D66" s="112" t="n">
        <v>0</v>
      </c>
      <c r="E66" s="112" t="n">
        <v>4097276.83895484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0</v>
      </c>
      <c r="N66" s="112" t="n">
        <f aca="false">SUM(J$6:J66)</f>
        <v>0</v>
      </c>
      <c r="P66" s="112" t="n">
        <f aca="false">D66/P$3</f>
        <v>0</v>
      </c>
      <c r="Q66" s="112" t="n">
        <f aca="false">E66/P$3</f>
        <v>4.09727683895484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0</v>
      </c>
      <c r="W66" s="114" t="n">
        <f aca="false">N66/$R$3</f>
        <v>0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Data'!$A$2:$B$8,MATCH(WEEKDAY('SC Total Gas'!A67,3),'Master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0</v>
      </c>
      <c r="N67" s="112" t="n">
        <f aca="false">SUM(J$6:J67)</f>
        <v>0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0</v>
      </c>
      <c r="W67" s="114" t="n">
        <f aca="false">N67/$R$3</f>
        <v>0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Data'!$A$2:$B$8,MATCH(WEEKDAY('SC Total Gas'!A68,3),'Master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0</v>
      </c>
      <c r="N68" s="112" t="n">
        <f aca="false">SUM(J$6:J68)</f>
        <v>0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0</v>
      </c>
      <c r="W68" s="114" t="n">
        <f aca="false">N68/$R$3</f>
        <v>0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Data'!$A$2:$B$8,MATCH(WEEKDAY('SC Total Gas'!A69,3),'Master Data'!$A$2:$A$8,0),2)</f>
        <v>M</v>
      </c>
      <c r="D69" s="112" t="n">
        <v>0</v>
      </c>
      <c r="E69" s="112" t="n">
        <v>4118371.19921135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0</v>
      </c>
      <c r="N69" s="112" t="n">
        <f aca="false">SUM(J$6:J69)</f>
        <v>0</v>
      </c>
      <c r="P69" s="112" t="n">
        <f aca="false">D69/P$3</f>
        <v>0</v>
      </c>
      <c r="Q69" s="112" t="n">
        <f aca="false">E69/P$3</f>
        <v>4.11837119921135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0</v>
      </c>
      <c r="W69" s="114" t="n">
        <f aca="false">N69/$R$3</f>
        <v>0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Data'!$A$2:$B$8,MATCH(WEEKDAY('SC Total Gas'!A70,3),'Master Data'!$A$2:$A$8,0),2)</f>
        <v>T</v>
      </c>
      <c r="D70" s="112" t="n">
        <v>0</v>
      </c>
      <c r="E70" s="112" t="n">
        <v>3982269.02859573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0</v>
      </c>
      <c r="N70" s="112" t="n">
        <f aca="false">SUM(J$6:J70)</f>
        <v>0</v>
      </c>
      <c r="P70" s="112" t="n">
        <f aca="false">D70/P$3</f>
        <v>0</v>
      </c>
      <c r="Q70" s="112" t="n">
        <f aca="false">E70/P$3</f>
        <v>3.98226902859573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0</v>
      </c>
      <c r="W70" s="114" t="n">
        <f aca="false">N70/$R$3</f>
        <v>0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Data'!$A$2:$B$8,MATCH(WEEKDAY('SC Total Gas'!A71,3),'Master Data'!$A$2:$A$8,0),2)</f>
        <v>W</v>
      </c>
      <c r="D71" s="112" t="n">
        <v>0</v>
      </c>
      <c r="E71" s="112" t="n">
        <v>3987181.23149266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0</v>
      </c>
      <c r="N71" s="112" t="n">
        <f aca="false">SUM(J$6:J71)</f>
        <v>0</v>
      </c>
      <c r="P71" s="112" t="n">
        <f aca="false">D71/P$3</f>
        <v>0</v>
      </c>
      <c r="Q71" s="112" t="n">
        <f aca="false">E71/P$3</f>
        <v>3.98718123149266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0</v>
      </c>
      <c r="W71" s="114" t="n">
        <f aca="false">N71/$R$3</f>
        <v>0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Data'!$A$2:$B$8,MATCH(WEEKDAY('SC Total Gas'!A72,3),'Master Data'!$A$2:$A$8,0),2)</f>
        <v>Th</v>
      </c>
      <c r="D72" s="112" t="n">
        <v>0</v>
      </c>
      <c r="E72" s="112" t="n">
        <v>3999873.44283872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0</v>
      </c>
      <c r="N72" s="112" t="n">
        <f aca="false">SUM(J$6:J72)</f>
        <v>0</v>
      </c>
      <c r="P72" s="112" t="n">
        <f aca="false">D72/P$3</f>
        <v>0</v>
      </c>
      <c r="Q72" s="112" t="n">
        <f aca="false">E72/P$3</f>
        <v>3.99987344283872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0</v>
      </c>
      <c r="W72" s="114" t="n">
        <f aca="false">N72/$R$3</f>
        <v>0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Data'!$A$2:$B$8,MATCH(WEEKDAY('SC Total Gas'!A73,3),'Master Data'!$A$2:$A$8,0),2)</f>
        <v>F</v>
      </c>
      <c r="D73" s="112" t="n">
        <v>0</v>
      </c>
      <c r="E73" s="112" t="n">
        <v>4001346.64138422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0</v>
      </c>
      <c r="N73" s="112" t="n">
        <f aca="false">SUM(J$6:J73)</f>
        <v>0</v>
      </c>
      <c r="P73" s="112" t="n">
        <f aca="false">D73/P$3</f>
        <v>0</v>
      </c>
      <c r="Q73" s="112" t="n">
        <f aca="false">E73/P$3</f>
        <v>4.00134664138423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0</v>
      </c>
      <c r="W73" s="114" t="n">
        <f aca="false">N73/$R$3</f>
        <v>0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Data'!$A$2:$B$8,MATCH(WEEKDAY('SC Total Gas'!A74,3),'Master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0</v>
      </c>
      <c r="N74" s="112" t="n">
        <f aca="false">SUM(J$6:J74)</f>
        <v>0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0</v>
      </c>
      <c r="W74" s="114" t="n">
        <f aca="false">N74/$R$3</f>
        <v>0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Data'!$A$2:$B$8,MATCH(WEEKDAY('SC Total Gas'!A75,3),'Master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0</v>
      </c>
      <c r="N75" s="112" t="n">
        <f aca="false">SUM(J$6:J75)</f>
        <v>0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0</v>
      </c>
      <c r="W75" s="114" t="n">
        <f aca="false">N75/$R$3</f>
        <v>0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Data'!$A$2:$B$8,MATCH(WEEKDAY('SC Total Gas'!A76,3),'Master Data'!$A$2:$A$8,0),2)</f>
        <v>M</v>
      </c>
      <c r="D76" s="112" t="n">
        <v>0</v>
      </c>
      <c r="E76" s="112" t="n">
        <v>4022823.60286967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0</v>
      </c>
      <c r="N76" s="112" t="n">
        <f aca="false">SUM(J$6:J76)</f>
        <v>0</v>
      </c>
      <c r="P76" s="112" t="n">
        <f aca="false">D76/P$3</f>
        <v>0</v>
      </c>
      <c r="Q76" s="112" t="n">
        <f aca="false">E76/P$3</f>
        <v>4.02282360286967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0</v>
      </c>
      <c r="W76" s="114" t="n">
        <f aca="false">N76/$R$3</f>
        <v>0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Data'!$A$2:$B$8,MATCH(WEEKDAY('SC Total Gas'!A77,3),'Master Data'!$A$2:$A$8,0),2)</f>
        <v>T</v>
      </c>
      <c r="D77" s="112" t="n">
        <v>0</v>
      </c>
      <c r="E77" s="112" t="n">
        <v>4032078.24515785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0</v>
      </c>
      <c r="N77" s="112" t="n">
        <f aca="false">SUM(J$6:J77)</f>
        <v>0</v>
      </c>
      <c r="P77" s="112" t="n">
        <f aca="false">D77/P$3</f>
        <v>0</v>
      </c>
      <c r="Q77" s="112" t="n">
        <f aca="false">E77/P$3</f>
        <v>4.03207824515785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0</v>
      </c>
      <c r="W77" s="114" t="n">
        <f aca="false">N77/$R$3</f>
        <v>0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Data'!$A$2:$B$8,MATCH(WEEKDAY('SC Total Gas'!A78,3),'Master Data'!$A$2:$A$8,0),2)</f>
        <v>W</v>
      </c>
      <c r="D78" s="112" t="n">
        <v>0</v>
      </c>
      <c r="E78" s="112" t="n">
        <v>4061887.78473745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0</v>
      </c>
      <c r="N78" s="112" t="n">
        <f aca="false">SUM(J$6:J78)</f>
        <v>0</v>
      </c>
      <c r="P78" s="112" t="n">
        <f aca="false">D78/P$3</f>
        <v>0</v>
      </c>
      <c r="Q78" s="112" t="n">
        <f aca="false">E78/P$3</f>
        <v>4.06188778473745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0</v>
      </c>
      <c r="W78" s="114" t="n">
        <f aca="false">N78/$R$3</f>
        <v>0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Data'!$A$2:$B$8,MATCH(WEEKDAY('SC Total Gas'!A79,3),'Master Data'!$A$2:$A$8,0),2)</f>
        <v>Th</v>
      </c>
      <c r="D79" s="112" t="n">
        <v>0</v>
      </c>
      <c r="E79" s="112" t="n">
        <v>4076114.41804996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0</v>
      </c>
      <c r="N79" s="112" t="n">
        <f aca="false">SUM(J$6:J79)</f>
        <v>0</v>
      </c>
      <c r="P79" s="112" t="n">
        <f aca="false">D79/P$3</f>
        <v>0</v>
      </c>
      <c r="Q79" s="112" t="n">
        <f aca="false">E79/P$3</f>
        <v>4.07611441804996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0</v>
      </c>
      <c r="W79" s="114" t="n">
        <f aca="false">N79/$R$3</f>
        <v>0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Data'!$A$2:$B$8,MATCH(WEEKDAY('SC Total Gas'!A80,3),'Master Data'!$A$2:$A$8,0),2)</f>
        <v>F</v>
      </c>
      <c r="D80" s="112" t="n">
        <v>0</v>
      </c>
      <c r="E80" s="112" t="n">
        <v>4083652.65581465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0</v>
      </c>
      <c r="N80" s="112" t="n">
        <f aca="false">SUM(J$6:J80)</f>
        <v>0</v>
      </c>
      <c r="P80" s="112" t="n">
        <f aca="false">D80/P$3</f>
        <v>0</v>
      </c>
      <c r="Q80" s="112" t="n">
        <f aca="false">E80/P$3</f>
        <v>4.08365265581465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0</v>
      </c>
      <c r="W80" s="114" t="n">
        <f aca="false">N80/$R$3</f>
        <v>0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Data'!$A$2:$B$8,MATCH(WEEKDAY('SC Total Gas'!A81,3),'Master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0</v>
      </c>
      <c r="N81" s="112" t="n">
        <f aca="false">SUM(J$6:J81)</f>
        <v>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0</v>
      </c>
      <c r="W81" s="114" t="n">
        <f aca="false">N81/$R$3</f>
        <v>0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Data'!$A$2:$B$8,MATCH(WEEKDAY('SC Total Gas'!A82,3),'Master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0</v>
      </c>
      <c r="N82" s="112" t="n">
        <f aca="false">SUM(J$6:J82)</f>
        <v>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0</v>
      </c>
      <c r="W82" s="114" t="n">
        <f aca="false">N82/$R$3</f>
        <v>0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Data'!$A$2:$B$8,MATCH(WEEKDAY('SC Total Gas'!A83,3),'Master Data'!$A$2:$A$8,0),2)</f>
        <v>M</v>
      </c>
      <c r="D83" s="112" t="n">
        <v>0</v>
      </c>
      <c r="E83" s="112" t="n">
        <v>4445042.83909446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0</v>
      </c>
      <c r="N83" s="112" t="n">
        <f aca="false">SUM(J$6:J83)</f>
        <v>0</v>
      </c>
      <c r="P83" s="112" t="n">
        <f aca="false">D83/P$3</f>
        <v>0</v>
      </c>
      <c r="Q83" s="112" t="n">
        <f aca="false">E83/P$3</f>
        <v>4.44504283909446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0</v>
      </c>
      <c r="W83" s="114" t="n">
        <f aca="false">N83/$R$3</f>
        <v>0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Data'!$A$2:$B$8,MATCH(WEEKDAY('SC Total Gas'!A84,3),'Master Data'!$A$2:$A$8,0),2)</f>
        <v>T</v>
      </c>
      <c r="D84" s="112" t="n">
        <v>0</v>
      </c>
      <c r="E84" s="112" t="n">
        <v>2069952.20320716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0</v>
      </c>
      <c r="N84" s="112" t="n">
        <f aca="false">SUM(J$6:J84)</f>
        <v>0</v>
      </c>
      <c r="P84" s="112" t="n">
        <f aca="false">D84/P$3</f>
        <v>0</v>
      </c>
      <c r="Q84" s="112" t="n">
        <f aca="false">E84/P$3</f>
        <v>2.06995220320716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0</v>
      </c>
      <c r="W84" s="114" t="n">
        <f aca="false">N84/$R$3</f>
        <v>0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Data'!$A$2:$B$8,MATCH(WEEKDAY('SC Total Gas'!A85,3),'Master Data'!$A$2:$A$8,0),2)</f>
        <v>W</v>
      </c>
      <c r="D85" s="112" t="n">
        <v>0</v>
      </c>
      <c r="E85" s="112" t="n">
        <v>589737.320290716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0</v>
      </c>
      <c r="N85" s="112" t="n">
        <f aca="false">SUM(J$6:J85)</f>
        <v>0</v>
      </c>
      <c r="P85" s="112" t="n">
        <f aca="false">D85/P$3</f>
        <v>0</v>
      </c>
      <c r="Q85" s="112" t="n">
        <f aca="false">E85/P$3</f>
        <v>0.589737320290716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0</v>
      </c>
      <c r="W85" s="114" t="n">
        <f aca="false">N85/$R$3</f>
        <v>0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Data'!$A$2:$B$8,MATCH(WEEKDAY('SC Total Gas'!A86,3),'Master Data'!$A$2:$A$8,0),2)</f>
        <v>Th</v>
      </c>
      <c r="D86" s="112" t="n">
        <v>0</v>
      </c>
      <c r="E86" s="112" t="n">
        <v>589822.004188517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0</v>
      </c>
      <c r="N86" s="112" t="n">
        <f aca="false">SUM(J$6:J86)</f>
        <v>0</v>
      </c>
      <c r="P86" s="112" t="n">
        <f aca="false">D86/P$3</f>
        <v>0</v>
      </c>
      <c r="Q86" s="112" t="n">
        <f aca="false">E86/P$3</f>
        <v>0.589822004188517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0</v>
      </c>
      <c r="W86" s="114" t="n">
        <f aca="false">N86/$R$3</f>
        <v>0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Data'!$A$2:$B$8,MATCH(WEEKDAY('SC Total Gas'!A87,3),'Master Data'!$A$2:$A$8,0),2)</f>
        <v>F</v>
      </c>
      <c r="D87" s="112" t="n">
        <v>0</v>
      </c>
      <c r="E87" s="112" t="n">
        <v>589874.050685641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0</v>
      </c>
      <c r="N87" s="112" t="n">
        <f aca="false">SUM(J$6:J87)</f>
        <v>0</v>
      </c>
      <c r="P87" s="112" t="n">
        <f aca="false">D87/P$3</f>
        <v>0</v>
      </c>
      <c r="Q87" s="112" t="n">
        <f aca="false">E87/P$3</f>
        <v>0.589874050685641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0</v>
      </c>
      <c r="W87" s="114" t="n">
        <f aca="false">N87/$R$3</f>
        <v>0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Data'!$A$2:$B$8,MATCH(WEEKDAY('SC Total Gas'!A88,3),'Master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0</v>
      </c>
      <c r="N88" s="112" t="n">
        <f aca="false">SUM(J$6:J88)</f>
        <v>0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0</v>
      </c>
      <c r="W88" s="114" t="n">
        <f aca="false">N88/$R$3</f>
        <v>0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Data'!$A$2:$B$8,MATCH(WEEKDAY('SC Total Gas'!A89,3),'Master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0</v>
      </c>
      <c r="N89" s="112" t="n">
        <f aca="false">SUM(J$6:J89)</f>
        <v>0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0</v>
      </c>
      <c r="W89" s="114" t="n">
        <f aca="false">N89/$R$3</f>
        <v>0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Data'!$A$2:$B$8,MATCH(WEEKDAY('SC Total Gas'!A90,3),'Master Data'!$A$2:$A$8,0),2)</f>
        <v>M</v>
      </c>
      <c r="D90" s="112" t="n">
        <v>0</v>
      </c>
      <c r="E90" s="112" t="n">
        <v>590099.125013132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0</v>
      </c>
      <c r="N90" s="112" t="n">
        <f aca="false">SUM(J$6:J90)</f>
        <v>0</v>
      </c>
      <c r="P90" s="112" t="n">
        <f aca="false">D90/P$3</f>
        <v>0</v>
      </c>
      <c r="Q90" s="112" t="n">
        <f aca="false">E90/P$3</f>
        <v>0.590099125013132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0</v>
      </c>
      <c r="W90" s="114" t="n">
        <f aca="false">N90/$R$3</f>
        <v>0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Data'!$A$2:$B$8,MATCH(WEEKDAY('SC Total Gas'!A91,3),'Master Data'!$A$2:$A$8,0),2)</f>
        <v>T</v>
      </c>
      <c r="D91" s="112" t="n">
        <v>0</v>
      </c>
      <c r="E91" s="112" t="n">
        <v>590121.130412393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0</v>
      </c>
      <c r="N91" s="112" t="n">
        <f aca="false">SUM(J$6:J91)</f>
        <v>0</v>
      </c>
      <c r="P91" s="112" t="n">
        <f aca="false">D91/P$3</f>
        <v>0</v>
      </c>
      <c r="Q91" s="112" t="n">
        <f aca="false">E91/P$3</f>
        <v>0.590121130412393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0</v>
      </c>
      <c r="W91" s="114" t="n">
        <f aca="false">N91/$R$3</f>
        <v>0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Data'!$A$2:$B$8,MATCH(WEEKDAY('SC Total Gas'!A92,3),'Master Data'!$A$2:$A$8,0),2)</f>
        <v>W</v>
      </c>
      <c r="D92" s="112" t="n">
        <v>0</v>
      </c>
      <c r="E92" s="112" t="n">
        <v>590175.669932549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0</v>
      </c>
      <c r="N92" s="112" t="n">
        <f aca="false">SUM(J$6:J92)</f>
        <v>0</v>
      </c>
      <c r="P92" s="112" t="n">
        <f aca="false">D92/P$3</f>
        <v>0</v>
      </c>
      <c r="Q92" s="112" t="n">
        <f aca="false">E92/P$3</f>
        <v>0.590175669932549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0</v>
      </c>
      <c r="W92" s="114" t="n">
        <f aca="false">N92/$R$3</f>
        <v>0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Data'!$A$2:$B$8,MATCH(WEEKDAY('SC Total Gas'!A93,3),'Master Data'!$A$2:$A$8,0),2)</f>
        <v>Th</v>
      </c>
      <c r="D93" s="112" t="n">
        <v>0</v>
      </c>
      <c r="E93" s="112" t="n">
        <v>590271.866568498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0</v>
      </c>
      <c r="N93" s="112" t="n">
        <f aca="false">SUM(J$6:J93)</f>
        <v>0</v>
      </c>
      <c r="P93" s="112" t="n">
        <f aca="false">D93/P$3</f>
        <v>0</v>
      </c>
      <c r="Q93" s="112" t="n">
        <f aca="false">E93/P$3</f>
        <v>0.590271866568498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0</v>
      </c>
      <c r="W93" s="114" t="n">
        <f aca="false">N93/$R$3</f>
        <v>0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Data'!$A$2:$B$8,MATCH(WEEKDAY('SC Total Gas'!A94,3),'Master Data'!$A$2:$A$8,0),2)</f>
        <v>F</v>
      </c>
      <c r="D94" s="112" t="n">
        <v>0</v>
      </c>
      <c r="E94" s="112" t="n">
        <v>589807.616563885</v>
      </c>
      <c r="F94" s="112" t="n">
        <v>0</v>
      </c>
      <c r="G94" s="112" t="n">
        <v>0</v>
      </c>
      <c r="I94" s="112" t="n">
        <f aca="false">IF(MONTH($A94)=MONTH($A93),IF(G94=0,I93,G94),G94)</f>
        <v>0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0</v>
      </c>
      <c r="N94" s="112" t="n">
        <f aca="false">SUM(J$6:J94)</f>
        <v>0</v>
      </c>
      <c r="P94" s="112" t="n">
        <f aca="false">D94/P$3</f>
        <v>0</v>
      </c>
      <c r="Q94" s="112" t="n">
        <f aca="false">E94/P$3</f>
        <v>0.589807616563885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0</v>
      </c>
      <c r="V94" s="114" t="n">
        <f aca="false">M94/$R$3</f>
        <v>0</v>
      </c>
      <c r="W94" s="114" t="n">
        <f aca="false">N94/$R$3</f>
        <v>0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Data'!$A$2:$B$8,MATCH(WEEKDAY('SC Total Gas'!A95,3),'Master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0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0</v>
      </c>
      <c r="N95" s="112" t="n">
        <f aca="false">SUM(J$6:J95)</f>
        <v>0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0</v>
      </c>
      <c r="V95" s="114" t="n">
        <f aca="false">M95/$R$3</f>
        <v>0</v>
      </c>
      <c r="W95" s="114" t="n">
        <f aca="false">N95/$R$3</f>
        <v>0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Data'!$A$2:$B$8,MATCH(WEEKDAY('SC Total Gas'!A96,3),'Master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0</v>
      </c>
      <c r="N96" s="112" t="n">
        <f aca="false">SUM(J$6:J96)</f>
        <v>0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0</v>
      </c>
      <c r="W96" s="114" t="n">
        <f aca="false">N96/$R$3</f>
        <v>0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Data'!$A$2:$B$8,MATCH(WEEKDAY('SC Total Gas'!A97,3),'Master Data'!$A$2:$A$8,0),2)</f>
        <v>M</v>
      </c>
      <c r="D97" s="112" t="n">
        <v>0</v>
      </c>
      <c r="E97" s="112" t="n">
        <v>590065.057834465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0</v>
      </c>
      <c r="P97" s="112" t="n">
        <f aca="false">D97/P$3</f>
        <v>0</v>
      </c>
      <c r="Q97" s="112" t="n">
        <f aca="false">E97/P$3</f>
        <v>0.590065057834465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0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Data'!$A$2:$B$8,MATCH(WEEKDAY('SC Total Gas'!A98,3),'Master Data'!$A$2:$A$8,0),2)</f>
        <v>T</v>
      </c>
      <c r="D98" s="112" t="n">
        <v>0</v>
      </c>
      <c r="E98" s="112" t="n">
        <v>540691.332672727</v>
      </c>
      <c r="F98" s="112" t="n">
        <v>0</v>
      </c>
      <c r="G98" s="112" t="n">
        <v>0</v>
      </c>
      <c r="I98" s="112" t="n">
        <f aca="false">IF(MONTH($A98)=MONTH($A97),IF(G98=0,I97,G98),G98)</f>
        <v>0</v>
      </c>
      <c r="J98" s="112" t="n">
        <f aca="false">IF(MONTH($A98)=MONTH($A97),SUM(I98-I97),I98)</f>
        <v>0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0</v>
      </c>
      <c r="N98" s="112" t="n">
        <f aca="false">SUM(J$6:J98)</f>
        <v>0</v>
      </c>
      <c r="P98" s="112" t="n">
        <f aca="false">D98/P$3</f>
        <v>0</v>
      </c>
      <c r="Q98" s="112" t="n">
        <f aca="false">E98/P$3</f>
        <v>0.540691332672727</v>
      </c>
      <c r="R98" s="112" t="n">
        <f aca="false">F98/R$3</f>
        <v>0</v>
      </c>
      <c r="S98" s="114" t="n">
        <f aca="false">J98/$R$3</f>
        <v>0</v>
      </c>
      <c r="T98" s="114" t="n">
        <f aca="false">L98/$R$3</f>
        <v>0</v>
      </c>
      <c r="U98" s="114" t="n">
        <f aca="false">I98/$R$3</f>
        <v>0</v>
      </c>
      <c r="V98" s="114" t="n">
        <f aca="false">M98/$R$3</f>
        <v>0</v>
      </c>
      <c r="W98" s="114" t="n">
        <f aca="false">N98/$R$3</f>
        <v>0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Data'!$A$2:$B$8,MATCH(WEEKDAY('SC Total Gas'!A99,3),'Master Data'!$A$2:$A$8,0),2)</f>
        <v>W</v>
      </c>
      <c r="D99" s="112" t="n">
        <v>0</v>
      </c>
      <c r="E99" s="112" t="n">
        <v>540954.426202101</v>
      </c>
      <c r="F99" s="112" t="n">
        <v>0</v>
      </c>
      <c r="G99" s="112" t="n">
        <v>0</v>
      </c>
      <c r="I99" s="112" t="n">
        <f aca="false">IF(MONTH($A99)=MONTH($A98),IF(G99=0,I98,G99),G99)</f>
        <v>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0</v>
      </c>
      <c r="N99" s="112" t="n">
        <f aca="false">SUM(J$6:J99)</f>
        <v>0</v>
      </c>
      <c r="P99" s="112" t="n">
        <f aca="false">D99/P$3</f>
        <v>0</v>
      </c>
      <c r="Q99" s="112" t="n">
        <f aca="false">E99/P$3</f>
        <v>0.540954426202101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0</v>
      </c>
      <c r="V99" s="114" t="n">
        <f aca="false">M99/$R$3</f>
        <v>0</v>
      </c>
      <c r="W99" s="114" t="n">
        <f aca="false">N99/$R$3</f>
        <v>0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Data'!$A$2:$B$8,MATCH(WEEKDAY('SC Total Gas'!A100,3),'Master Data'!$A$2:$A$8,0),2)</f>
        <v>Th</v>
      </c>
      <c r="D100" s="112" t="n">
        <v>0</v>
      </c>
      <c r="E100" s="112" t="n">
        <v>540856.750578492</v>
      </c>
      <c r="F100" s="112" t="n">
        <v>0</v>
      </c>
      <c r="G100" s="112" t="n">
        <v>0</v>
      </c>
      <c r="I100" s="112" t="n">
        <f aca="false">IF(MONTH($A100)=MONTH($A99),IF(G100=0,I99,G100),G100)</f>
        <v>0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0</v>
      </c>
      <c r="N100" s="112" t="n">
        <f aca="false">SUM(J$6:J100)</f>
        <v>0</v>
      </c>
      <c r="P100" s="112" t="n">
        <f aca="false">D100/P$3</f>
        <v>0</v>
      </c>
      <c r="Q100" s="112" t="n">
        <f aca="false">E100/P$3</f>
        <v>0.540856750578492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0</v>
      </c>
      <c r="V100" s="114" t="n">
        <f aca="false">M100/$R$3</f>
        <v>0</v>
      </c>
      <c r="W100" s="114" t="n">
        <f aca="false">N100/$R$3</f>
        <v>0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Data'!$A$2:$B$8,MATCH(WEEKDAY('SC Total Gas'!A101,3),'Master Data'!$A$2:$A$8,0),2)</f>
        <v>F</v>
      </c>
      <c r="D101" s="112" t="n">
        <v>0</v>
      </c>
      <c r="E101" s="112" t="n">
        <v>541152.916136152</v>
      </c>
      <c r="F101" s="112" t="n">
        <v>0</v>
      </c>
      <c r="G101" s="112" t="n">
        <v>0</v>
      </c>
      <c r="I101" s="112" t="n">
        <f aca="false">IF(MONTH($A101)=MONTH($A100),IF(G101=0,I100,G101),G101)</f>
        <v>0</v>
      </c>
      <c r="J101" s="112" t="n">
        <f aca="false">IF(MONTH($A101)=MONTH($A100),SUM(I101-I100),I101)</f>
        <v>0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0</v>
      </c>
      <c r="N101" s="112" t="n">
        <f aca="false">SUM(J$6:J101)</f>
        <v>0</v>
      </c>
      <c r="P101" s="112" t="n">
        <f aca="false">D101/P$3</f>
        <v>0</v>
      </c>
      <c r="Q101" s="112" t="n">
        <f aca="false">E101/P$3</f>
        <v>0.541152916136152</v>
      </c>
      <c r="R101" s="112" t="n">
        <f aca="false">F101/R$3</f>
        <v>0</v>
      </c>
      <c r="S101" s="114" t="n">
        <f aca="false">J101/$R$3</f>
        <v>0</v>
      </c>
      <c r="T101" s="114" t="n">
        <f aca="false">L101/$R$3</f>
        <v>0</v>
      </c>
      <c r="U101" s="114" t="n">
        <f aca="false">I101/$R$3</f>
        <v>0</v>
      </c>
      <c r="V101" s="114" t="n">
        <f aca="false">M101/$R$3</f>
        <v>0</v>
      </c>
      <c r="W101" s="114" t="n">
        <f aca="false">N101/$R$3</f>
        <v>0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Data'!$A$2:$B$8,MATCH(WEEKDAY('SC Total Gas'!A102,3),'Master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0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0</v>
      </c>
      <c r="N102" s="112" t="n">
        <f aca="false">SUM(J$6:J102)</f>
        <v>0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0</v>
      </c>
      <c r="V102" s="114" t="n">
        <f aca="false">M102/$R$3</f>
        <v>0</v>
      </c>
      <c r="W102" s="114" t="n">
        <f aca="false">N102/$R$3</f>
        <v>0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Data'!$A$2:$B$8,MATCH(WEEKDAY('SC Total Gas'!A103,3),'Master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0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0</v>
      </c>
      <c r="N103" s="112" t="n">
        <f aca="false">SUM(J$6:J103)</f>
        <v>0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0</v>
      </c>
      <c r="V103" s="114" t="n">
        <f aca="false">M103/$R$3</f>
        <v>0</v>
      </c>
      <c r="W103" s="114" t="n">
        <f aca="false">N103/$R$3</f>
        <v>0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Data'!$A$2:$B$8,MATCH(WEEKDAY('SC Total Gas'!A104,3),'Master Data'!$A$2:$A$8,0),2)</f>
        <v>M</v>
      </c>
      <c r="D104" s="112" t="n">
        <v>0</v>
      </c>
      <c r="E104" s="112" t="n">
        <v>541421.69193949</v>
      </c>
      <c r="F104" s="112" t="n">
        <v>0</v>
      </c>
      <c r="G104" s="112" t="n">
        <v>0</v>
      </c>
      <c r="I104" s="112" t="n">
        <f aca="false">IF(MONTH($A104)=MONTH($A103),IF(G104=0,I103,G104),G104)</f>
        <v>0</v>
      </c>
      <c r="J104" s="112" t="n">
        <f aca="false">IF(MONTH($A104)=MONTH($A103),SUM(I104-I103),I104)</f>
        <v>0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0</v>
      </c>
      <c r="N104" s="112" t="n">
        <f aca="false">SUM(J$6:J104)</f>
        <v>0</v>
      </c>
      <c r="P104" s="112" t="n">
        <f aca="false">D104/P$3</f>
        <v>0</v>
      </c>
      <c r="Q104" s="112" t="n">
        <f aca="false">E104/P$3</f>
        <v>0.54142169193949</v>
      </c>
      <c r="R104" s="112" t="n">
        <f aca="false">F104/R$3</f>
        <v>0</v>
      </c>
      <c r="S104" s="114" t="n">
        <f aca="false">J104/$R$3</f>
        <v>0</v>
      </c>
      <c r="T104" s="114" t="n">
        <f aca="false">L104/$R$3</f>
        <v>0</v>
      </c>
      <c r="U104" s="114" t="n">
        <f aca="false">I104/$R$3</f>
        <v>0</v>
      </c>
      <c r="V104" s="114" t="n">
        <f aca="false">M104/$R$3</f>
        <v>0</v>
      </c>
      <c r="W104" s="114" t="n">
        <f aca="false">N104/$R$3</f>
        <v>0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Data'!$A$2:$B$8,MATCH(WEEKDAY('SC Total Gas'!A105,3),'Master Data'!$A$2:$A$8,0),2)</f>
        <v>T</v>
      </c>
      <c r="D105" s="112" t="n">
        <v>0</v>
      </c>
      <c r="E105" s="112" t="n">
        <v>540935.356509929</v>
      </c>
      <c r="F105" s="112" t="n">
        <v>0</v>
      </c>
      <c r="G105" s="112" t="n">
        <v>0</v>
      </c>
      <c r="I105" s="112" t="n">
        <f aca="false">IF(MONTH($A105)=MONTH($A104),IF(G105=0,I104,G105),G105)</f>
        <v>0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0</v>
      </c>
      <c r="N105" s="112" t="n">
        <f aca="false">SUM(J$6:J105)</f>
        <v>0</v>
      </c>
      <c r="P105" s="112" t="n">
        <f aca="false">D105/P$3</f>
        <v>0</v>
      </c>
      <c r="Q105" s="112" t="n">
        <f aca="false">E105/P$3</f>
        <v>0.540935356509929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0</v>
      </c>
      <c r="V105" s="114" t="n">
        <f aca="false">M105/$R$3</f>
        <v>0</v>
      </c>
      <c r="W105" s="114" t="n">
        <f aca="false">N105/$R$3</f>
        <v>0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Data'!$A$2:$B$8,MATCH(WEEKDAY('SC Total Gas'!A106,3),'Master Data'!$A$2:$A$8,0),2)</f>
        <v>W</v>
      </c>
      <c r="D106" s="112" t="n">
        <v>0</v>
      </c>
      <c r="E106" s="112" t="n">
        <v>541080.499367072</v>
      </c>
      <c r="F106" s="112" t="n">
        <v>0</v>
      </c>
      <c r="G106" s="112" t="n">
        <v>0</v>
      </c>
      <c r="I106" s="112" t="n">
        <f aca="false">IF(MONTH($A106)=MONTH($A105),IF(G106=0,I105,G106),G106)</f>
        <v>0</v>
      </c>
      <c r="J106" s="112" t="n">
        <f aca="false">IF(MONTH($A106)=MONTH($A105),SUM(I106-I105),I106)</f>
        <v>0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0</v>
      </c>
      <c r="N106" s="112" t="n">
        <f aca="false">SUM(J$6:J106)</f>
        <v>0</v>
      </c>
      <c r="P106" s="112" t="n">
        <f aca="false">D106/P$3</f>
        <v>0</v>
      </c>
      <c r="Q106" s="112" t="n">
        <f aca="false">E106/P$3</f>
        <v>0.541080499367072</v>
      </c>
      <c r="R106" s="112" t="n">
        <f aca="false">F106/R$3</f>
        <v>0</v>
      </c>
      <c r="S106" s="114" t="n">
        <f aca="false">J106/$R$3</f>
        <v>0</v>
      </c>
      <c r="T106" s="114" t="n">
        <f aca="false">L106/$R$3</f>
        <v>0</v>
      </c>
      <c r="U106" s="114" t="n">
        <f aca="false">I106/$R$3</f>
        <v>0</v>
      </c>
      <c r="V106" s="114" t="n">
        <f aca="false">M106/$R$3</f>
        <v>0</v>
      </c>
      <c r="W106" s="114" t="n">
        <f aca="false">N106/$R$3</f>
        <v>0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Data'!$A$2:$B$8,MATCH(WEEKDAY('SC Total Gas'!A107,3),'Master Data'!$A$2:$A$8,0),2)</f>
        <v>Th</v>
      </c>
      <c r="D107" s="112" t="n">
        <v>0</v>
      </c>
      <c r="E107" s="112" t="n">
        <v>541038.445891136</v>
      </c>
      <c r="F107" s="112" t="n">
        <v>0</v>
      </c>
      <c r="G107" s="112" t="n">
        <v>0</v>
      </c>
      <c r="I107" s="112" t="n">
        <f aca="false">IF(MONTH($A107)=MONTH($A106),IF(G107=0,I106,G107),G107)</f>
        <v>0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0</v>
      </c>
      <c r="N107" s="112" t="n">
        <f aca="false">SUM(J$6:J107)</f>
        <v>0</v>
      </c>
      <c r="P107" s="112" t="n">
        <f aca="false">D107/P$3</f>
        <v>0</v>
      </c>
      <c r="Q107" s="112" t="n">
        <f aca="false">E107/P$3</f>
        <v>0.541038445891136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0</v>
      </c>
      <c r="V107" s="114" t="n">
        <f aca="false">M107/$R$3</f>
        <v>0</v>
      </c>
      <c r="W107" s="114" t="n">
        <f aca="false">N107/$R$3</f>
        <v>0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Data'!$A$2:$B$8,MATCH(WEEKDAY('SC Total Gas'!A108,3),'Master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0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0</v>
      </c>
      <c r="N108" s="112" t="n">
        <f aca="false">SUM(J$6:J108)</f>
        <v>0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0</v>
      </c>
      <c r="V108" s="114" t="n">
        <f aca="false">M108/$R$3</f>
        <v>0</v>
      </c>
      <c r="W108" s="114" t="n">
        <f aca="false">N108/$R$3</f>
        <v>0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Data'!$A$2:$B$8,MATCH(WEEKDAY('SC Total Gas'!A109,3),'Master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0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0</v>
      </c>
      <c r="N109" s="112" t="n">
        <f aca="false">SUM(J$6:J109)</f>
        <v>0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0</v>
      </c>
      <c r="V109" s="114" t="n">
        <f aca="false">M109/$R$3</f>
        <v>0</v>
      </c>
      <c r="W109" s="114" t="n">
        <f aca="false">N109/$R$3</f>
        <v>0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Data'!$A$2:$B$8,MATCH(WEEKDAY('SC Total Gas'!A110,3),'Master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0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0</v>
      </c>
      <c r="N110" s="112" t="n">
        <f aca="false">SUM(J$6:J110)</f>
        <v>0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0</v>
      </c>
      <c r="V110" s="114" t="n">
        <f aca="false">M110/$R$3</f>
        <v>0</v>
      </c>
      <c r="W110" s="114" t="n">
        <f aca="false">N110/$R$3</f>
        <v>0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Data'!$A$2:$B$8,MATCH(WEEKDAY('SC Total Gas'!A111,3),'Master Data'!$A$2:$A$8,0),2)</f>
        <v>M</v>
      </c>
      <c r="D111" s="112" t="n">
        <v>0</v>
      </c>
      <c r="E111" s="112" t="n">
        <v>541019.963256976</v>
      </c>
      <c r="F111" s="112" t="n">
        <v>0</v>
      </c>
      <c r="G111" s="112" t="n">
        <v>0</v>
      </c>
      <c r="I111" s="112" t="n">
        <f aca="false">IF(MONTH($A111)=MONTH($A110),IF(G111=0,I110,G111),G111)</f>
        <v>0</v>
      </c>
      <c r="J111" s="112" t="n">
        <f aca="false">IF(MONTH($A111)=MONTH($A110),SUM(I111-I110),I111)</f>
        <v>0</v>
      </c>
      <c r="K111" s="112" t="n">
        <f aca="false">IF(WEEKDAY(A111,3)&gt;4,0,(IF(A111&lt;K$2,0,IF(A111&lt;=K$3,1,0))))</f>
        <v>0</v>
      </c>
      <c r="L111" s="112" t="n">
        <f aca="false">J111*K111</f>
        <v>0</v>
      </c>
      <c r="M111" s="112" t="n">
        <f aca="false">SUM(J$97:J111)</f>
        <v>0</v>
      </c>
      <c r="N111" s="112" t="n">
        <f aca="false">SUM(J$6:J111)</f>
        <v>0</v>
      </c>
      <c r="P111" s="112" t="n">
        <f aca="false">D111/P$3</f>
        <v>0</v>
      </c>
      <c r="Q111" s="112" t="n">
        <f aca="false">E111/P$3</f>
        <v>0.541019963256976</v>
      </c>
      <c r="R111" s="112" t="n">
        <f aca="false">F111/R$3</f>
        <v>0</v>
      </c>
      <c r="S111" s="114" t="n">
        <f aca="false">J111/$R$3</f>
        <v>0</v>
      </c>
      <c r="T111" s="114" t="n">
        <f aca="false">L111/$R$3</f>
        <v>0</v>
      </c>
      <c r="U111" s="114" t="n">
        <f aca="false">I111/$R$3</f>
        <v>0</v>
      </c>
      <c r="V111" s="114" t="n">
        <f aca="false">M111/$R$3</f>
        <v>0</v>
      </c>
      <c r="W111" s="114" t="n">
        <f aca="false">N111/$R$3</f>
        <v>0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Data'!$A$2:$B$8,MATCH(WEEKDAY('SC Total Gas'!A112,3),'Master Data'!$A$2:$A$8,0),2)</f>
        <v>T</v>
      </c>
      <c r="D112" s="112" t="n">
        <v>0</v>
      </c>
      <c r="E112" s="112" t="n">
        <v>541285.262231375</v>
      </c>
      <c r="F112" s="112" t="n">
        <v>0</v>
      </c>
      <c r="G112" s="112" t="n">
        <v>0</v>
      </c>
      <c r="I112" s="112" t="n">
        <f aca="false">IF(MONTH($A112)=MONTH($A111),IF(G112=0,I111,G112),G112)</f>
        <v>0</v>
      </c>
      <c r="J112" s="112" t="n">
        <f aca="false">IF(MONTH($A112)=MONTH($A111),SUM(I112-I111),I112)</f>
        <v>0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0</v>
      </c>
      <c r="N112" s="112" t="n">
        <f aca="false">SUM(J$6:J112)</f>
        <v>0</v>
      </c>
      <c r="P112" s="112" t="n">
        <f aca="false">D112/P$3</f>
        <v>0</v>
      </c>
      <c r="Q112" s="112" t="n">
        <f aca="false">E112/P$3</f>
        <v>0.541285262231375</v>
      </c>
      <c r="R112" s="112" t="n">
        <f aca="false">F112/R$3</f>
        <v>0</v>
      </c>
      <c r="S112" s="114" t="n">
        <f aca="false">J112/$R$3</f>
        <v>0</v>
      </c>
      <c r="T112" s="114" t="n">
        <f aca="false">L112/$R$3</f>
        <v>0</v>
      </c>
      <c r="U112" s="114" t="n">
        <f aca="false">I112/$R$3</f>
        <v>0</v>
      </c>
      <c r="V112" s="114" t="n">
        <f aca="false">M112/$R$3</f>
        <v>0</v>
      </c>
      <c r="W112" s="114" t="n">
        <f aca="false">N112/$R$3</f>
        <v>0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Data'!$A$2:$B$8,MATCH(WEEKDAY('SC Total Gas'!A113,3),'Master Data'!$A$2:$A$8,0),2)</f>
        <v>W</v>
      </c>
      <c r="D113" s="112" t="n">
        <v>0</v>
      </c>
      <c r="E113" s="112" t="n">
        <v>542004.675328366</v>
      </c>
      <c r="F113" s="112" t="n">
        <v>0</v>
      </c>
      <c r="G113" s="112" t="n">
        <v>0</v>
      </c>
      <c r="I113" s="112" t="n">
        <f aca="false">IF(MONTH($A113)=MONTH($A112),IF(G113=0,I112,G113),G113)</f>
        <v>0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0</v>
      </c>
      <c r="N113" s="112" t="n">
        <f aca="false">SUM(J$6:J113)</f>
        <v>0</v>
      </c>
      <c r="P113" s="112" t="n">
        <f aca="false">D113/P$3</f>
        <v>0</v>
      </c>
      <c r="Q113" s="112" t="n">
        <f aca="false">E113/P$3</f>
        <v>0.542004675328366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0</v>
      </c>
      <c r="V113" s="114" t="n">
        <f aca="false">M113/$R$3</f>
        <v>0</v>
      </c>
      <c r="W113" s="114" t="n">
        <f aca="false">N113/$R$3</f>
        <v>0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Data'!$A$2:$B$8,MATCH(WEEKDAY('SC Total Gas'!A114,3),'Master Data'!$A$2:$A$8,0),2)</f>
        <v>Th</v>
      </c>
      <c r="D114" s="112" t="n">
        <v>0</v>
      </c>
      <c r="E114" s="112" t="n">
        <v>542471.178522529</v>
      </c>
      <c r="F114" s="112" t="n">
        <v>0</v>
      </c>
      <c r="G114" s="112" t="n">
        <v>0</v>
      </c>
      <c r="I114" s="112" t="n">
        <f aca="false">IF(MONTH($A114)=MONTH($A113),IF(G114=0,I113,G114),G114)</f>
        <v>0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0</v>
      </c>
      <c r="N114" s="112" t="n">
        <f aca="false">SUM(J$6:J114)</f>
        <v>0</v>
      </c>
      <c r="P114" s="112" t="n">
        <f aca="false">D114/P$3</f>
        <v>0</v>
      </c>
      <c r="Q114" s="112" t="n">
        <f aca="false">E114/P$3</f>
        <v>0.542471178522529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0</v>
      </c>
      <c r="V114" s="114" t="n">
        <f aca="false">M114/$R$3</f>
        <v>0</v>
      </c>
      <c r="W114" s="114" t="n">
        <f aca="false">N114/$R$3</f>
        <v>0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Data'!$A$2:$B$8,MATCH(WEEKDAY('SC Total Gas'!A115,3),'Master Data'!$A$2:$A$8,0),2)</f>
        <v>F</v>
      </c>
      <c r="D115" s="112" t="n">
        <v>0</v>
      </c>
      <c r="E115" s="112" t="n">
        <v>542658.946313703</v>
      </c>
      <c r="F115" s="112" t="n">
        <v>0</v>
      </c>
      <c r="G115" s="112" t="n">
        <v>0</v>
      </c>
      <c r="I115" s="112" t="n">
        <f aca="false">IF(MONTH($A115)=MONTH($A114),IF(G115=0,I114,G115),G115)</f>
        <v>0</v>
      </c>
      <c r="J115" s="112" t="n">
        <f aca="false">IF(MONTH($A115)=MONTH($A114),SUM(I115-I114),I115)</f>
        <v>0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0</v>
      </c>
      <c r="N115" s="112" t="n">
        <f aca="false">SUM(J$6:J115)</f>
        <v>0</v>
      </c>
      <c r="P115" s="112" t="n">
        <f aca="false">D115/P$3</f>
        <v>0</v>
      </c>
      <c r="Q115" s="112" t="n">
        <f aca="false">E115/P$3</f>
        <v>0.542658946313703</v>
      </c>
      <c r="R115" s="112" t="n">
        <f aca="false">F115/R$3</f>
        <v>0</v>
      </c>
      <c r="S115" s="114" t="n">
        <f aca="false">J115/$R$3</f>
        <v>0</v>
      </c>
      <c r="T115" s="114" t="n">
        <f aca="false">L115/$R$3</f>
        <v>0</v>
      </c>
      <c r="U115" s="114" t="n">
        <f aca="false">I115/$R$3</f>
        <v>0</v>
      </c>
      <c r="V115" s="114" t="n">
        <f aca="false">M115/$R$3</f>
        <v>0</v>
      </c>
      <c r="W115" s="114" t="n">
        <f aca="false">N115/$R$3</f>
        <v>0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Data'!$A$2:$B$8,MATCH(WEEKDAY('SC Total Gas'!A116,3),'Master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0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0</v>
      </c>
      <c r="N116" s="112" t="n">
        <f aca="false">SUM(J$6:J116)</f>
        <v>0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0</v>
      </c>
      <c r="V116" s="114" t="n">
        <f aca="false">M116/$R$3</f>
        <v>0</v>
      </c>
      <c r="W116" s="114" t="n">
        <f aca="false">N116/$R$3</f>
        <v>0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Data'!$A$2:$B$8,MATCH(WEEKDAY('SC Total Gas'!A117,3),'Master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0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0</v>
      </c>
      <c r="N117" s="112" t="n">
        <f aca="false">SUM(J$6:J117)</f>
        <v>0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0</v>
      </c>
      <c r="V117" s="114" t="n">
        <f aca="false">M117/$R$3</f>
        <v>0</v>
      </c>
      <c r="W117" s="114" t="n">
        <f aca="false">N117/$R$3</f>
        <v>0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Data'!$A$2:$B$8,MATCH(WEEKDAY('SC Total Gas'!A118,3),'Master Data'!$A$2:$A$8,0),2)</f>
        <v>M</v>
      </c>
      <c r="D118" s="112" t="n">
        <v>0</v>
      </c>
      <c r="E118" s="112" t="n">
        <v>543055.79894672</v>
      </c>
      <c r="F118" s="112" t="n">
        <v>0</v>
      </c>
      <c r="G118" s="112" t="n">
        <v>0</v>
      </c>
      <c r="I118" s="112" t="n">
        <f aca="false">IF(MONTH($A118)=MONTH($A117),IF(G118=0,I117,G118),G118)</f>
        <v>0</v>
      </c>
      <c r="J118" s="112" t="n">
        <f aca="false">IF(MONTH($A118)=MONTH($A117),SUM(I118-I117),I118)</f>
        <v>0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0</v>
      </c>
      <c r="N118" s="112" t="n">
        <f aca="false">SUM(J$6:J118)</f>
        <v>0</v>
      </c>
      <c r="P118" s="112" t="n">
        <f aca="false">D118/P$3</f>
        <v>0</v>
      </c>
      <c r="Q118" s="112" t="n">
        <f aca="false">E118/P$3</f>
        <v>0.54305579894672</v>
      </c>
      <c r="R118" s="112" t="n">
        <f aca="false">F118/R$3</f>
        <v>0</v>
      </c>
      <c r="S118" s="114" t="n">
        <f aca="false">J118/$R$3</f>
        <v>0</v>
      </c>
      <c r="T118" s="114" t="n">
        <f aca="false">L118/$R$3</f>
        <v>0</v>
      </c>
      <c r="U118" s="114" t="n">
        <f aca="false">I118/$R$3</f>
        <v>0</v>
      </c>
      <c r="V118" s="114" t="n">
        <f aca="false">M118/$R$3</f>
        <v>0</v>
      </c>
      <c r="W118" s="114" t="n">
        <f aca="false">N118/$R$3</f>
        <v>0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Data'!$A$2:$B$8,MATCH(WEEKDAY('SC Total Gas'!A119,3),'Master Data'!$A$2:$A$8,0),2)</f>
        <v>T</v>
      </c>
      <c r="D119" s="112" t="n">
        <v>0</v>
      </c>
      <c r="E119" s="112" t="n">
        <v>543134.630145075</v>
      </c>
      <c r="F119" s="112" t="n">
        <v>0</v>
      </c>
      <c r="G119" s="112" t="n">
        <v>0</v>
      </c>
      <c r="I119" s="112" t="n">
        <f aca="false">IF(MONTH($A119)=MONTH($A118),IF(G119=0,I118,G119),G119)</f>
        <v>0</v>
      </c>
      <c r="J119" s="112" t="n">
        <f aca="false">IF(MONTH($A119)=MONTH($A118),SUM(I119-I118),I119)</f>
        <v>0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0</v>
      </c>
      <c r="N119" s="112" t="n">
        <f aca="false">SUM(J$6:J119)</f>
        <v>0</v>
      </c>
      <c r="P119" s="112" t="n">
        <f aca="false">D119/P$3</f>
        <v>0</v>
      </c>
      <c r="Q119" s="112" t="n">
        <f aca="false">E119/P$3</f>
        <v>0.543134630145075</v>
      </c>
      <c r="R119" s="112" t="n">
        <f aca="false">F119/R$3</f>
        <v>0</v>
      </c>
      <c r="S119" s="114" t="n">
        <f aca="false">J119/$R$3</f>
        <v>0</v>
      </c>
      <c r="T119" s="114" t="n">
        <f aca="false">L119/$R$3</f>
        <v>0</v>
      </c>
      <c r="U119" s="114" t="n">
        <f aca="false">I119/$R$3</f>
        <v>0</v>
      </c>
      <c r="V119" s="114" t="n">
        <f aca="false">M119/$R$3</f>
        <v>0</v>
      </c>
      <c r="W119" s="114" t="n">
        <f aca="false">N119/$R$3</f>
        <v>0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Data'!$A$2:$B$8,MATCH(WEEKDAY('SC Total Gas'!A120,3),'Master Data'!$A$2:$A$8,0),2)</f>
        <v>W</v>
      </c>
      <c r="D120" s="112" t="n">
        <v>0</v>
      </c>
      <c r="E120" s="112" t="n">
        <v>543068.981255744</v>
      </c>
      <c r="F120" s="112" t="n">
        <v>0</v>
      </c>
      <c r="G120" s="112" t="n">
        <v>0</v>
      </c>
      <c r="I120" s="112" t="n">
        <f aca="false">IF(MONTH($A120)=MONTH($A119),IF(G120=0,I119,G120),G120)</f>
        <v>0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0</v>
      </c>
      <c r="N120" s="112" t="n">
        <f aca="false">SUM(J$6:J120)</f>
        <v>0</v>
      </c>
      <c r="P120" s="112" t="n">
        <f aca="false">D120/P$3</f>
        <v>0</v>
      </c>
      <c r="Q120" s="112" t="n">
        <f aca="false">E120/P$3</f>
        <v>0.543068981255744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0</v>
      </c>
      <c r="V120" s="114" t="n">
        <f aca="false">M120/$R$3</f>
        <v>0</v>
      </c>
      <c r="W120" s="114" t="n">
        <f aca="false">N120/$R$3</f>
        <v>0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Data'!$A$2:$B$8,MATCH(WEEKDAY('SC Total Gas'!A121,3),'Master Data'!$A$2:$A$8,0),2)</f>
        <v>Th</v>
      </c>
      <c r="D121" s="112" t="n">
        <v>0</v>
      </c>
      <c r="E121" s="112" t="n">
        <v>543222.313902636</v>
      </c>
      <c r="F121" s="112" t="n">
        <v>0</v>
      </c>
      <c r="G121" s="112" t="n">
        <v>0</v>
      </c>
      <c r="I121" s="112" t="n">
        <f aca="false">IF(MONTH($A121)=MONTH($A120),IF(G121=0,I120,G121),G121)</f>
        <v>0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0</v>
      </c>
      <c r="N121" s="112" t="n">
        <f aca="false">SUM(J$6:J121)</f>
        <v>0</v>
      </c>
      <c r="P121" s="112" t="n">
        <f aca="false">D121/P$3</f>
        <v>0</v>
      </c>
      <c r="Q121" s="112" t="n">
        <f aca="false">E121/P$3</f>
        <v>0.543222313902636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0</v>
      </c>
      <c r="V121" s="114" t="n">
        <f aca="false">M121/$R$3</f>
        <v>0</v>
      </c>
      <c r="W121" s="114" t="n">
        <f aca="false">N121/$R$3</f>
        <v>0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Data'!$A$2:$B$8,MATCH(WEEKDAY('SC Total Gas'!A122,3),'Master Data'!$A$2:$A$8,0),2)</f>
        <v>F</v>
      </c>
      <c r="D122" s="112" t="n">
        <v>0</v>
      </c>
      <c r="E122" s="112" t="n">
        <v>543094.504076202</v>
      </c>
      <c r="F122" s="112" t="n">
        <v>0</v>
      </c>
      <c r="G122" s="112" t="n">
        <v>0</v>
      </c>
      <c r="I122" s="112" t="n">
        <f aca="false">IF(MONTH($A122)=MONTH($A121),IF(G122=0,I121,G122),G122)</f>
        <v>0</v>
      </c>
      <c r="J122" s="112" t="n">
        <f aca="false">IF(MONTH($A122)=MONTH($A121),SUM(I122-I121),I122)</f>
        <v>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0</v>
      </c>
      <c r="N122" s="112" t="n">
        <f aca="false">SUM(J$6:J122)</f>
        <v>0</v>
      </c>
      <c r="P122" s="112" t="n">
        <f aca="false">D122/P$3</f>
        <v>0</v>
      </c>
      <c r="Q122" s="112" t="n">
        <f aca="false">E122/P$3</f>
        <v>0.543094504076202</v>
      </c>
      <c r="R122" s="112" t="n">
        <f aca="false">F122/R$3</f>
        <v>0</v>
      </c>
      <c r="S122" s="114" t="n">
        <f aca="false">J122/$R$3</f>
        <v>0</v>
      </c>
      <c r="T122" s="114" t="n">
        <f aca="false">L122/$R$3</f>
        <v>0</v>
      </c>
      <c r="U122" s="114" t="n">
        <f aca="false">I122/$R$3</f>
        <v>0</v>
      </c>
      <c r="V122" s="114" t="n">
        <f aca="false">M122/$R$3</f>
        <v>0</v>
      </c>
      <c r="W122" s="114" t="n">
        <f aca="false">N122/$R$3</f>
        <v>0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Data'!$A$2:$B$8,MATCH(WEEKDAY('SC Total Gas'!A123,3),'Master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0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0</v>
      </c>
      <c r="N123" s="112" t="n">
        <f aca="false">SUM(J$6:J123)</f>
        <v>0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0</v>
      </c>
      <c r="V123" s="114" t="n">
        <f aca="false">M123/$R$3</f>
        <v>0</v>
      </c>
      <c r="W123" s="114" t="n">
        <f aca="false">N123/$R$3</f>
        <v>0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Data'!$A$2:$B$8,MATCH(WEEKDAY('SC Total Gas'!A124,3),'Master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0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0</v>
      </c>
      <c r="N124" s="112" t="n">
        <f aca="false">SUM(J$6:J124)</f>
        <v>0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0</v>
      </c>
      <c r="V124" s="114" t="n">
        <f aca="false">M124/$R$3</f>
        <v>0</v>
      </c>
      <c r="W124" s="114" t="n">
        <f aca="false">N124/$R$3</f>
        <v>0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Data'!$A$2:$B$8,MATCH(WEEKDAY('SC Total Gas'!A125,3),'Master Data'!$A$2:$A$8,0),2)</f>
        <v>M</v>
      </c>
      <c r="D125" s="112" t="n">
        <v>0</v>
      </c>
      <c r="E125" s="112" t="n">
        <v>543264.454600813</v>
      </c>
      <c r="F125" s="112" t="n">
        <v>0</v>
      </c>
      <c r="G125" s="112" t="n">
        <v>0</v>
      </c>
      <c r="I125" s="112" t="n">
        <f aca="false">IF(MONTH($A125)=MONTH($A124),IF(G125=0,I124,G125),G125)</f>
        <v>0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0</v>
      </c>
      <c r="N125" s="112" t="n">
        <f aca="false">SUM(J$6:J125)</f>
        <v>0</v>
      </c>
      <c r="P125" s="112" t="n">
        <f aca="false">D125/P$3</f>
        <v>0</v>
      </c>
      <c r="Q125" s="112" t="n">
        <f aca="false">E125/P$3</f>
        <v>0.543264454600813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0</v>
      </c>
      <c r="V125" s="114" t="n">
        <f aca="false">M125/$R$3</f>
        <v>0</v>
      </c>
      <c r="W125" s="114" t="n">
        <f aca="false">N125/$R$3</f>
        <v>0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Data'!$A$2:$B$8,MATCH(WEEKDAY('SC Total Gas'!A126,3),'Master Data'!$A$2:$A$8,0),2)</f>
        <v>T</v>
      </c>
      <c r="D126" s="112" t="n">
        <v>0</v>
      </c>
      <c r="E126" s="112" t="n">
        <v>543479.284422597</v>
      </c>
      <c r="F126" s="112" t="n">
        <v>0</v>
      </c>
      <c r="G126" s="112" t="n">
        <v>0</v>
      </c>
      <c r="I126" s="112" t="n">
        <f aca="false">IF(MONTH($A126)=MONTH($A125),IF(G126=0,I125,G126),G126)</f>
        <v>0</v>
      </c>
      <c r="J126" s="112" t="n">
        <f aca="false">IF(MONTH($A126)=MONTH($A125),SUM(I126-I125),I126)</f>
        <v>0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0</v>
      </c>
      <c r="N126" s="112" t="n">
        <f aca="false">SUM(J$6:J126)</f>
        <v>0</v>
      </c>
      <c r="P126" s="112" t="n">
        <f aca="false">D126/P$3</f>
        <v>0</v>
      </c>
      <c r="Q126" s="112" t="n">
        <f aca="false">E126/P$3</f>
        <v>0.543479284422596</v>
      </c>
      <c r="R126" s="112" t="n">
        <f aca="false">F126/R$3</f>
        <v>0</v>
      </c>
      <c r="S126" s="114" t="n">
        <f aca="false">J126/$R$3</f>
        <v>0</v>
      </c>
      <c r="T126" s="114" t="n">
        <f aca="false">L126/$R$3</f>
        <v>0</v>
      </c>
      <c r="U126" s="114" t="n">
        <f aca="false">I126/$R$3</f>
        <v>0</v>
      </c>
      <c r="V126" s="114" t="n">
        <f aca="false">M126/$R$3</f>
        <v>0</v>
      </c>
      <c r="W126" s="114" t="n">
        <f aca="false">N126/$R$3</f>
        <v>0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Data'!$A$2:$B$8,MATCH(WEEKDAY('SC Total Gas'!A127,3),'Master Data'!$A$2:$A$8,0),2)</f>
        <v>W</v>
      </c>
      <c r="D127" s="112" t="n">
        <v>0</v>
      </c>
      <c r="E127" s="112" t="n">
        <v>543480.706022594</v>
      </c>
      <c r="F127" s="112" t="n">
        <v>0</v>
      </c>
      <c r="G127" s="112" t="n">
        <v>0</v>
      </c>
      <c r="I127" s="112" t="n">
        <f aca="false">IF(MONTH($A127)=MONTH($A126),IF(G127=0,I126,G127),G127)</f>
        <v>0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0</v>
      </c>
      <c r="N127" s="112" t="n">
        <f aca="false">SUM(J$6:J127)</f>
        <v>0</v>
      </c>
      <c r="P127" s="112" t="n">
        <f aca="false">D127/P$3</f>
        <v>0</v>
      </c>
      <c r="Q127" s="112" t="n">
        <f aca="false">E127/P$3</f>
        <v>0.543480706022594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</v>
      </c>
      <c r="V127" s="114" t="n">
        <f aca="false">M127/$R$3</f>
        <v>0</v>
      </c>
      <c r="W127" s="114" t="n">
        <f aca="false">N127/$R$3</f>
        <v>0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Data'!$A$2:$B$8,MATCH(WEEKDAY('SC Total Gas'!A128,3),'Master Data'!$A$2:$A$8,0),2)</f>
        <v>Th</v>
      </c>
      <c r="D128" s="112" t="n">
        <v>0</v>
      </c>
      <c r="E128" s="112" t="n">
        <v>543643.278720711</v>
      </c>
      <c r="F128" s="112" t="n">
        <v>0</v>
      </c>
      <c r="G128" s="112" t="n">
        <v>0</v>
      </c>
      <c r="I128" s="112" t="n">
        <f aca="false">IF(MONTH($A128)=MONTH($A127),IF(G128=0,I127,G128),G128)</f>
        <v>0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0</v>
      </c>
      <c r="N128" s="112" t="n">
        <f aca="false">SUM(J$6:J128)</f>
        <v>0</v>
      </c>
      <c r="P128" s="112" t="n">
        <f aca="false">D128/P$3</f>
        <v>0</v>
      </c>
      <c r="Q128" s="112" t="n">
        <f aca="false">E128/P$3</f>
        <v>0.543643278720711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0</v>
      </c>
      <c r="V128" s="114" t="n">
        <f aca="false">M128/$R$3</f>
        <v>0</v>
      </c>
      <c r="W128" s="114" t="n">
        <f aca="false">N128/$R$3</f>
        <v>0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Data'!$A$2:$B$8,MATCH(WEEKDAY('SC Total Gas'!A129,3),'Master Data'!$A$2:$A$8,0),2)</f>
        <v>F</v>
      </c>
      <c r="D129" s="112" t="n">
        <v>0</v>
      </c>
      <c r="E129" s="112" t="n">
        <v>3282246.25513816</v>
      </c>
      <c r="F129" s="112" t="n">
        <v>0</v>
      </c>
      <c r="G129" s="112" t="n">
        <v>0</v>
      </c>
      <c r="I129" s="112" t="n">
        <f aca="false">IF(MONTH($A129)=MONTH($A128),IF(G129=0,I128,G129),G129)</f>
        <v>0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0</v>
      </c>
      <c r="N129" s="112" t="n">
        <f aca="false">SUM(J$6:J129)</f>
        <v>0</v>
      </c>
      <c r="P129" s="112" t="n">
        <f aca="false">D129/P$3</f>
        <v>0</v>
      </c>
      <c r="Q129" s="112" t="n">
        <f aca="false">E129/P$3</f>
        <v>3.28224625513816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</v>
      </c>
      <c r="V129" s="114" t="n">
        <f aca="false">M129/$R$3</f>
        <v>0</v>
      </c>
      <c r="W129" s="114" t="n">
        <f aca="false">N129/$R$3</f>
        <v>0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Data'!$A$2:$B$8,MATCH(WEEKDAY('SC Total Gas'!A130,3),'Master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0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0</v>
      </c>
      <c r="N130" s="112" t="n">
        <f aca="false">SUM(J$6:J130)</f>
        <v>0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</v>
      </c>
      <c r="V130" s="114" t="n">
        <f aca="false">M130/$R$3</f>
        <v>0</v>
      </c>
      <c r="W130" s="114" t="n">
        <f aca="false">N130/$R$3</f>
        <v>0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Data'!$A$2:$B$8,MATCH(WEEKDAY('SC Total Gas'!A131,3),'Master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0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0</v>
      </c>
      <c r="N131" s="112" t="n">
        <f aca="false">SUM(J$6:J131)</f>
        <v>0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</v>
      </c>
      <c r="V131" s="114" t="n">
        <f aca="false">M131/$R$3</f>
        <v>0</v>
      </c>
      <c r="W131" s="114" t="n">
        <f aca="false">N131/$R$3</f>
        <v>0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Data'!$A$2:$B$8,MATCH(WEEKDAY('SC Total Gas'!A132,3),'Master Data'!$A$2:$A$8,0),2)</f>
        <v>M</v>
      </c>
      <c r="D132" s="112" t="n">
        <v>0</v>
      </c>
      <c r="E132" s="112" t="n">
        <v>3282538.06603116</v>
      </c>
      <c r="F132" s="112" t="n">
        <v>0</v>
      </c>
      <c r="G132" s="112" t="n">
        <v>0</v>
      </c>
      <c r="I132" s="112" t="n">
        <f aca="false">IF(MONTH($A132)=MONTH($A131),IF(G132=0,I131,G132),G132)</f>
        <v>0</v>
      </c>
      <c r="J132" s="112" t="n">
        <f aca="false">IF(MONTH($A132)=MONTH($A131),SUM(I132-I131),I132)</f>
        <v>0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0</v>
      </c>
      <c r="N132" s="112" t="n">
        <f aca="false">SUM(J$6:J132)</f>
        <v>0</v>
      </c>
      <c r="P132" s="112" t="n">
        <f aca="false">D132/P$3</f>
        <v>0</v>
      </c>
      <c r="Q132" s="112" t="n">
        <f aca="false">E132/P$3</f>
        <v>3.28253806603116</v>
      </c>
      <c r="R132" s="112" t="n">
        <f aca="false">F132/R$3</f>
        <v>0</v>
      </c>
      <c r="S132" s="114" t="n">
        <f aca="false">J132/$R$3</f>
        <v>0</v>
      </c>
      <c r="T132" s="114" t="n">
        <f aca="false">L132/$R$3</f>
        <v>0</v>
      </c>
      <c r="U132" s="114" t="n">
        <f aca="false">I132/$R$3</f>
        <v>0</v>
      </c>
      <c r="V132" s="114" t="n">
        <f aca="false">M132/$R$3</f>
        <v>0</v>
      </c>
      <c r="W132" s="114" t="n">
        <f aca="false">N132/$R$3</f>
        <v>0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Data'!$A$2:$B$8,MATCH(WEEKDAY('SC Total Gas'!A133,3),'Master Data'!$A$2:$A$8,0),2)</f>
        <v>T</v>
      </c>
      <c r="D133" s="112" t="n">
        <v>0</v>
      </c>
      <c r="E133" s="112" t="n">
        <v>3286091.84566158</v>
      </c>
      <c r="F133" s="112" t="n">
        <v>0</v>
      </c>
      <c r="G133" s="112" t="n">
        <v>0</v>
      </c>
      <c r="I133" s="112" t="n">
        <f aca="false">IF(MONTH($A133)=MONTH($A132),IF(G133=0,I132,G133),G133)</f>
        <v>0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0</v>
      </c>
      <c r="N133" s="112" t="n">
        <f aca="false">SUM(J$6:J133)</f>
        <v>0</v>
      </c>
      <c r="P133" s="112" t="n">
        <f aca="false">D133/P$3</f>
        <v>0</v>
      </c>
      <c r="Q133" s="112" t="n">
        <f aca="false">E133/P$3</f>
        <v>3.28609184566158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0</v>
      </c>
      <c r="V133" s="114" t="n">
        <f aca="false">M133/$R$3</f>
        <v>0</v>
      </c>
      <c r="W133" s="114" t="n">
        <f aca="false">N133/$R$3</f>
        <v>0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Data'!$A$2:$B$8,MATCH(WEEKDAY('SC Total Gas'!A134,3),'Master Data'!$A$2:$A$8,0),2)</f>
        <v>W</v>
      </c>
      <c r="D134" s="112" t="n">
        <v>0</v>
      </c>
      <c r="E134" s="112" t="n">
        <v>3289316.65594565</v>
      </c>
      <c r="F134" s="112" t="n">
        <v>0</v>
      </c>
      <c r="G134" s="112" t="n">
        <v>0</v>
      </c>
      <c r="I134" s="112" t="n">
        <f aca="false">IF(MONTH($A134)=MONTH($A133),IF(G134=0,I133,G134),G134)</f>
        <v>0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0</v>
      </c>
      <c r="N134" s="112" t="n">
        <f aca="false">SUM(J$6:J134)</f>
        <v>0</v>
      </c>
      <c r="P134" s="112" t="n">
        <f aca="false">D134/P$3</f>
        <v>0</v>
      </c>
      <c r="Q134" s="112" t="n">
        <f aca="false">E134/P$3</f>
        <v>3.28931665594565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</v>
      </c>
      <c r="V134" s="114" t="n">
        <f aca="false">M134/$R$3</f>
        <v>0</v>
      </c>
      <c r="W134" s="114" t="n">
        <f aca="false">N134/$R$3</f>
        <v>0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Data'!$A$2:$B$8,MATCH(WEEKDAY('SC Total Gas'!A135,3),'Master Data'!$A$2:$A$8,0),2)</f>
        <v>Th</v>
      </c>
      <c r="D135" s="112" t="n">
        <v>0</v>
      </c>
      <c r="E135" s="112" t="n">
        <v>3277884.79498308</v>
      </c>
      <c r="F135" s="112" t="n">
        <v>0</v>
      </c>
      <c r="G135" s="112" t="n">
        <v>0</v>
      </c>
      <c r="I135" s="112" t="n">
        <f aca="false">IF(MONTH($A135)=MONTH($A134),IF(G135=0,I134,G135),G135)</f>
        <v>0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0</v>
      </c>
      <c r="N135" s="112" t="n">
        <f aca="false">SUM(J$6:J135)</f>
        <v>0</v>
      </c>
      <c r="P135" s="112" t="n">
        <f aca="false">D135/P$3</f>
        <v>0</v>
      </c>
      <c r="Q135" s="112" t="n">
        <f aca="false">E135/P$3</f>
        <v>3.27788479498308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0</v>
      </c>
      <c r="V135" s="114" t="n">
        <f aca="false">M135/$R$3</f>
        <v>0</v>
      </c>
      <c r="W135" s="114" t="n">
        <f aca="false">N135/$R$3</f>
        <v>0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Data'!$A$2:$B$8,MATCH(WEEKDAY('SC Total Gas'!A136,3),'Master Data'!$A$2:$A$8,0),2)</f>
        <v>F</v>
      </c>
      <c r="D136" s="112" t="n">
        <v>0</v>
      </c>
      <c r="E136" s="112" t="n">
        <v>3254737.39485096</v>
      </c>
      <c r="F136" s="112" t="n">
        <v>0</v>
      </c>
      <c r="G136" s="112" t="n">
        <v>0</v>
      </c>
      <c r="I136" s="112" t="n">
        <f aca="false">IF(MONTH($A136)=MONTH($A135),IF(G136=0,I135,G136),G136)</f>
        <v>0</v>
      </c>
      <c r="J136" s="112" t="n">
        <f aca="false">IF(MONTH($A136)=MONTH($A135),SUM(I136-I135),I136)</f>
        <v>0</v>
      </c>
      <c r="K136" s="112" t="n">
        <f aca="false">IF(WEEKDAY(A136,3)&gt;4,0,(IF(A136&lt;K$2,0,IF(A136&lt;=K$3,1,0))))</f>
        <v>0</v>
      </c>
      <c r="L136" s="112" t="n">
        <f aca="false">J136*K136</f>
        <v>0</v>
      </c>
      <c r="M136" s="112" t="n">
        <f aca="false">SUM(J$97:J136)</f>
        <v>0</v>
      </c>
      <c r="N136" s="112" t="n">
        <f aca="false">SUM(J$6:J136)</f>
        <v>0</v>
      </c>
      <c r="P136" s="112" t="n">
        <f aca="false">D136/P$3</f>
        <v>0</v>
      </c>
      <c r="Q136" s="112" t="n">
        <f aca="false">E136/P$3</f>
        <v>3.25473739485096</v>
      </c>
      <c r="R136" s="112" t="n">
        <f aca="false">F136/R$3</f>
        <v>0</v>
      </c>
      <c r="S136" s="114" t="n">
        <f aca="false">J136/$R$3</f>
        <v>0</v>
      </c>
      <c r="T136" s="114" t="n">
        <f aca="false">L136/$R$3</f>
        <v>0</v>
      </c>
      <c r="U136" s="114" t="n">
        <f aca="false">I136/$R$3</f>
        <v>0</v>
      </c>
      <c r="V136" s="114" t="n">
        <f aca="false">M136/$R$3</f>
        <v>0</v>
      </c>
      <c r="W136" s="114" t="n">
        <f aca="false">N136/$R$3</f>
        <v>0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Data'!$A$2:$B$8,MATCH(WEEKDAY('SC Total Gas'!A137,3),'Master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0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0</v>
      </c>
      <c r="N137" s="112" t="n">
        <f aca="false">SUM(J$6:J137)</f>
        <v>0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</v>
      </c>
      <c r="V137" s="114" t="n">
        <f aca="false">M137/$R$3</f>
        <v>0</v>
      </c>
      <c r="W137" s="114" t="n">
        <f aca="false">N137/$R$3</f>
        <v>0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Data'!$A$2:$B$8,MATCH(WEEKDAY('SC Total Gas'!A138,3),'Master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0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0</v>
      </c>
      <c r="N138" s="112" t="n">
        <f aca="false">SUM(J$6:J138)</f>
        <v>0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</v>
      </c>
      <c r="V138" s="114" t="n">
        <f aca="false">M138/$R$3</f>
        <v>0</v>
      </c>
      <c r="W138" s="114" t="n">
        <f aca="false">N138/$R$3</f>
        <v>0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Data'!$A$2:$B$8,MATCH(WEEKDAY('SC Total Gas'!A139,3),'Master Data'!$A$2:$A$8,0),2)</f>
        <v>M</v>
      </c>
      <c r="D139" s="112" t="n">
        <v>0</v>
      </c>
      <c r="E139" s="112" t="n">
        <v>3263649.69588099</v>
      </c>
      <c r="F139" s="112" t="n">
        <v>0</v>
      </c>
      <c r="G139" s="112" t="n">
        <v>0</v>
      </c>
      <c r="I139" s="112" t="n">
        <f aca="false">IF(MONTH($A139)=MONTH($A138),IF(G139=0,I138,G139),G139)</f>
        <v>0</v>
      </c>
      <c r="J139" s="112" t="n">
        <f aca="false">IF(MONTH($A139)=MONTH($A138),SUM(I139-I138),I139)</f>
        <v>0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0</v>
      </c>
      <c r="N139" s="112" t="n">
        <f aca="false">SUM(J$6:J139)</f>
        <v>0</v>
      </c>
      <c r="P139" s="112" t="n">
        <f aca="false">D139/P$3</f>
        <v>0</v>
      </c>
      <c r="Q139" s="112" t="n">
        <f aca="false">E139/P$3</f>
        <v>3.26364969588099</v>
      </c>
      <c r="R139" s="112" t="n">
        <f aca="false">F139/R$3</f>
        <v>0</v>
      </c>
      <c r="S139" s="114" t="n">
        <f aca="false">J139/$R$3</f>
        <v>0</v>
      </c>
      <c r="T139" s="114" t="n">
        <f aca="false">L139/$R$3</f>
        <v>0</v>
      </c>
      <c r="U139" s="114" t="n">
        <f aca="false">I139/$R$3</f>
        <v>0</v>
      </c>
      <c r="V139" s="114" t="n">
        <f aca="false">M139/$R$3</f>
        <v>0</v>
      </c>
      <c r="W139" s="114" t="n">
        <f aca="false">N139/$R$3</f>
        <v>0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Data'!$A$2:$B$8,MATCH(WEEKDAY('SC Total Gas'!A140,3),'Master Data'!$A$2:$A$8,0),2)</f>
        <v>T</v>
      </c>
      <c r="D140" s="112" t="n">
        <v>0</v>
      </c>
      <c r="E140" s="112" t="n">
        <v>3264815.59225798</v>
      </c>
      <c r="F140" s="112" t="n">
        <v>0</v>
      </c>
      <c r="G140" s="112" t="n">
        <v>0</v>
      </c>
      <c r="I140" s="112" t="n">
        <f aca="false">IF(MONTH($A140)=MONTH($A139),IF(G140=0,I139,G140),G140)</f>
        <v>0</v>
      </c>
      <c r="J140" s="112" t="n">
        <f aca="false">IF(MONTH($A140)=MONTH($A139),SUM(I140-I139),I140)</f>
        <v>0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0</v>
      </c>
      <c r="N140" s="112" t="n">
        <f aca="false">SUM(J$6:J140)</f>
        <v>0</v>
      </c>
      <c r="P140" s="112" t="n">
        <f aca="false">D140/P$3</f>
        <v>0</v>
      </c>
      <c r="Q140" s="112" t="n">
        <f aca="false">E140/P$3</f>
        <v>3.26481559225798</v>
      </c>
      <c r="R140" s="112" t="n">
        <f aca="false">F140/R$3</f>
        <v>0</v>
      </c>
      <c r="S140" s="114" t="n">
        <f aca="false">J140/$R$3</f>
        <v>0</v>
      </c>
      <c r="T140" s="114" t="n">
        <f aca="false">L140/$R$3</f>
        <v>0</v>
      </c>
      <c r="U140" s="114" t="n">
        <f aca="false">I140/$R$3</f>
        <v>0</v>
      </c>
      <c r="V140" s="114" t="n">
        <f aca="false">M140/$R$3</f>
        <v>0</v>
      </c>
      <c r="W140" s="114" t="n">
        <f aca="false">N140/$R$3</f>
        <v>0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Data'!$A$2:$B$8,MATCH(WEEKDAY('SC Total Gas'!A141,3),'Master Data'!$A$2:$A$8,0),2)</f>
        <v>W</v>
      </c>
      <c r="D141" s="112" t="n">
        <v>0</v>
      </c>
      <c r="E141" s="112" t="n">
        <v>3267487.60470618</v>
      </c>
      <c r="F141" s="112" t="n">
        <v>0</v>
      </c>
      <c r="G141" s="112" t="n">
        <v>0</v>
      </c>
      <c r="I141" s="112" t="n">
        <f aca="false">IF(MONTH($A141)=MONTH($A140),IF(G141=0,I140,G141),G141)</f>
        <v>0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0</v>
      </c>
      <c r="N141" s="112" t="n">
        <f aca="false">SUM(J$6:J141)</f>
        <v>0</v>
      </c>
      <c r="P141" s="112" t="n">
        <f aca="false">D141/P$3</f>
        <v>0</v>
      </c>
      <c r="Q141" s="112" t="n">
        <f aca="false">E141/P$3</f>
        <v>3.26748760470618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</v>
      </c>
      <c r="V141" s="114" t="n">
        <f aca="false">M141/$R$3</f>
        <v>0</v>
      </c>
      <c r="W141" s="114" t="n">
        <f aca="false">N141/$R$3</f>
        <v>0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Data'!$A$2:$B$8,MATCH(WEEKDAY('SC Total Gas'!A142,3),'Master Data'!$A$2:$A$8,0),2)</f>
        <v>Th</v>
      </c>
      <c r="D142" s="112" t="n">
        <v>0</v>
      </c>
      <c r="E142" s="112" t="n">
        <v>3262081.56501441</v>
      </c>
      <c r="F142" s="112" t="n">
        <v>0</v>
      </c>
      <c r="G142" s="112" t="n">
        <v>0</v>
      </c>
      <c r="I142" s="112" t="n">
        <f aca="false">IF(MONTH($A142)=MONTH($A141),IF(G142=0,I141,G142),G142)</f>
        <v>0</v>
      </c>
      <c r="J142" s="112" t="n">
        <f aca="false">IF(MONTH($A142)=MONTH($A141),SUM(I142-I141),I142)</f>
        <v>0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0</v>
      </c>
      <c r="N142" s="112" t="n">
        <f aca="false">SUM(J$6:J142)</f>
        <v>0</v>
      </c>
      <c r="P142" s="112" t="n">
        <f aca="false">D142/P$3</f>
        <v>0</v>
      </c>
      <c r="Q142" s="112" t="n">
        <f aca="false">E142/P$3</f>
        <v>3.26208156501441</v>
      </c>
      <c r="R142" s="112" t="n">
        <f aca="false">F142/R$3</f>
        <v>0</v>
      </c>
      <c r="S142" s="114" t="n">
        <f aca="false">J142/$R$3</f>
        <v>0</v>
      </c>
      <c r="T142" s="114" t="n">
        <f aca="false">L142/$R$3</f>
        <v>0</v>
      </c>
      <c r="U142" s="114" t="n">
        <f aca="false">I142/$R$3</f>
        <v>0</v>
      </c>
      <c r="V142" s="114" t="n">
        <f aca="false">M142/$R$3</f>
        <v>0</v>
      </c>
      <c r="W142" s="114" t="n">
        <f aca="false">N142/$R$3</f>
        <v>0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Data'!$A$2:$B$8,MATCH(WEEKDAY('SC Total Gas'!A143,3),'Master Data'!$A$2:$A$8,0),2)</f>
        <v>F</v>
      </c>
      <c r="D143" s="112" t="n">
        <v>0</v>
      </c>
      <c r="E143" s="112" t="n">
        <v>3260006.21898931</v>
      </c>
      <c r="F143" s="112" t="n">
        <v>0</v>
      </c>
      <c r="G143" s="112" t="n">
        <v>0</v>
      </c>
      <c r="I143" s="112" t="n">
        <f aca="false">IF(MONTH($A143)=MONTH($A142),IF(G143=0,I142,G143),G143)</f>
        <v>0</v>
      </c>
      <c r="J143" s="112" t="n">
        <f aca="false">IF(MONTH($A143)=MONTH($A142),SUM(I143-I142),I143)</f>
        <v>0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0</v>
      </c>
      <c r="N143" s="112" t="n">
        <f aca="false">SUM(J$6:J143)</f>
        <v>0</v>
      </c>
      <c r="P143" s="112" t="n">
        <f aca="false">D143/P$3</f>
        <v>0</v>
      </c>
      <c r="Q143" s="112" t="n">
        <f aca="false">E143/P$3</f>
        <v>3.26000621898931</v>
      </c>
      <c r="R143" s="112" t="n">
        <f aca="false">F143/R$3</f>
        <v>0</v>
      </c>
      <c r="S143" s="114" t="n">
        <f aca="false">J143/$R$3</f>
        <v>0</v>
      </c>
      <c r="T143" s="114" t="n">
        <f aca="false">L143/$R$3</f>
        <v>0</v>
      </c>
      <c r="U143" s="114" t="n">
        <f aca="false">I143/$R$3</f>
        <v>0</v>
      </c>
      <c r="V143" s="114" t="n">
        <f aca="false">M143/$R$3</f>
        <v>0</v>
      </c>
      <c r="W143" s="114" t="n">
        <f aca="false">N143/$R$3</f>
        <v>0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Data'!$A$2:$B$8,MATCH(WEEKDAY('SC Total Gas'!A144,3),'Master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0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0</v>
      </c>
      <c r="N144" s="112" t="n">
        <f aca="false">SUM(J$6:J144)</f>
        <v>0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0</v>
      </c>
      <c r="V144" s="114" t="n">
        <f aca="false">M144/$R$3</f>
        <v>0</v>
      </c>
      <c r="W144" s="114" t="n">
        <f aca="false">N144/$R$3</f>
        <v>0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Data'!$A$2:$B$8,MATCH(WEEKDAY('SC Total Gas'!A145,3),'Master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0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0</v>
      </c>
      <c r="N145" s="112" t="n">
        <f aca="false">SUM(J$6:J145)</f>
        <v>0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0</v>
      </c>
      <c r="V145" s="114" t="n">
        <f aca="false">M145/$R$3</f>
        <v>0</v>
      </c>
      <c r="W145" s="114" t="n">
        <f aca="false">N145/$R$3</f>
        <v>0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Data'!$A$2:$B$8,MATCH(WEEKDAY('SC Total Gas'!A146,3),'Master Data'!$A$2:$A$8,0),2)</f>
        <v>M</v>
      </c>
      <c r="D146" s="112" t="n">
        <v>0</v>
      </c>
      <c r="E146" s="112" t="n">
        <v>3260573.62090765</v>
      </c>
      <c r="F146" s="112" t="n">
        <v>0</v>
      </c>
      <c r="G146" s="112" t="n">
        <v>0</v>
      </c>
      <c r="I146" s="112" t="n">
        <f aca="false">IF(MONTH($A146)=MONTH($A145),IF(G146=0,I145,G146),G146)</f>
        <v>0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0</v>
      </c>
      <c r="N146" s="112" t="n">
        <f aca="false">SUM(J$6:J146)</f>
        <v>0</v>
      </c>
      <c r="P146" s="112" t="n">
        <f aca="false">D146/P$3</f>
        <v>0</v>
      </c>
      <c r="Q146" s="112" t="n">
        <f aca="false">E146/P$3</f>
        <v>3.26057362090765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0</v>
      </c>
      <c r="V146" s="114" t="n">
        <f aca="false">M146/$R$3</f>
        <v>0</v>
      </c>
      <c r="W146" s="114" t="n">
        <f aca="false">N146/$R$3</f>
        <v>0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Data'!$A$2:$B$8,MATCH(WEEKDAY('SC Total Gas'!A147,3),'Master Data'!$A$2:$A$8,0),2)</f>
        <v>T</v>
      </c>
      <c r="D147" s="112" t="n">
        <v>0</v>
      </c>
      <c r="E147" s="112" t="n">
        <v>3264021.990519</v>
      </c>
      <c r="F147" s="112" t="n">
        <v>0</v>
      </c>
      <c r="G147" s="112" t="n">
        <v>0</v>
      </c>
      <c r="I147" s="112" t="n">
        <f aca="false">IF(MONTH($A147)=MONTH($A146),IF(G147=0,I146,G147),G147)</f>
        <v>0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0</v>
      </c>
      <c r="N147" s="112" t="n">
        <f aca="false">SUM(J$6:J147)</f>
        <v>0</v>
      </c>
      <c r="P147" s="112" t="n">
        <f aca="false">D147/P$3</f>
        <v>0</v>
      </c>
      <c r="Q147" s="112" t="n">
        <f aca="false">E147/P$3</f>
        <v>3.264021990519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0</v>
      </c>
      <c r="V147" s="114" t="n">
        <f aca="false">M147/$R$3</f>
        <v>0</v>
      </c>
      <c r="W147" s="114" t="n">
        <f aca="false">N147/$R$3</f>
        <v>0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Data'!$A$2:$B$8,MATCH(WEEKDAY('SC Total Gas'!A148,3),'Master Data'!$A$2:$A$8,0),2)</f>
        <v>W</v>
      </c>
      <c r="D148" s="112" t="n">
        <v>0</v>
      </c>
      <c r="E148" s="112" t="n">
        <v>3268310.17652595</v>
      </c>
      <c r="F148" s="112" t="n">
        <v>0</v>
      </c>
      <c r="G148" s="112" t="n">
        <v>0</v>
      </c>
      <c r="I148" s="112" t="n">
        <f aca="false">IF(MONTH($A148)=MONTH($A147),IF(G148=0,I147,G148),G148)</f>
        <v>0</v>
      </c>
      <c r="J148" s="112" t="n">
        <f aca="false">IF(MONTH($A148)=MONTH($A147),SUM(I148-I147),I148)</f>
        <v>0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0</v>
      </c>
      <c r="N148" s="112" t="n">
        <f aca="false">SUM(J$6:J148)</f>
        <v>0</v>
      </c>
      <c r="P148" s="112" t="n">
        <f aca="false">D148/P$3</f>
        <v>0</v>
      </c>
      <c r="Q148" s="112" t="n">
        <f aca="false">E148/P$3</f>
        <v>3.26831017652595</v>
      </c>
      <c r="R148" s="112" t="n">
        <f aca="false">F148/R$3</f>
        <v>0</v>
      </c>
      <c r="S148" s="114" t="n">
        <f aca="false">J148/$R$3</f>
        <v>0</v>
      </c>
      <c r="T148" s="114" t="n">
        <f aca="false">L148/$R$3</f>
        <v>0</v>
      </c>
      <c r="U148" s="114" t="n">
        <f aca="false">I148/$R$3</f>
        <v>0</v>
      </c>
      <c r="V148" s="114" t="n">
        <f aca="false">M148/$R$3</f>
        <v>0</v>
      </c>
      <c r="W148" s="114" t="n">
        <f aca="false">N148/$R$3</f>
        <v>0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Data'!$A$2:$B$8,MATCH(WEEKDAY('SC Total Gas'!A149,3),'Master Data'!$A$2:$A$8,0),2)</f>
        <v>Th</v>
      </c>
      <c r="D149" s="112" t="n">
        <v>0</v>
      </c>
      <c r="E149" s="112" t="n">
        <v>3262030.01195366</v>
      </c>
      <c r="F149" s="112" t="n">
        <v>0</v>
      </c>
      <c r="G149" s="112" t="n">
        <v>0</v>
      </c>
      <c r="I149" s="112" t="n">
        <f aca="false">IF(MONTH($A149)=MONTH($A148),IF(G149=0,I148,G149),G149)</f>
        <v>0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0</v>
      </c>
      <c r="N149" s="112" t="n">
        <f aca="false">SUM(J$6:J149)</f>
        <v>0</v>
      </c>
      <c r="P149" s="112" t="n">
        <f aca="false">D149/P$3</f>
        <v>0</v>
      </c>
      <c r="Q149" s="112" t="n">
        <f aca="false">E149/P$3</f>
        <v>3.26203001195366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0</v>
      </c>
      <c r="V149" s="114" t="n">
        <f aca="false">M149/$R$3</f>
        <v>0</v>
      </c>
      <c r="W149" s="114" t="n">
        <f aca="false">N149/$R$3</f>
        <v>0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Data'!$A$2:$B$8,MATCH(WEEKDAY('SC Total Gas'!A150,3),'Master Data'!$A$2:$A$8,0),2)</f>
        <v>F</v>
      </c>
      <c r="D150" s="112" t="n">
        <v>0</v>
      </c>
      <c r="E150" s="112" t="n">
        <v>3263882.5847219</v>
      </c>
      <c r="F150" s="112" t="n">
        <v>0</v>
      </c>
      <c r="G150" s="112" t="n">
        <v>0</v>
      </c>
      <c r="I150" s="112" t="n">
        <f aca="false">IF(MONTH($A150)=MONTH($A149),IF(G150=0,I149,G150),G150)</f>
        <v>0</v>
      </c>
      <c r="J150" s="112" t="n">
        <f aca="false">IF(MONTH($A150)=MONTH($A149),SUM(I150-I149),I150)</f>
        <v>0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0</v>
      </c>
      <c r="N150" s="112" t="n">
        <f aca="false">SUM(J$6:J150)</f>
        <v>0</v>
      </c>
      <c r="P150" s="112" t="n">
        <f aca="false">D150/P$3</f>
        <v>0</v>
      </c>
      <c r="Q150" s="112" t="n">
        <f aca="false">E150/P$3</f>
        <v>3.2638825847219</v>
      </c>
      <c r="R150" s="112" t="n">
        <f aca="false">F150/R$3</f>
        <v>0</v>
      </c>
      <c r="S150" s="114" t="n">
        <f aca="false">J150/$R$3</f>
        <v>0</v>
      </c>
      <c r="T150" s="114" t="n">
        <f aca="false">L150/$R$3</f>
        <v>0</v>
      </c>
      <c r="U150" s="114" t="n">
        <f aca="false">I150/$R$3</f>
        <v>0</v>
      </c>
      <c r="V150" s="114" t="n">
        <f aca="false">M150/$R$3</f>
        <v>0</v>
      </c>
      <c r="W150" s="114" t="n">
        <f aca="false">N150/$R$3</f>
        <v>0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Data'!$A$2:$B$8,MATCH(WEEKDAY('SC Total Gas'!A151,3),'Master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0</v>
      </c>
      <c r="N151" s="112" t="n">
        <f aca="false">SUM(J$6:J151)</f>
        <v>0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0</v>
      </c>
      <c r="V151" s="114" t="n">
        <f aca="false">M151/$R$3</f>
        <v>0</v>
      </c>
      <c r="W151" s="114" t="n">
        <f aca="false">N151/$R$3</f>
        <v>0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Data'!$A$2:$B$8,MATCH(WEEKDAY('SC Total Gas'!A152,3),'Master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0</v>
      </c>
      <c r="N152" s="112" t="n">
        <f aca="false">SUM(J$6:J152)</f>
        <v>0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0</v>
      </c>
      <c r="V152" s="114" t="n">
        <f aca="false">M152/$R$3</f>
        <v>0</v>
      </c>
      <c r="W152" s="114" t="n">
        <f aca="false">N152/$R$3</f>
        <v>0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Data'!$A$2:$B$8,MATCH(WEEKDAY('SC Total Gas'!A153,3),'Master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0</v>
      </c>
      <c r="N153" s="112" t="n">
        <f aca="false">SUM(J$6:J153)</f>
        <v>0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0</v>
      </c>
      <c r="V153" s="114" t="n">
        <f aca="false">M153/$R$3</f>
        <v>0</v>
      </c>
      <c r="W153" s="114" t="n">
        <f aca="false">N153/$R$3</f>
        <v>0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Data'!$A$2:$B$8,MATCH(WEEKDAY('SC Total Gas'!A154,3),'Master Data'!$A$2:$A$8,0),2)</f>
        <v>T</v>
      </c>
      <c r="D154" s="112" t="n">
        <v>0</v>
      </c>
      <c r="E154" s="112" t="n">
        <v>3263711.5784775</v>
      </c>
      <c r="F154" s="112" t="n">
        <v>0</v>
      </c>
      <c r="G154" s="112" t="n">
        <v>0</v>
      </c>
      <c r="I154" s="112" t="n">
        <f aca="false">IF(MONTH($A154)=MONTH($A153),IF(G154=0,I153,G154),G154)</f>
        <v>0</v>
      </c>
      <c r="J154" s="112" t="n">
        <f aca="false">IF(MONTH($A154)=MONTH($A153),SUM(I154-I153),I154)</f>
        <v>0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0</v>
      </c>
      <c r="N154" s="112" t="n">
        <f aca="false">SUM(J$6:J154)</f>
        <v>0</v>
      </c>
      <c r="P154" s="112" t="n">
        <f aca="false">D154/P$3</f>
        <v>0</v>
      </c>
      <c r="Q154" s="112" t="n">
        <f aca="false">E154/P$3</f>
        <v>3.2637115784775</v>
      </c>
      <c r="R154" s="112" t="n">
        <f aca="false">F154/R$3</f>
        <v>0</v>
      </c>
      <c r="S154" s="114" t="n">
        <f aca="false">J154/$R$3</f>
        <v>0</v>
      </c>
      <c r="T154" s="114" t="n">
        <f aca="false">L154/$R$3</f>
        <v>0</v>
      </c>
      <c r="U154" s="114" t="n">
        <f aca="false">I154/$R$3</f>
        <v>0</v>
      </c>
      <c r="V154" s="114" t="n">
        <f aca="false">M154/$R$3</f>
        <v>0</v>
      </c>
      <c r="W154" s="114" t="n">
        <f aca="false">N154/$R$3</f>
        <v>0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Data'!$A$2:$B$8,MATCH(WEEKDAY('SC Total Gas'!A155,3),'Master Data'!$A$2:$A$8,0),2)</f>
        <v>W</v>
      </c>
      <c r="D155" s="112" t="n">
        <v>0</v>
      </c>
      <c r="E155" s="112" t="n">
        <v>3262796.91286264</v>
      </c>
      <c r="F155" s="112" t="n">
        <v>0</v>
      </c>
      <c r="G155" s="112" t="n">
        <v>0</v>
      </c>
      <c r="I155" s="112" t="n">
        <f aca="false">IF(MONTH($A155)=MONTH($A154),IF(G155=0,I154,G155),G155)</f>
        <v>0</v>
      </c>
      <c r="J155" s="112" t="n">
        <f aca="false">IF(MONTH($A155)=MONTH($A154),SUM(I155-I154),I155)</f>
        <v>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0</v>
      </c>
      <c r="N155" s="112" t="n">
        <f aca="false">SUM(J$6:J155)</f>
        <v>0</v>
      </c>
      <c r="P155" s="112" t="n">
        <f aca="false">D155/P$3</f>
        <v>0</v>
      </c>
      <c r="Q155" s="112" t="n">
        <f aca="false">E155/P$3</f>
        <v>3.26279691286264</v>
      </c>
      <c r="R155" s="112" t="n">
        <f aca="false">F155/R$3</f>
        <v>0</v>
      </c>
      <c r="S155" s="114" t="n">
        <f aca="false">J155/$R$3</f>
        <v>0</v>
      </c>
      <c r="T155" s="114" t="n">
        <f aca="false">L155/$R$3</f>
        <v>0</v>
      </c>
      <c r="U155" s="114" t="n">
        <f aca="false">I155/$R$3</f>
        <v>0</v>
      </c>
      <c r="V155" s="114" t="n">
        <f aca="false">M155/$R$3</f>
        <v>0</v>
      </c>
      <c r="W155" s="114" t="n">
        <f aca="false">N155/$R$3</f>
        <v>0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Data'!$A$2:$B$8,MATCH(WEEKDAY('SC Total Gas'!A156,3),'Master Data'!$A$2:$A$8,0),2)</f>
        <v>Th</v>
      </c>
      <c r="D156" s="112" t="n">
        <v>0</v>
      </c>
      <c r="E156" s="112" t="n">
        <v>3285095.71878079</v>
      </c>
      <c r="F156" s="112" t="n">
        <v>0</v>
      </c>
      <c r="G156" s="112" t="n">
        <v>0</v>
      </c>
      <c r="I156" s="112" t="n">
        <f aca="false">IF(MONTH($A156)=MONTH($A155),IF(G156=0,I155,G156),G156)</f>
        <v>0</v>
      </c>
      <c r="J156" s="112" t="n">
        <f aca="false">IF(MONTH($A156)=MONTH($A155),SUM(I156-I155),I156)</f>
        <v>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0</v>
      </c>
      <c r="N156" s="112" t="n">
        <f aca="false">SUM(J$6:J156)</f>
        <v>0</v>
      </c>
      <c r="P156" s="112" t="n">
        <f aca="false">D156/P$3</f>
        <v>0</v>
      </c>
      <c r="Q156" s="112" t="n">
        <f aca="false">E156/P$3</f>
        <v>3.28509571878079</v>
      </c>
      <c r="R156" s="112" t="n">
        <f aca="false">F156/R$3</f>
        <v>0</v>
      </c>
      <c r="S156" s="114" t="n">
        <f aca="false">J156/$R$3</f>
        <v>0</v>
      </c>
      <c r="T156" s="114" t="n">
        <f aca="false">L156/$R$3</f>
        <v>0</v>
      </c>
      <c r="U156" s="114" t="n">
        <f aca="false">I156/$R$3</f>
        <v>0</v>
      </c>
      <c r="V156" s="114" t="n">
        <f aca="false">M156/$R$3</f>
        <v>0</v>
      </c>
      <c r="W156" s="114" t="n">
        <f aca="false">N156/$R$3</f>
        <v>0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Data'!$A$2:$B$8,MATCH(WEEKDAY('SC Total Gas'!A157,3),'Master Data'!$A$2:$A$8,0),2)</f>
        <v>F</v>
      </c>
      <c r="D157" s="112" t="n">
        <v>0</v>
      </c>
      <c r="E157" s="112" t="n">
        <v>3278123.4982636</v>
      </c>
      <c r="F157" s="112" t="n">
        <v>0</v>
      </c>
      <c r="G157" s="112" t="n">
        <v>0</v>
      </c>
      <c r="I157" s="112" t="n">
        <f aca="false">IF(MONTH($A157)=MONTH($A156),IF(G157=0,I156,G157),G157)</f>
        <v>0</v>
      </c>
      <c r="J157" s="112" t="n">
        <f aca="false">IF(MONTH($A157)=MONTH($A156),SUM(I157-I156),I157)</f>
        <v>0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0</v>
      </c>
      <c r="N157" s="112" t="n">
        <f aca="false">SUM(J$6:J157)</f>
        <v>0</v>
      </c>
      <c r="P157" s="112" t="n">
        <f aca="false">D157/P$3</f>
        <v>0</v>
      </c>
      <c r="Q157" s="112" t="n">
        <f aca="false">E157/P$3</f>
        <v>3.2781234982636</v>
      </c>
      <c r="R157" s="112" t="n">
        <f aca="false">F157/R$3</f>
        <v>0</v>
      </c>
      <c r="S157" s="114" t="n">
        <f aca="false">J157/$R$3</f>
        <v>0</v>
      </c>
      <c r="T157" s="114" t="n">
        <f aca="false">L157/$R$3</f>
        <v>0</v>
      </c>
      <c r="U157" s="114" t="n">
        <f aca="false">I157/$R$3</f>
        <v>0</v>
      </c>
      <c r="V157" s="114" t="n">
        <f aca="false">M157/$R$3</f>
        <v>0</v>
      </c>
      <c r="W157" s="114" t="n">
        <f aca="false">N157/$R$3</f>
        <v>0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Data'!$A$2:$B$8,MATCH(WEEKDAY('SC Total Gas'!A158,3),'Master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0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0</v>
      </c>
      <c r="N158" s="112" t="n">
        <f aca="false">SUM(J$6:J158)</f>
        <v>0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</v>
      </c>
      <c r="V158" s="114" t="n">
        <f aca="false">M158/$R$3</f>
        <v>0</v>
      </c>
      <c r="W158" s="114" t="n">
        <f aca="false">N158/$R$3</f>
        <v>0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Data'!$A$2:$B$8,MATCH(WEEKDAY('SC Total Gas'!A159,3),'Master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0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0</v>
      </c>
      <c r="N159" s="112" t="n">
        <f aca="false">SUM(J$6:J159)</f>
        <v>0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</v>
      </c>
      <c r="V159" s="114" t="n">
        <f aca="false">M159/$R$3</f>
        <v>0</v>
      </c>
      <c r="W159" s="114" t="n">
        <f aca="false">N159/$R$3</f>
        <v>0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Data'!$A$2:$B$8,MATCH(WEEKDAY('SC Total Gas'!A160,3),'Master Data'!$A$2:$A$8,0),2)</f>
        <v>M</v>
      </c>
      <c r="D160" s="112" t="n">
        <v>0</v>
      </c>
      <c r="E160" s="112" t="n">
        <v>3280462.48292571</v>
      </c>
      <c r="F160" s="112" t="n">
        <v>0</v>
      </c>
      <c r="G160" s="112" t="n">
        <v>0</v>
      </c>
      <c r="I160" s="112" t="n">
        <f aca="false">IF(MONTH($A160)=MONTH($A159),IF(G160=0,I159,G160),G160)</f>
        <v>0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0</v>
      </c>
      <c r="N160" s="112" t="n">
        <f aca="false">SUM(J$6:J160)</f>
        <v>0</v>
      </c>
      <c r="P160" s="112" t="n">
        <f aca="false">D160/P$3</f>
        <v>0</v>
      </c>
      <c r="Q160" s="112" t="n">
        <f aca="false">E160/P$3</f>
        <v>3.28046248292571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</v>
      </c>
      <c r="V160" s="114" t="n">
        <f aca="false">M160/$R$3</f>
        <v>0</v>
      </c>
      <c r="W160" s="114" t="n">
        <f aca="false">N160/$R$3</f>
        <v>0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Data'!$A$2:$B$8,MATCH(WEEKDAY('SC Total Gas'!A161,3),'Master Data'!$A$2:$A$8,0),2)</f>
        <v>T</v>
      </c>
      <c r="D161" s="112" t="n">
        <v>0</v>
      </c>
      <c r="E161" s="112" t="n">
        <v>3287799.56772327</v>
      </c>
      <c r="F161" s="112" t="n">
        <v>0</v>
      </c>
      <c r="G161" s="112" t="n">
        <v>0</v>
      </c>
      <c r="I161" s="112" t="n">
        <f aca="false">IF(MONTH($A161)=MONTH($A160),IF(G161=0,I160,G161),G161)</f>
        <v>0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0</v>
      </c>
      <c r="N161" s="112" t="n">
        <f aca="false">SUM(J$6:J161)</f>
        <v>0</v>
      </c>
      <c r="P161" s="112" t="n">
        <f aca="false">D161/P$3</f>
        <v>0</v>
      </c>
      <c r="Q161" s="112" t="n">
        <f aca="false">E161/P$3</f>
        <v>3.28779956772327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</v>
      </c>
      <c r="V161" s="114" t="n">
        <f aca="false">M161/$R$3</f>
        <v>0</v>
      </c>
      <c r="W161" s="114" t="n">
        <f aca="false">N161/$R$3</f>
        <v>0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Data'!$A$2:$B$8,MATCH(WEEKDAY('SC Total Gas'!A162,3),'Master Data'!$A$2:$A$8,0),2)</f>
        <v>W</v>
      </c>
      <c r="D162" s="112" t="n">
        <v>0</v>
      </c>
      <c r="E162" s="112" t="n">
        <v>3289389.54739946</v>
      </c>
      <c r="F162" s="112" t="n">
        <v>0</v>
      </c>
      <c r="G162" s="112" t="n">
        <v>0</v>
      </c>
      <c r="I162" s="112" t="n">
        <f aca="false">IF(MONTH($A162)=MONTH($A161),IF(G162=0,I161,G162),G162)</f>
        <v>0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0</v>
      </c>
      <c r="N162" s="112" t="n">
        <f aca="false">SUM(J$6:J162)</f>
        <v>0</v>
      </c>
      <c r="P162" s="112" t="n">
        <f aca="false">D162/P$3</f>
        <v>0</v>
      </c>
      <c r="Q162" s="112" t="n">
        <f aca="false">E162/P$3</f>
        <v>3.28938954739946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0</v>
      </c>
      <c r="V162" s="114" t="n">
        <f aca="false">M162/$R$3</f>
        <v>0</v>
      </c>
      <c r="W162" s="114" t="n">
        <f aca="false">N162/$R$3</f>
        <v>0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Data'!$A$2:$B$8,MATCH(WEEKDAY('SC Total Gas'!A163,3),'Master Data'!$A$2:$A$8,0),2)</f>
        <v>Th</v>
      </c>
      <c r="D163" s="112" t="n">
        <v>0</v>
      </c>
      <c r="E163" s="112" t="n">
        <v>3287981.45427974</v>
      </c>
      <c r="F163" s="112" t="n">
        <v>0</v>
      </c>
      <c r="G163" s="112" t="n">
        <v>0</v>
      </c>
      <c r="I163" s="112" t="n">
        <f aca="false">IF(MONTH($A163)=MONTH($A162),IF(G163=0,I162,G163),G163)</f>
        <v>0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0</v>
      </c>
      <c r="N163" s="112" t="n">
        <f aca="false">SUM(J$6:J163)</f>
        <v>0</v>
      </c>
      <c r="P163" s="112" t="n">
        <f aca="false">D163/P$3</f>
        <v>0</v>
      </c>
      <c r="Q163" s="112" t="n">
        <f aca="false">E163/P$3</f>
        <v>3.28798145427974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</v>
      </c>
      <c r="V163" s="114" t="n">
        <f aca="false">M163/$R$3</f>
        <v>0</v>
      </c>
      <c r="W163" s="114" t="n">
        <f aca="false">N163/$R$3</f>
        <v>0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Data'!$A$2:$B$8,MATCH(WEEKDAY('SC Total Gas'!A164,3),'Master Data'!$A$2:$A$8,0),2)</f>
        <v>F</v>
      </c>
      <c r="D164" s="112" t="n">
        <v>0</v>
      </c>
      <c r="E164" s="112" t="n">
        <v>3277659.225743</v>
      </c>
      <c r="F164" s="112" t="n">
        <v>0</v>
      </c>
      <c r="G164" s="112" t="n">
        <v>0</v>
      </c>
      <c r="I164" s="112" t="n">
        <f aca="false">IF(MONTH($A164)=MONTH($A163),IF(G164=0,I163,G164),G164)</f>
        <v>0</v>
      </c>
      <c r="J164" s="112" t="n">
        <f aca="false">IF(MONTH($A164)=MONTH($A163),SUM(I164-I163),I164)</f>
        <v>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0</v>
      </c>
      <c r="N164" s="112" t="n">
        <f aca="false">SUM(J$6:J164)</f>
        <v>0</v>
      </c>
      <c r="P164" s="112" t="n">
        <f aca="false">D164/P$3</f>
        <v>0</v>
      </c>
      <c r="Q164" s="112" t="n">
        <f aca="false">E164/P$3</f>
        <v>3.277659225743</v>
      </c>
      <c r="R164" s="112" t="n">
        <f aca="false">F164/R$3</f>
        <v>0</v>
      </c>
      <c r="S164" s="114" t="n">
        <f aca="false">J164/$R$3</f>
        <v>0</v>
      </c>
      <c r="T164" s="114" t="n">
        <f aca="false">L164/$R$3</f>
        <v>0</v>
      </c>
      <c r="U164" s="114" t="n">
        <f aca="false">I164/$R$3</f>
        <v>0</v>
      </c>
      <c r="V164" s="114" t="n">
        <f aca="false">M164/$R$3</f>
        <v>0</v>
      </c>
      <c r="W164" s="114" t="n">
        <f aca="false">N164/$R$3</f>
        <v>0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Data'!$A$2:$B$8,MATCH(WEEKDAY('SC Total Gas'!A165,3),'Master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0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0</v>
      </c>
      <c r="N165" s="112" t="n">
        <f aca="false">SUM(J$6:J165)</f>
        <v>0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</v>
      </c>
      <c r="V165" s="114" t="n">
        <f aca="false">M165/$R$3</f>
        <v>0</v>
      </c>
      <c r="W165" s="114" t="n">
        <f aca="false">N165/$R$3</f>
        <v>0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Data'!$A$2:$B$8,MATCH(WEEKDAY('SC Total Gas'!A166,3),'Master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0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0</v>
      </c>
      <c r="N166" s="112" t="n">
        <f aca="false">SUM(J$6:J166)</f>
        <v>0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</v>
      </c>
      <c r="V166" s="114" t="n">
        <f aca="false">M166/$R$3</f>
        <v>0</v>
      </c>
      <c r="W166" s="114" t="n">
        <f aca="false">N166/$R$3</f>
        <v>0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Data'!$A$2:$B$8,MATCH(WEEKDAY('SC Total Gas'!A167,3),'Master Data'!$A$2:$A$8,0),2)</f>
        <v>M</v>
      </c>
      <c r="D167" s="112" t="n">
        <v>0</v>
      </c>
      <c r="E167" s="112" t="n">
        <v>3288816.24191495</v>
      </c>
      <c r="F167" s="112" t="n">
        <v>0</v>
      </c>
      <c r="G167" s="112" t="n">
        <v>0</v>
      </c>
      <c r="I167" s="112" t="n">
        <f aca="false">IF(MONTH($A167)=MONTH($A166),IF(G167=0,I166,G167),G167)</f>
        <v>0</v>
      </c>
      <c r="J167" s="112" t="n">
        <f aca="false">IF(MONTH($A167)=MONTH($A166),SUM(I167-I166),I167)</f>
        <v>0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0</v>
      </c>
      <c r="N167" s="112" t="n">
        <f aca="false">SUM(J$6:J167)</f>
        <v>0</v>
      </c>
      <c r="P167" s="112" t="n">
        <f aca="false">D167/P$3</f>
        <v>0</v>
      </c>
      <c r="Q167" s="112" t="n">
        <f aca="false">E167/P$3</f>
        <v>3.28881624191495</v>
      </c>
      <c r="R167" s="112" t="n">
        <f aca="false">F167/R$3</f>
        <v>0</v>
      </c>
      <c r="S167" s="114" t="n">
        <f aca="false">J167/$R$3</f>
        <v>0</v>
      </c>
      <c r="T167" s="114" t="n">
        <f aca="false">L167/$R$3</f>
        <v>0</v>
      </c>
      <c r="U167" s="114" t="n">
        <f aca="false">I167/$R$3</f>
        <v>0</v>
      </c>
      <c r="V167" s="114" t="n">
        <f aca="false">M167/$R$3</f>
        <v>0</v>
      </c>
      <c r="W167" s="114" t="n">
        <f aca="false">N167/$R$3</f>
        <v>0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Data'!$A$2:$B$8,MATCH(WEEKDAY('SC Total Gas'!A168,3),'Master Data'!$A$2:$A$8,0),2)</f>
        <v>T</v>
      </c>
      <c r="D168" s="112" t="n">
        <v>0</v>
      </c>
      <c r="E168" s="112" t="n">
        <v>3295395.96206493</v>
      </c>
      <c r="F168" s="112" t="n">
        <v>0</v>
      </c>
      <c r="G168" s="112" t="n">
        <v>0</v>
      </c>
      <c r="I168" s="112" t="n">
        <f aca="false">IF(MONTH($A168)=MONTH($A167),IF(G168=0,I167,G168),G168)</f>
        <v>0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0</v>
      </c>
      <c r="N168" s="112" t="n">
        <f aca="false">SUM(J$6:J168)</f>
        <v>0</v>
      </c>
      <c r="P168" s="112" t="n">
        <f aca="false">D168/P$3</f>
        <v>0</v>
      </c>
      <c r="Q168" s="112" t="n">
        <f aca="false">E168/P$3</f>
        <v>3.29539596206493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</v>
      </c>
      <c r="V168" s="114" t="n">
        <f aca="false">M168/$R$3</f>
        <v>0</v>
      </c>
      <c r="W168" s="114" t="n">
        <f aca="false">N168/$R$3</f>
        <v>0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Data'!$A$2:$B$8,MATCH(WEEKDAY('SC Total Gas'!A169,3),'Master Data'!$A$2:$A$8,0),2)</f>
        <v>W</v>
      </c>
      <c r="D169" s="112" t="n">
        <v>0</v>
      </c>
      <c r="E169" s="112" t="n">
        <v>3296925.89401505</v>
      </c>
      <c r="F169" s="112" t="n">
        <v>0</v>
      </c>
      <c r="G169" s="112" t="n">
        <v>0</v>
      </c>
      <c r="I169" s="112" t="n">
        <f aca="false">IF(MONTH($A169)=MONTH($A168),IF(G169=0,I168,G169),G169)</f>
        <v>0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0</v>
      </c>
      <c r="N169" s="112" t="n">
        <f aca="false">SUM(J$6:J169)</f>
        <v>0</v>
      </c>
      <c r="P169" s="112" t="n">
        <f aca="false">D169/P$3</f>
        <v>0</v>
      </c>
      <c r="Q169" s="112" t="n">
        <f aca="false">E169/P$3</f>
        <v>3.29692589401505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</v>
      </c>
      <c r="V169" s="114" t="n">
        <f aca="false">M169/$R$3</f>
        <v>0</v>
      </c>
      <c r="W169" s="114" t="n">
        <f aca="false">N169/$R$3</f>
        <v>0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Data'!$A$2:$B$8,MATCH(WEEKDAY('SC Total Gas'!A170,3),'Master Data'!$A$2:$A$8,0),2)</f>
        <v>Th</v>
      </c>
      <c r="D170" s="112" t="n">
        <v>0</v>
      </c>
      <c r="E170" s="112" t="n">
        <v>4259560.37100637</v>
      </c>
      <c r="F170" s="112" t="n">
        <v>0</v>
      </c>
      <c r="G170" s="112" t="n">
        <v>0</v>
      </c>
      <c r="I170" s="112" t="n">
        <f aca="false">IF(MONTH($A170)=MONTH($A169),IF(G170=0,I169,G170),G170)</f>
        <v>0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0</v>
      </c>
      <c r="N170" s="112" t="n">
        <f aca="false">SUM(J$6:J170)</f>
        <v>0</v>
      </c>
      <c r="P170" s="112" t="n">
        <f aca="false">D170/P$3</f>
        <v>0</v>
      </c>
      <c r="Q170" s="112" t="n">
        <f aca="false">E170/P$3</f>
        <v>4.25956037100637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</v>
      </c>
      <c r="V170" s="114" t="n">
        <f aca="false">M170/$R$3</f>
        <v>0</v>
      </c>
      <c r="W170" s="114" t="n">
        <f aca="false">N170/$R$3</f>
        <v>0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Data'!$A$2:$B$8,MATCH(WEEKDAY('SC Total Gas'!A171,3),'Master Data'!$A$2:$A$8,0),2)</f>
        <v>F</v>
      </c>
      <c r="D171" s="112" t="n">
        <v>0</v>
      </c>
      <c r="E171" s="112" t="n">
        <v>4259684.79452914</v>
      </c>
      <c r="F171" s="112" t="n">
        <v>0</v>
      </c>
      <c r="G171" s="112" t="n">
        <v>0</v>
      </c>
      <c r="I171" s="112" t="n">
        <f aca="false">IF(MONTH($A171)=MONTH($A170),IF(G171=0,I170,G171),G171)</f>
        <v>0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0</v>
      </c>
      <c r="N171" s="112" t="n">
        <f aca="false">SUM(J$6:J171)</f>
        <v>0</v>
      </c>
      <c r="P171" s="112" t="n">
        <f aca="false">D171/P$3</f>
        <v>0</v>
      </c>
      <c r="Q171" s="112" t="n">
        <f aca="false">E171/P$3</f>
        <v>4.25968479452914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</v>
      </c>
      <c r="V171" s="114" t="n">
        <f aca="false">M171/$R$3</f>
        <v>0</v>
      </c>
      <c r="W171" s="114" t="n">
        <f aca="false">N171/$R$3</f>
        <v>0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Data'!$A$2:$B$8,MATCH(WEEKDAY('SC Total Gas'!A172,3),'Master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0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0</v>
      </c>
      <c r="N172" s="112" t="n">
        <f aca="false">SUM(J$6:J172)</f>
        <v>0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</v>
      </c>
      <c r="V172" s="114" t="n">
        <f aca="false">M172/$R$3</f>
        <v>0</v>
      </c>
      <c r="W172" s="114" t="n">
        <f aca="false">N172/$R$3</f>
        <v>0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Data'!$A$2:$B$8,MATCH(WEEKDAY('SC Total Gas'!A173,3),'Master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0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0</v>
      </c>
      <c r="N173" s="112" t="n">
        <f aca="false">SUM(J$6:J173)</f>
        <v>0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</v>
      </c>
      <c r="V173" s="114" t="n">
        <f aca="false">M173/$R$3</f>
        <v>0</v>
      </c>
      <c r="W173" s="114" t="n">
        <f aca="false">N173/$R$3</f>
        <v>0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Data'!$A$2:$B$8,MATCH(WEEKDAY('SC Total Gas'!A174,3),'Master Data'!$A$2:$A$8,0),2)</f>
        <v>M</v>
      </c>
      <c r="D174" s="112" t="n">
        <v>0</v>
      </c>
      <c r="E174" s="112" t="n">
        <v>4263921.14419312</v>
      </c>
      <c r="F174" s="112" t="n">
        <v>0</v>
      </c>
      <c r="G174" s="112" t="n">
        <v>0</v>
      </c>
      <c r="I174" s="112" t="n">
        <f aca="false">IF(MONTH($A174)=MONTH($A173),IF(G174=0,I173,G174),G174)</f>
        <v>0</v>
      </c>
      <c r="J174" s="112" t="n">
        <f aca="false">IF(MONTH($A174)=MONTH($A173),SUM(I174-I173),I174)</f>
        <v>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0</v>
      </c>
      <c r="N174" s="112" t="n">
        <f aca="false">SUM(J$6:J174)</f>
        <v>0</v>
      </c>
      <c r="P174" s="112" t="n">
        <f aca="false">D174/P$3</f>
        <v>0</v>
      </c>
      <c r="Q174" s="112" t="n">
        <f aca="false">E174/P$3</f>
        <v>4.26392114419312</v>
      </c>
      <c r="R174" s="112" t="n">
        <f aca="false">F174/R$3</f>
        <v>0</v>
      </c>
      <c r="S174" s="114" t="n">
        <f aca="false">J174/$R$3</f>
        <v>0</v>
      </c>
      <c r="T174" s="114" t="n">
        <f aca="false">L174/$R$3</f>
        <v>0</v>
      </c>
      <c r="U174" s="114" t="n">
        <f aca="false">I174/$R$3</f>
        <v>0</v>
      </c>
      <c r="V174" s="114" t="n">
        <f aca="false">M174/$R$3</f>
        <v>0</v>
      </c>
      <c r="W174" s="114" t="n">
        <f aca="false">N174/$R$3</f>
        <v>0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Data'!$A$2:$B$8,MATCH(WEEKDAY('SC Total Gas'!A175,3),'Master Data'!$A$2:$A$8,0),2)</f>
        <v>T</v>
      </c>
      <c r="D175" s="112" t="n">
        <v>0</v>
      </c>
      <c r="E175" s="112" t="n">
        <v>4293207.1267221</v>
      </c>
      <c r="F175" s="112" t="n">
        <v>0</v>
      </c>
      <c r="G175" s="112" t="n">
        <v>0</v>
      </c>
      <c r="I175" s="112" t="n">
        <f aca="false">IF(MONTH($A175)=MONTH($A174),IF(G175=0,I174,G175),G175)</f>
        <v>0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0</v>
      </c>
      <c r="N175" s="112" t="n">
        <f aca="false">SUM(J$6:J175)</f>
        <v>0</v>
      </c>
      <c r="P175" s="112" t="n">
        <f aca="false">D175/P$3</f>
        <v>0</v>
      </c>
      <c r="Q175" s="112" t="n">
        <f aca="false">E175/P$3</f>
        <v>4.2932071267221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</v>
      </c>
      <c r="V175" s="114" t="n">
        <f aca="false">M175/$R$3</f>
        <v>0</v>
      </c>
      <c r="W175" s="114" t="n">
        <f aca="false">N175/$R$3</f>
        <v>0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Data'!$A$2:$B$8,MATCH(WEEKDAY('SC Total Gas'!A176,3),'Master Data'!$A$2:$A$8,0),2)</f>
        <v>W</v>
      </c>
      <c r="D176" s="112" t="n">
        <v>0</v>
      </c>
      <c r="E176" s="112" t="n">
        <v>4271239.34159276</v>
      </c>
      <c r="F176" s="112" t="n">
        <v>0</v>
      </c>
      <c r="G176" s="112" t="n">
        <v>0</v>
      </c>
      <c r="I176" s="112" t="n">
        <f aca="false">IF(MONTH($A176)=MONTH($A175),IF(G176=0,I175,G176),G176)</f>
        <v>0</v>
      </c>
      <c r="J176" s="112" t="n">
        <f aca="false">IF(MONTH($A176)=MONTH($A175),SUM(I176-I175),I176)</f>
        <v>0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0</v>
      </c>
      <c r="N176" s="112" t="n">
        <f aca="false">SUM(J$6:J176)</f>
        <v>0</v>
      </c>
      <c r="P176" s="112" t="n">
        <f aca="false">D176/P$3</f>
        <v>0</v>
      </c>
      <c r="Q176" s="112" t="n">
        <f aca="false">E176/P$3</f>
        <v>4.27123934159276</v>
      </c>
      <c r="R176" s="112" t="n">
        <f aca="false">F176/R$3</f>
        <v>0</v>
      </c>
      <c r="S176" s="114" t="n">
        <f aca="false">J176/$R$3</f>
        <v>0</v>
      </c>
      <c r="T176" s="114" t="n">
        <f aca="false">L176/$R$3</f>
        <v>0</v>
      </c>
      <c r="U176" s="114" t="n">
        <f aca="false">I176/$R$3</f>
        <v>0</v>
      </c>
      <c r="V176" s="114" t="n">
        <f aca="false">M176/$R$3</f>
        <v>0</v>
      </c>
      <c r="W176" s="114" t="n">
        <f aca="false">N176/$R$3</f>
        <v>0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Data'!$A$2:$B$8,MATCH(WEEKDAY('SC Total Gas'!A177,3),'Master Data'!$A$2:$A$8,0),2)</f>
        <v>Th</v>
      </c>
      <c r="D177" s="112" t="n">
        <v>0</v>
      </c>
      <c r="E177" s="112" t="n">
        <v>4269146.04679975</v>
      </c>
      <c r="F177" s="112" t="n">
        <v>0</v>
      </c>
      <c r="G177" s="112" t="n">
        <v>0</v>
      </c>
      <c r="I177" s="112" t="n">
        <f aca="false">IF(MONTH($A177)=MONTH($A176),IF(G177=0,I176,G177),G177)</f>
        <v>0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0</v>
      </c>
      <c r="N177" s="112" t="n">
        <f aca="false">SUM(J$6:J177)</f>
        <v>0</v>
      </c>
      <c r="P177" s="112" t="n">
        <f aca="false">D177/P$3</f>
        <v>0</v>
      </c>
      <c r="Q177" s="112" t="n">
        <f aca="false">E177/P$3</f>
        <v>4.26914604679975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</v>
      </c>
      <c r="V177" s="114" t="n">
        <f aca="false">M177/$R$3</f>
        <v>0</v>
      </c>
      <c r="W177" s="114" t="n">
        <f aca="false">N177/$R$3</f>
        <v>0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Data'!$A$2:$B$8,MATCH(WEEKDAY('SC Total Gas'!A178,3),'Master Data'!$A$2:$A$8,0),2)</f>
        <v>F</v>
      </c>
      <c r="D178" s="112" t="n">
        <v>0</v>
      </c>
      <c r="E178" s="112" t="n">
        <v>4279436.80000591</v>
      </c>
      <c r="F178" s="112" t="n">
        <v>0</v>
      </c>
      <c r="G178" s="112" t="n">
        <v>0</v>
      </c>
      <c r="I178" s="112" t="n">
        <f aca="false">IF(MONTH($A178)=MONTH($A177),IF(G178=0,I177,G178),G178)</f>
        <v>0</v>
      </c>
      <c r="J178" s="112" t="n">
        <f aca="false">IF(MONTH($A178)=MONTH($A177),SUM(I178-I177),I178)</f>
        <v>0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0</v>
      </c>
      <c r="N178" s="112" t="n">
        <f aca="false">SUM(J$6:J178)</f>
        <v>0</v>
      </c>
      <c r="P178" s="112" t="n">
        <f aca="false">D178/P$3</f>
        <v>0</v>
      </c>
      <c r="Q178" s="112" t="n">
        <f aca="false">E178/P$3</f>
        <v>4.27943680000591</v>
      </c>
      <c r="R178" s="112" t="n">
        <f aca="false">F178/R$3</f>
        <v>0</v>
      </c>
      <c r="S178" s="114" t="n">
        <f aca="false">J178/$R$3</f>
        <v>0</v>
      </c>
      <c r="T178" s="114" t="n">
        <f aca="false">L178/$R$3</f>
        <v>0</v>
      </c>
      <c r="U178" s="114" t="n">
        <f aca="false">I178/$R$3</f>
        <v>0</v>
      </c>
      <c r="V178" s="114" t="n">
        <f aca="false">M178/$R$3</f>
        <v>0</v>
      </c>
      <c r="W178" s="114" t="n">
        <f aca="false">N178/$R$3</f>
        <v>0</v>
      </c>
      <c r="X178" s="132"/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Data'!$A$2:$B$8,MATCH(WEEKDAY('SC Total Gas'!A179,3),'Master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0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0</v>
      </c>
      <c r="N179" s="112" t="n">
        <f aca="false">SUM(J$6:J179)</f>
        <v>0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</v>
      </c>
      <c r="V179" s="114" t="n">
        <f aca="false">M179/$R$3</f>
        <v>0</v>
      </c>
      <c r="W179" s="114" t="n">
        <f aca="false">N179/$R$3</f>
        <v>0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Data'!$A$2:$B$8,MATCH(WEEKDAY('SC Total Gas'!A180,3),'Master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0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0</v>
      </c>
      <c r="N180" s="112" t="n">
        <f aca="false">SUM(J$6:J180)</f>
        <v>0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</v>
      </c>
      <c r="V180" s="114" t="n">
        <f aca="false">M180/$R$3</f>
        <v>0</v>
      </c>
      <c r="W180" s="114" t="n">
        <f aca="false">N180/$R$3</f>
        <v>0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Data'!$A$2:$B$8,MATCH(WEEKDAY('SC Total Gas'!A181,3),'Master Data'!$A$2:$A$8,0),2)</f>
        <v>M</v>
      </c>
      <c r="D181" s="112" t="n">
        <v>0</v>
      </c>
      <c r="E181" s="112" t="n">
        <v>4279326.64147134</v>
      </c>
      <c r="F181" s="112" t="n">
        <v>0</v>
      </c>
      <c r="G181" s="112" t="n">
        <v>0</v>
      </c>
      <c r="I181" s="112" t="n">
        <f aca="false">IF(MONTH($A181)=MONTH($A180),IF(G181=0,I180,G181),G181)</f>
        <v>0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0</v>
      </c>
      <c r="N181" s="112" t="n">
        <f aca="false">SUM(J$6:J181)</f>
        <v>0</v>
      </c>
      <c r="P181" s="112" t="n">
        <f aca="false">D181/P$3</f>
        <v>0</v>
      </c>
      <c r="Q181" s="112" t="n">
        <f aca="false">E181/P$3</f>
        <v>4.27932664147134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0</v>
      </c>
      <c r="V181" s="114" t="n">
        <f aca="false">M181/$R$3</f>
        <v>0</v>
      </c>
      <c r="W181" s="114" t="n">
        <f aca="false">N181/$R$3</f>
        <v>0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Data'!$A$2:$B$8,MATCH(WEEKDAY('SC Total Gas'!A182,3),'Master Data'!$A$2:$A$8,0),2)</f>
        <v>T</v>
      </c>
      <c r="D182" s="112" t="n">
        <v>0</v>
      </c>
      <c r="E182" s="112" t="n">
        <v>4267841.39251854</v>
      </c>
      <c r="F182" s="112" t="n">
        <v>0</v>
      </c>
      <c r="G182" s="112" t="n">
        <v>0</v>
      </c>
      <c r="I182" s="112" t="n">
        <f aca="false">IF(MONTH($A182)=MONTH($A181),IF(G182=0,I181,G182),G182)</f>
        <v>0</v>
      </c>
      <c r="J182" s="112" t="n">
        <f aca="false">IF(MONTH($A182)=MONTH($A181),SUM(I182-I181),I182)</f>
        <v>0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0</v>
      </c>
      <c r="N182" s="112" t="n">
        <f aca="false">SUM(J$6:J182)</f>
        <v>0</v>
      </c>
      <c r="P182" s="112" t="n">
        <f aca="false">D182/P$3</f>
        <v>0</v>
      </c>
      <c r="Q182" s="112" t="n">
        <f aca="false">E182/P$3</f>
        <v>4.26784139251854</v>
      </c>
      <c r="R182" s="112" t="n">
        <f aca="false">F182/R$3</f>
        <v>0</v>
      </c>
      <c r="S182" s="114" t="n">
        <f aca="false">J182/$R$3</f>
        <v>0</v>
      </c>
      <c r="T182" s="114" t="n">
        <f aca="false">L182/$R$3</f>
        <v>0</v>
      </c>
      <c r="U182" s="114" t="n">
        <f aca="false">I182/$R$3</f>
        <v>0</v>
      </c>
      <c r="V182" s="114" t="n">
        <f aca="false">M182/$R$3</f>
        <v>0</v>
      </c>
      <c r="W182" s="114" t="n">
        <f aca="false">N182/$R$3</f>
        <v>0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Data'!$A$2:$B$8,MATCH(WEEKDAY('SC Total Gas'!A183,3),'Master Data'!$A$2:$A$8,0),2)</f>
        <v>W</v>
      </c>
      <c r="D183" s="112" t="n">
        <v>0</v>
      </c>
      <c r="E183" s="112" t="n">
        <v>4257276.44057676</v>
      </c>
      <c r="F183" s="112" t="n">
        <v>0</v>
      </c>
      <c r="G183" s="112" t="n">
        <v>0</v>
      </c>
      <c r="I183" s="112" t="n">
        <f aca="false">IF(MONTH($A183)=MONTH($A182),IF(G183=0,I182,G183),G183)</f>
        <v>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0</v>
      </c>
      <c r="N183" s="112" t="n">
        <f aca="false">SUM(J$6:J183)</f>
        <v>0</v>
      </c>
      <c r="P183" s="112" t="n">
        <f aca="false">D183/P$3</f>
        <v>0</v>
      </c>
      <c r="Q183" s="112" t="n">
        <f aca="false">E183/P$3</f>
        <v>4.25727644057676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</v>
      </c>
      <c r="V183" s="114" t="n">
        <f aca="false">M183/$R$3</f>
        <v>0</v>
      </c>
      <c r="W183" s="114" t="n">
        <f aca="false">N183/$R$3</f>
        <v>0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Data'!$A$2:$B$8,MATCH(WEEKDAY('SC Total Gas'!A184,3),'Master Data'!$A$2:$A$8,0),2)</f>
        <v>Th</v>
      </c>
      <c r="D184" s="112" t="n">
        <v>0</v>
      </c>
      <c r="E184" s="112" t="n">
        <v>4238165.63586541</v>
      </c>
      <c r="F184" s="112" t="n">
        <v>0</v>
      </c>
      <c r="G184" s="112" t="n">
        <v>0</v>
      </c>
      <c r="I184" s="112" t="n">
        <f aca="false">IF(MONTH($A184)=MONTH($A183),IF(G184=0,I183,G184),G184)</f>
        <v>0</v>
      </c>
      <c r="J184" s="112" t="n">
        <f aca="false">IF(MONTH($A184)=MONTH($A183),SUM(I184-I183),I184)</f>
        <v>0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0</v>
      </c>
      <c r="N184" s="112" t="n">
        <f aca="false">SUM(J$6:J184)</f>
        <v>0</v>
      </c>
      <c r="P184" s="112" t="n">
        <f aca="false">D184/P$3</f>
        <v>0</v>
      </c>
      <c r="Q184" s="112" t="n">
        <f aca="false">E184/P$3</f>
        <v>4.23816563586541</v>
      </c>
      <c r="R184" s="112" t="n">
        <f aca="false">F184/R$3</f>
        <v>0</v>
      </c>
      <c r="S184" s="114" t="n">
        <f aca="false">J184/$R$3</f>
        <v>0</v>
      </c>
      <c r="T184" s="114" t="n">
        <f aca="false">L184/$R$3</f>
        <v>0</v>
      </c>
      <c r="U184" s="114" t="n">
        <f aca="false">I184/$R$3</f>
        <v>0</v>
      </c>
      <c r="V184" s="114" t="n">
        <f aca="false">M184/$R$3</f>
        <v>0</v>
      </c>
      <c r="W184" s="114" t="n">
        <f aca="false">N184/$R$3</f>
        <v>0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Data'!$A$2:$B$8,MATCH(WEEKDAY('SC Total Gas'!A185,3),'Master Data'!$A$2:$A$8,0),2)</f>
        <v>F</v>
      </c>
      <c r="D185" s="112" t="n">
        <v>0</v>
      </c>
      <c r="E185" s="112" t="n">
        <v>4233572.83705155</v>
      </c>
      <c r="F185" s="112" t="n">
        <v>0</v>
      </c>
      <c r="G185" s="112" t="n">
        <v>0</v>
      </c>
      <c r="I185" s="112" t="n">
        <f aca="false">IF(MONTH($A185)=MONTH($A184),IF(G185=0,I184,G185),G185)</f>
        <v>0</v>
      </c>
      <c r="J185" s="112" t="n">
        <f aca="false">IF(MONTH($A185)=MONTH($A184),SUM(I185-I184),I185)</f>
        <v>0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0</v>
      </c>
      <c r="N185" s="112" t="n">
        <f aca="false">SUM(J$6:J185)</f>
        <v>0</v>
      </c>
      <c r="P185" s="112" t="n">
        <f aca="false">D185/P$3</f>
        <v>0</v>
      </c>
      <c r="Q185" s="112" t="n">
        <f aca="false">E185/P$3</f>
        <v>4.23357283705155</v>
      </c>
      <c r="R185" s="112" t="n">
        <f aca="false">F185/R$3</f>
        <v>0</v>
      </c>
      <c r="S185" s="114" t="n">
        <f aca="false">J185/$R$3</f>
        <v>0</v>
      </c>
      <c r="T185" s="114" t="n">
        <f aca="false">L185/$R$3</f>
        <v>0</v>
      </c>
      <c r="U185" s="114" t="n">
        <f aca="false">I185/$R$3</f>
        <v>0</v>
      </c>
      <c r="V185" s="114" t="n">
        <f aca="false">M185/$R$3</f>
        <v>0</v>
      </c>
      <c r="W185" s="114" t="n">
        <f aca="false">N185/$R$3</f>
        <v>0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Data'!$A$2:$B$8,MATCH(WEEKDAY('SC Total Gas'!A186,3),'Master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0</v>
      </c>
      <c r="N186" s="112" t="n">
        <f aca="false">SUM(J$6:J186)</f>
        <v>0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0</v>
      </c>
      <c r="V186" s="114" t="n">
        <f aca="false">M186/$R$3</f>
        <v>0</v>
      </c>
      <c r="W186" s="114" t="n">
        <f aca="false">N186/$R$3</f>
        <v>0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Data'!$A$2:$B$8,MATCH(WEEKDAY('SC Total Gas'!A187,3),'Master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0</v>
      </c>
      <c r="N187" s="112" t="n">
        <f aca="false">SUM(J$6:J187)</f>
        <v>0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0</v>
      </c>
      <c r="W187" s="114" t="n">
        <f aca="false">N187/$R$3</f>
        <v>0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Data'!$A$2:$B$8,MATCH(WEEKDAY('SC Total Gas'!A188,3),'Master Data'!$A$2:$A$8,0),2)</f>
        <v>M</v>
      </c>
      <c r="D188" s="112" t="n">
        <v>0</v>
      </c>
      <c r="E188" s="112" t="n">
        <v>4243161.03076066</v>
      </c>
      <c r="F188" s="112" t="n">
        <v>0</v>
      </c>
      <c r="G188" s="112" t="n">
        <v>0</v>
      </c>
      <c r="I188" s="112" t="n">
        <f aca="false">IF(MONTH($A188)=MONTH($A187),IF(G188=0,I187,G188),G188)</f>
        <v>0</v>
      </c>
      <c r="J188" s="112" t="n">
        <f aca="false">IF(MONTH($A188)=MONTH($A187),SUM(I188-I187),I188)</f>
        <v>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SUM(J$97:J188)</f>
        <v>0</v>
      </c>
      <c r="N188" s="112" t="n">
        <f aca="false">SUM(J$6:J188)</f>
        <v>0</v>
      </c>
      <c r="P188" s="112" t="n">
        <f aca="false">D188/P$3</f>
        <v>0</v>
      </c>
      <c r="Q188" s="112" t="n">
        <f aca="false">E188/P$3</f>
        <v>4.24316103076066</v>
      </c>
      <c r="R188" s="112" t="n">
        <f aca="false">F188/R$3</f>
        <v>0</v>
      </c>
      <c r="S188" s="114" t="n">
        <f aca="false">J188/$R$3</f>
        <v>0</v>
      </c>
      <c r="T188" s="114" t="n">
        <f aca="false">L188/$R$3</f>
        <v>0</v>
      </c>
      <c r="U188" s="114" t="n">
        <f aca="false">I188/$R$3</f>
        <v>0</v>
      </c>
      <c r="V188" s="114" t="n">
        <f aca="false">M188/$R$3</f>
        <v>0</v>
      </c>
      <c r="W188" s="114" t="n">
        <f aca="false">N188/$R$3</f>
        <v>0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Data'!$A$2:$B$8,MATCH(WEEKDAY('SC Total Gas'!A189,3),'Master Data'!$A$2:$A$8,0),2)</f>
        <v>T</v>
      </c>
      <c r="D189" s="112" t="n">
        <v>0</v>
      </c>
      <c r="E189" s="112" t="n">
        <v>4240018.25023712</v>
      </c>
      <c r="F189" s="112" t="n">
        <v>0</v>
      </c>
      <c r="G189" s="112" t="n">
        <v>0</v>
      </c>
      <c r="I189" s="112" t="n">
        <f aca="false">IF(MONTH($A189)=MONTH($A188),IF(G189=0,I188,G189),G189)</f>
        <v>0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SUM(J$97:J189)</f>
        <v>0</v>
      </c>
      <c r="N189" s="112" t="n">
        <f aca="false">SUM(J$6:J189)</f>
        <v>0</v>
      </c>
      <c r="P189" s="112" t="n">
        <f aca="false">D189/P$3</f>
        <v>0</v>
      </c>
      <c r="Q189" s="112" t="n">
        <f aca="false">E189/P$3</f>
        <v>4.24001825023712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</v>
      </c>
      <c r="V189" s="114" t="n">
        <f aca="false">M189/$R$3</f>
        <v>0</v>
      </c>
      <c r="W189" s="114" t="n">
        <f aca="false">N189/$R$3</f>
        <v>0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Data'!$A$2:$B$8,MATCH(WEEKDAY('SC Total Gas'!A190,3),'Master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0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SUM(J$97:J190)</f>
        <v>0</v>
      </c>
      <c r="N190" s="112" t="n">
        <f aca="false">SUM(J$6:J190)</f>
        <v>0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</v>
      </c>
      <c r="V190" s="114" t="n">
        <f aca="false">M190/$R$3</f>
        <v>0</v>
      </c>
      <c r="W190" s="114" t="n">
        <f aca="false">N190/$R$3</f>
        <v>0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Data'!$A$2:$B$8,MATCH(WEEKDAY('SC Total Gas'!A191,3),'Master Data'!$A$2:$A$8,0),2)</f>
        <v>Th</v>
      </c>
      <c r="D191" s="112" t="n">
        <v>0</v>
      </c>
      <c r="E191" s="112" t="n">
        <v>4236923.83062632</v>
      </c>
      <c r="F191" s="112" t="n">
        <v>0</v>
      </c>
      <c r="G191" s="112" t="n">
        <v>0</v>
      </c>
      <c r="I191" s="112" t="n">
        <f aca="false">IF(MONTH($A191)=MONTH($A190),IF(G191=0,I190,G191),G191)</f>
        <v>0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SUM(J$97:J191)</f>
        <v>0</v>
      </c>
      <c r="N191" s="112" t="n">
        <f aca="false">SUM(J$6:J191)</f>
        <v>0</v>
      </c>
      <c r="P191" s="112" t="n">
        <f aca="false">D191/P$3</f>
        <v>0</v>
      </c>
      <c r="Q191" s="112" t="n">
        <f aca="false">E191/P$3</f>
        <v>4.23692383062632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</v>
      </c>
      <c r="V191" s="114" t="n">
        <f aca="false">M191/$R$3</f>
        <v>0</v>
      </c>
      <c r="W191" s="114" t="n">
        <f aca="false">N191/$R$3</f>
        <v>0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Data'!$A$2:$B$8,MATCH(WEEKDAY('SC Total Gas'!A192,3),'Master Data'!$A$2:$A$8,0),2)</f>
        <v>F</v>
      </c>
      <c r="D192" s="112" t="n">
        <v>0</v>
      </c>
      <c r="E192" s="112" t="n">
        <v>4251338.38524079</v>
      </c>
      <c r="F192" s="112" t="n">
        <v>0</v>
      </c>
      <c r="G192" s="112" t="n">
        <v>0</v>
      </c>
      <c r="I192" s="112" t="n">
        <f aca="false">IF(MONTH($A192)=MONTH($A191),IF(G192=0,I191,G192),G192)</f>
        <v>0</v>
      </c>
      <c r="J192" s="112" t="n">
        <f aca="false">IF(MONTH($A192)=MONTH($A191),SUM(I192-I191),I192)</f>
        <v>0</v>
      </c>
      <c r="K192" s="112" t="n">
        <f aca="false">IF(WEEKDAY(A192,3)&gt;4,0,(IF(A192&lt;K$2,0,IF(A192&lt;=K$3,1,0))))</f>
        <v>1</v>
      </c>
      <c r="L192" s="112" t="n">
        <f aca="false">J192*K192</f>
        <v>0</v>
      </c>
      <c r="M192" s="112" t="n">
        <f aca="false">SUM(J$97:J192)</f>
        <v>0</v>
      </c>
      <c r="N192" s="112" t="n">
        <f aca="false">SUM(J$6:J192)</f>
        <v>0</v>
      </c>
      <c r="P192" s="112" t="n">
        <f aca="false">D192/P$3</f>
        <v>0</v>
      </c>
      <c r="Q192" s="112" t="n">
        <f aca="false">E192/P$3</f>
        <v>4.25133838524079</v>
      </c>
      <c r="R192" s="112" t="n">
        <f aca="false">F192/R$3</f>
        <v>0</v>
      </c>
      <c r="S192" s="114" t="n">
        <f aca="false">J192/$R$3</f>
        <v>0</v>
      </c>
      <c r="T192" s="114" t="n">
        <f aca="false">L192/$R$3</f>
        <v>0</v>
      </c>
      <c r="U192" s="114" t="n">
        <f aca="false">I192/$R$3</f>
        <v>0</v>
      </c>
      <c r="V192" s="114" t="n">
        <f aca="false">M192/$R$3</f>
        <v>0</v>
      </c>
      <c r="W192" s="114" t="n">
        <f aca="false">N192/$R$3</f>
        <v>0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Data'!$A$2:$B$8,MATCH(WEEKDAY('SC Total Gas'!A193,3),'Master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0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SUM(J$97:J193)</f>
        <v>0</v>
      </c>
      <c r="N193" s="112" t="n">
        <f aca="false">SUM(J$6:J193)</f>
        <v>0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</v>
      </c>
      <c r="V193" s="114" t="n">
        <f aca="false">M193/$R$3</f>
        <v>0</v>
      </c>
      <c r="W193" s="114" t="n">
        <f aca="false">N193/$R$3</f>
        <v>0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Data'!$A$2:$B$8,MATCH(WEEKDAY('SC Total Gas'!A194,3),'Master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0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SUM(J$97:J194)</f>
        <v>0</v>
      </c>
      <c r="N194" s="112" t="n">
        <f aca="false">SUM(J$6:J194)</f>
        <v>0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</v>
      </c>
      <c r="V194" s="114" t="n">
        <f aca="false">M194/$R$3</f>
        <v>0</v>
      </c>
      <c r="W194" s="114" t="n">
        <f aca="false">N194/$R$3</f>
        <v>0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Data'!$A$2:$B$8,MATCH(WEEKDAY('SC Total Gas'!A195,3),'Master Data'!$A$2:$A$8,0),2)</f>
        <v>M</v>
      </c>
      <c r="D195" s="112" t="n">
        <v>0</v>
      </c>
      <c r="E195" s="112" t="n">
        <v>4255486.82896927</v>
      </c>
      <c r="F195" s="112" t="n">
        <v>0</v>
      </c>
      <c r="G195" s="112" t="n">
        <v>0</v>
      </c>
      <c r="I195" s="112" t="n">
        <f aca="false">IF(MONTH($A195)=MONTH($A194),IF(G195=0,I194,G195),G195)</f>
        <v>0</v>
      </c>
      <c r="J195" s="112" t="n">
        <f aca="false">IF(MONTH($A195)=MONTH($A194),SUM(I195-I194),I195)</f>
        <v>0</v>
      </c>
      <c r="K195" s="112" t="n">
        <f aca="false">IF(WEEKDAY(A195,3)&gt;4,0,(IF(A195&lt;K$2,0,IF(A195&lt;=K$3,1,0))))</f>
        <v>1</v>
      </c>
      <c r="L195" s="112" t="n">
        <f aca="false">J195*K195</f>
        <v>0</v>
      </c>
      <c r="M195" s="112" t="n">
        <f aca="false">SUM(J$97:J195)</f>
        <v>0</v>
      </c>
      <c r="N195" s="112" t="n">
        <f aca="false">SUM(J$6:J195)</f>
        <v>0</v>
      </c>
      <c r="P195" s="112" t="n">
        <f aca="false">D195/P$3</f>
        <v>0</v>
      </c>
      <c r="Q195" s="112" t="n">
        <f aca="false">E195/P$3</f>
        <v>4.25548682896927</v>
      </c>
      <c r="R195" s="112" t="n">
        <f aca="false">F195/R$3</f>
        <v>0</v>
      </c>
      <c r="S195" s="114" t="n">
        <f aca="false">J195/$R$3</f>
        <v>0</v>
      </c>
      <c r="T195" s="114" t="n">
        <f aca="false">L195/$R$3</f>
        <v>0</v>
      </c>
      <c r="U195" s="114" t="n">
        <f aca="false">I195/$R$3</f>
        <v>0</v>
      </c>
      <c r="V195" s="114" t="n">
        <f aca="false">M195/$R$3</f>
        <v>0</v>
      </c>
      <c r="W195" s="114" t="n">
        <f aca="false">N195/$R$3</f>
        <v>0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Data'!$A$2:$B$8,MATCH(WEEKDAY('SC Total Gas'!A196,3),'Master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0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SUM(J$97:J196)</f>
        <v>0</v>
      </c>
      <c r="N196" s="112" t="n">
        <f aca="false">SUM(J$6:J196)</f>
        <v>0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</v>
      </c>
      <c r="V196" s="114" t="n">
        <f aca="false">M196/$R$3</f>
        <v>0</v>
      </c>
      <c r="W196" s="114" t="n">
        <f aca="false">N196/$R$3</f>
        <v>0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Data'!$A$2:$B$8,MATCH(WEEKDAY('SC Total Gas'!A197,3),'Master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0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SUM(J$97:J197)</f>
        <v>0</v>
      </c>
      <c r="N197" s="112" t="n">
        <f aca="false">SUM(J$6:J197)</f>
        <v>0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</v>
      </c>
      <c r="V197" s="114" t="n">
        <f aca="false">M197/$R$3</f>
        <v>0</v>
      </c>
      <c r="W197" s="114" t="n">
        <f aca="false">N197/$R$3</f>
        <v>0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Data'!$A$2:$B$8,MATCH(WEEKDAY('SC Total Gas'!A198,3),'Master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0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SUM(J$97:J198)</f>
        <v>0</v>
      </c>
      <c r="N198" s="112" t="n">
        <f aca="false">SUM(J$6:J198)</f>
        <v>0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</v>
      </c>
      <c r="V198" s="114" t="n">
        <f aca="false">M198/$R$3</f>
        <v>0</v>
      </c>
      <c r="W198" s="114" t="n">
        <f aca="false">N198/$R$3</f>
        <v>0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Data'!$A$2:$B$8,MATCH(WEEKDAY('SC Total Gas'!A199,3),'Master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0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SUM(J$97:J199)</f>
        <v>0</v>
      </c>
      <c r="N199" s="112" t="n">
        <f aca="false">SUM(J$6:J199)</f>
        <v>0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</v>
      </c>
      <c r="V199" s="114" t="n">
        <f aca="false">M199/$R$3</f>
        <v>0</v>
      </c>
      <c r="W199" s="114" t="n">
        <f aca="false">N199/$R$3</f>
        <v>0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Data'!$A$2:$B$8,MATCH(WEEKDAY('SC Total Gas'!A200,3),'Master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0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SUM(J$97:J200)</f>
        <v>0</v>
      </c>
      <c r="N200" s="112" t="n">
        <f aca="false">SUM(J$6:J200)</f>
        <v>0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</v>
      </c>
      <c r="V200" s="114" t="n">
        <f aca="false">M200/$R$3</f>
        <v>0</v>
      </c>
      <c r="W200" s="114" t="n">
        <f aca="false">N200/$R$3</f>
        <v>0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Data'!$A$2:$B$8,MATCH(WEEKDAY('SC Total Gas'!A201,3),'Master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0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SUM(J$97:J201)</f>
        <v>0</v>
      </c>
      <c r="N201" s="112" t="n">
        <f aca="false">SUM(J$6:J201)</f>
        <v>0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</v>
      </c>
      <c r="V201" s="114" t="n">
        <f aca="false">M201/$R$3</f>
        <v>0</v>
      </c>
      <c r="W201" s="114" t="n">
        <f aca="false">N201/$R$3</f>
        <v>0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Data'!$A$2:$B$8,MATCH(WEEKDAY('SC Total Gas'!A202,3),'Master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0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SUM(J$97:J202)</f>
        <v>0</v>
      </c>
      <c r="N202" s="112" t="n">
        <f aca="false">SUM(J$6:J202)</f>
        <v>0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</v>
      </c>
      <c r="V202" s="114" t="n">
        <f aca="false">M202/$R$3</f>
        <v>0</v>
      </c>
      <c r="W202" s="114" t="n">
        <f aca="false">N202/$R$3</f>
        <v>0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Data'!$A$2:$B$8,MATCH(WEEKDAY('SC Total Gas'!A203,3),'Master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0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SUM(J$97:J203)</f>
        <v>0</v>
      </c>
      <c r="N203" s="112" t="n">
        <f aca="false">SUM(J$6:J203)</f>
        <v>0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</v>
      </c>
      <c r="V203" s="114" t="n">
        <f aca="false">M203/$R$3</f>
        <v>0</v>
      </c>
      <c r="W203" s="114" t="n">
        <f aca="false">N203/$R$3</f>
        <v>0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Data'!$A$2:$B$8,MATCH(WEEKDAY('SC Total Gas'!A204,3),'Master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0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SUM(J$97:J204)</f>
        <v>0</v>
      </c>
      <c r="N204" s="112" t="n">
        <f aca="false">SUM(J$6:J204)</f>
        <v>0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</v>
      </c>
      <c r="V204" s="114" t="n">
        <f aca="false">M204/$R$3</f>
        <v>0</v>
      </c>
      <c r="W204" s="114" t="n">
        <f aca="false">N204/$R$3</f>
        <v>0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Data'!$A$2:$B$8,MATCH(WEEKDAY('SC Total Gas'!A205,3),'Master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0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SUM(J$97:J205)</f>
        <v>0</v>
      </c>
      <c r="N205" s="112" t="n">
        <f aca="false">SUM(J$6:J205)</f>
        <v>0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</v>
      </c>
      <c r="V205" s="114" t="n">
        <f aca="false">M205/$R$3</f>
        <v>0</v>
      </c>
      <c r="W205" s="114" t="n">
        <f aca="false">N205/$R$3</f>
        <v>0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Data'!$A$2:$B$8,MATCH(WEEKDAY('SC Total Gas'!A206,3),'Master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0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SUM(J$97:J206)</f>
        <v>0</v>
      </c>
      <c r="N206" s="112" t="n">
        <f aca="false">SUM(J$6:J206)</f>
        <v>0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</v>
      </c>
      <c r="V206" s="114" t="n">
        <f aca="false">M206/$R$3</f>
        <v>0</v>
      </c>
      <c r="W206" s="114" t="n">
        <f aca="false">N206/$R$3</f>
        <v>0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Data'!$A$2:$B$8,MATCH(WEEKDAY('SC Total Gas'!A207,3),'Master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0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SUM(J$97:J207)</f>
        <v>0</v>
      </c>
      <c r="N207" s="112" t="n">
        <f aca="false">SUM(J$6:J207)</f>
        <v>0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</v>
      </c>
      <c r="V207" s="114" t="n">
        <f aca="false">M207/$R$3</f>
        <v>0</v>
      </c>
      <c r="W207" s="114" t="n">
        <f aca="false">N207/$R$3</f>
        <v>0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Data'!$A$2:$B$8,MATCH(WEEKDAY('SC Total Gas'!A208,3),'Master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0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SUM(J$97:J208)</f>
        <v>0</v>
      </c>
      <c r="N208" s="112" t="n">
        <f aca="false">SUM(J$6:J208)</f>
        <v>0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</v>
      </c>
      <c r="V208" s="114" t="n">
        <f aca="false">M208/$R$3</f>
        <v>0</v>
      </c>
      <c r="W208" s="114" t="n">
        <f aca="false">N208/$R$3</f>
        <v>0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Data'!$A$2:$B$8,MATCH(WEEKDAY('SC Total Gas'!A209,3),'Master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0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SUM(J$97:J209)</f>
        <v>0</v>
      </c>
      <c r="N209" s="112" t="n">
        <f aca="false">SUM(J$6:J209)</f>
        <v>0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</v>
      </c>
      <c r="V209" s="114" t="n">
        <f aca="false">M209/$R$3</f>
        <v>0</v>
      </c>
      <c r="W209" s="114" t="n">
        <f aca="false">N209/$R$3</f>
        <v>0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Data'!$A$2:$B$8,MATCH(WEEKDAY('SC Total Gas'!A210,3),'Master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0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SUM(J$97:J210)</f>
        <v>0</v>
      </c>
      <c r="N210" s="112" t="n">
        <f aca="false">SUM(J$6:J210)</f>
        <v>0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</v>
      </c>
      <c r="V210" s="114" t="n">
        <f aca="false">M210/$R$3</f>
        <v>0</v>
      </c>
      <c r="W210" s="114" t="n">
        <f aca="false">N210/$R$3</f>
        <v>0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Data'!$A$2:$B$8,MATCH(WEEKDAY('SC Total Gas'!A211,3),'Master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0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SUM(J$97:J211)</f>
        <v>0</v>
      </c>
      <c r="N211" s="112" t="n">
        <f aca="false">SUM(J$6:J211)</f>
        <v>0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</v>
      </c>
      <c r="V211" s="114" t="n">
        <f aca="false">M211/$R$3</f>
        <v>0</v>
      </c>
      <c r="W211" s="114" t="n">
        <f aca="false">N211/$R$3</f>
        <v>0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Data'!$A$2:$B$8,MATCH(WEEKDAY('SC Total Gas'!A212,3),'Master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0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SUM(J$97:J212)</f>
        <v>0</v>
      </c>
      <c r="N212" s="112" t="n">
        <f aca="false">SUM(J$6:J212)</f>
        <v>0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</v>
      </c>
      <c r="V212" s="114" t="n">
        <f aca="false">M212/$R$3</f>
        <v>0</v>
      </c>
      <c r="W212" s="114" t="n">
        <f aca="false">N212/$R$3</f>
        <v>0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Data'!$A$2:$B$8,MATCH(WEEKDAY('SC Total Gas'!A213,3),'Master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0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SUM(J$97:J213)</f>
        <v>0</v>
      </c>
      <c r="N213" s="112" t="n">
        <f aca="false">SUM(J$6:J213)</f>
        <v>0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</v>
      </c>
      <c r="V213" s="114" t="n">
        <f aca="false">M213/$R$3</f>
        <v>0</v>
      </c>
      <c r="W213" s="114" t="n">
        <f aca="false">N213/$R$3</f>
        <v>0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Data'!$A$2:$B$8,MATCH(WEEKDAY('SC Total Gas'!A214,3),'Master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0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SUM(J$97:J214)</f>
        <v>0</v>
      </c>
      <c r="N214" s="112" t="n">
        <f aca="false">SUM(J$6:J214)</f>
        <v>0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</v>
      </c>
      <c r="V214" s="114" t="n">
        <f aca="false">M214/$R$3</f>
        <v>0</v>
      </c>
      <c r="W214" s="114" t="n">
        <f aca="false">N214/$R$3</f>
        <v>0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Data'!$A$2:$B$8,MATCH(WEEKDAY('SC Total Gas'!A215,3),'Master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0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SUM(J$97:J215)</f>
        <v>0</v>
      </c>
      <c r="N215" s="112" t="n">
        <f aca="false">SUM(J$6:J215)</f>
        <v>0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</v>
      </c>
      <c r="V215" s="114" t="n">
        <f aca="false">M215/$R$3</f>
        <v>0</v>
      </c>
      <c r="W215" s="114" t="n">
        <f aca="false">N215/$R$3</f>
        <v>0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Data'!$A$2:$B$8,MATCH(WEEKDAY('SC Total Gas'!A216,3),'Master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0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SUM(J$97:J216)</f>
        <v>0</v>
      </c>
      <c r="N216" s="112" t="n">
        <f aca="false">SUM(J$6:J216)</f>
        <v>0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</v>
      </c>
      <c r="V216" s="114" t="n">
        <f aca="false">M216/$R$3</f>
        <v>0</v>
      </c>
      <c r="W216" s="114" t="n">
        <f aca="false">N216/$R$3</f>
        <v>0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Data'!$A$2:$B$8,MATCH(WEEKDAY('SC Total Gas'!A217,3),'Master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0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SUM(J$97:J217)</f>
        <v>0</v>
      </c>
      <c r="N217" s="112" t="n">
        <f aca="false">SUM(J$6:J217)</f>
        <v>0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</v>
      </c>
      <c r="V217" s="114" t="n">
        <f aca="false">M217/$R$3</f>
        <v>0</v>
      </c>
      <c r="W217" s="114" t="n">
        <f aca="false">N217/$R$3</f>
        <v>0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Data'!$A$2:$B$8,MATCH(WEEKDAY('SC Total Gas'!A218,3),'Master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SUM(J$97:J218)</f>
        <v>0</v>
      </c>
      <c r="N218" s="112" t="n">
        <f aca="false">SUM(J$6:J218)</f>
        <v>0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</v>
      </c>
      <c r="W218" s="114" t="n">
        <f aca="false">N218/$R$3</f>
        <v>0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Data'!$A$2:$B$8,MATCH(WEEKDAY('SC Total Gas'!A219,3),'Master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SUM(J$97:J219)</f>
        <v>0</v>
      </c>
      <c r="N219" s="112" t="n">
        <f aca="false">SUM(J$6:J219)</f>
        <v>0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</v>
      </c>
      <c r="W219" s="114" t="n">
        <f aca="false">N219/$R$3</f>
        <v>0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Data'!$A$2:$B$8,MATCH(WEEKDAY('SC Total Gas'!A220,3),'Master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SUM(J$97:J220)</f>
        <v>0</v>
      </c>
      <c r="N220" s="112" t="n">
        <f aca="false">SUM(J$6:J220)</f>
        <v>0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</v>
      </c>
      <c r="W220" s="114" t="n">
        <f aca="false">N220/$R$3</f>
        <v>0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Data'!$A$2:$B$8,MATCH(WEEKDAY('SC Total Gas'!A221,3),'Master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SUM(J$97:J221)</f>
        <v>0</v>
      </c>
      <c r="N221" s="112" t="n">
        <f aca="false">SUM(J$6:J221)</f>
        <v>0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</v>
      </c>
      <c r="W221" s="114" t="n">
        <f aca="false">N221/$R$3</f>
        <v>0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Data'!$A$2:$B$8,MATCH(WEEKDAY('SC Total Gas'!A222,3),'Master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SUM(J$97:J222)</f>
        <v>0</v>
      </c>
      <c r="N222" s="112" t="n">
        <f aca="false">SUM(J$6:J222)</f>
        <v>0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</v>
      </c>
      <c r="W222" s="114" t="n">
        <f aca="false">N222/$R$3</f>
        <v>0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Data'!$A$2:$B$8,MATCH(WEEKDAY('SC Total Gas'!A223,3),'Master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SUM(J$97:J223)</f>
        <v>0</v>
      </c>
      <c r="N223" s="112" t="n">
        <f aca="false">SUM(J$6:J223)</f>
        <v>0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</v>
      </c>
      <c r="W223" s="114" t="n">
        <f aca="false">N223/$R$3</f>
        <v>0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Data'!$A$2:$B$8,MATCH(WEEKDAY('SC Total Gas'!A224,3),'Master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SUM(J$97:J224)</f>
        <v>0</v>
      </c>
      <c r="N224" s="112" t="n">
        <f aca="false">SUM(J$6:J224)</f>
        <v>0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</v>
      </c>
      <c r="W224" s="114" t="n">
        <f aca="false">N224/$R$3</f>
        <v>0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Data'!$A$2:$B$8,MATCH(WEEKDAY('SC Total Gas'!A225,3),'Master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SUM(J$97:J225)</f>
        <v>0</v>
      </c>
      <c r="N225" s="112" t="n">
        <f aca="false">SUM(J$6:J225)</f>
        <v>0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</v>
      </c>
      <c r="W225" s="114" t="n">
        <f aca="false">N225/$R$3</f>
        <v>0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Data'!$A$2:$B$8,MATCH(WEEKDAY('SC Total Gas'!A226,3),'Master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SUM(J$97:J226)</f>
        <v>0</v>
      </c>
      <c r="N226" s="112" t="n">
        <f aca="false">SUM(J$6:J226)</f>
        <v>0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</v>
      </c>
      <c r="W226" s="114" t="n">
        <f aca="false">N226/$R$3</f>
        <v>0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Data'!$A$2:$B$8,MATCH(WEEKDAY('SC Total Gas'!A227,3),'Master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SUM(J$97:J227)</f>
        <v>0</v>
      </c>
      <c r="N227" s="112" t="n">
        <f aca="false">SUM(J$6:J227)</f>
        <v>0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</v>
      </c>
      <c r="W227" s="114" t="n">
        <f aca="false">N227/$R$3</f>
        <v>0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Data'!$A$2:$B$8,MATCH(WEEKDAY('SC Total Gas'!A228,3),'Master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SUM(J$97:J228)</f>
        <v>0</v>
      </c>
      <c r="N228" s="112" t="n">
        <f aca="false">SUM(J$6:J228)</f>
        <v>0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</v>
      </c>
      <c r="W228" s="114" t="n">
        <f aca="false">N228/$R$3</f>
        <v>0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Data'!$A$2:$B$8,MATCH(WEEKDAY('SC Total Gas'!A229,3),'Master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SUM(J$97:J229)</f>
        <v>0</v>
      </c>
      <c r="N229" s="112" t="n">
        <f aca="false">SUM(J$6:J229)</f>
        <v>0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</v>
      </c>
      <c r="W229" s="114" t="n">
        <f aca="false">N229/$R$3</f>
        <v>0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Data'!$A$2:$B$8,MATCH(WEEKDAY('SC Total Gas'!A230,3),'Master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SUM(J$97:J230)</f>
        <v>0</v>
      </c>
      <c r="N230" s="112" t="n">
        <f aca="false">SUM(J$6:J230)</f>
        <v>0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</v>
      </c>
      <c r="W230" s="114" t="n">
        <f aca="false">N230/$R$3</f>
        <v>0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Data'!$A$2:$B$8,MATCH(WEEKDAY('SC Total Gas'!A231,3),'Master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SUM(J$97:J231)</f>
        <v>0</v>
      </c>
      <c r="N231" s="112" t="n">
        <f aca="false">SUM(J$6:J231)</f>
        <v>0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</v>
      </c>
      <c r="W231" s="114" t="n">
        <f aca="false">N231/$R$3</f>
        <v>0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Data'!$A$2:$B$8,MATCH(WEEKDAY('SC Total Gas'!A232,3),'Master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SUM(J$97:J232)</f>
        <v>0</v>
      </c>
      <c r="N232" s="112" t="n">
        <f aca="false">SUM(J$6:J232)</f>
        <v>0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</v>
      </c>
      <c r="W232" s="114" t="n">
        <f aca="false">N232/$R$3</f>
        <v>0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Data'!$A$2:$B$8,MATCH(WEEKDAY('SC Total Gas'!A233,3),'Master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SUM(J$97:J233)</f>
        <v>0</v>
      </c>
      <c r="N233" s="112" t="n">
        <f aca="false">SUM(J$6:J233)</f>
        <v>0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</v>
      </c>
      <c r="W233" s="114" t="n">
        <f aca="false">N233/$R$3</f>
        <v>0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Data'!$A$2:$B$8,MATCH(WEEKDAY('SC Total Gas'!A234,3),'Master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SUM(J$97:J234)</f>
        <v>0</v>
      </c>
      <c r="N234" s="112" t="n">
        <f aca="false">SUM(J$6:J234)</f>
        <v>0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</v>
      </c>
      <c r="W234" s="114" t="n">
        <f aca="false">N234/$R$3</f>
        <v>0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Data'!$A$2:$B$8,MATCH(WEEKDAY('SC Total Gas'!A235,3),'Master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SUM(J$97:J235)</f>
        <v>0</v>
      </c>
      <c r="N235" s="112" t="n">
        <f aca="false">SUM(J$6:J235)</f>
        <v>0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</v>
      </c>
      <c r="W235" s="114" t="n">
        <f aca="false">N235/$R$3</f>
        <v>0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Data'!$A$2:$B$8,MATCH(WEEKDAY('SC Total Gas'!A236,3),'Master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SUM(J$97:J236)</f>
        <v>0</v>
      </c>
      <c r="N236" s="112" t="n">
        <f aca="false">SUM(J$6:J236)</f>
        <v>0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</v>
      </c>
      <c r="W236" s="114" t="n">
        <f aca="false">N236/$R$3</f>
        <v>0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Data'!$A$2:$B$8,MATCH(WEEKDAY('SC Total Gas'!A237,3),'Master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SUM(J$97:J237)</f>
        <v>0</v>
      </c>
      <c r="N237" s="112" t="n">
        <f aca="false">SUM(J$6:J237)</f>
        <v>0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</v>
      </c>
      <c r="W237" s="114" t="n">
        <f aca="false">N237/$R$3</f>
        <v>0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Data'!$A$2:$B$8,MATCH(WEEKDAY('SC Total Gas'!A238,3),'Master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SUM(J$97:J238)</f>
        <v>0</v>
      </c>
      <c r="N238" s="112" t="n">
        <f aca="false">SUM(J$6:J238)</f>
        <v>0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</v>
      </c>
      <c r="W238" s="114" t="n">
        <f aca="false">N238/$R$3</f>
        <v>0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Data'!$A$2:$B$8,MATCH(WEEKDAY('SC Total Gas'!A239,3),'Master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SUM(J$97:J239)</f>
        <v>0</v>
      </c>
      <c r="N239" s="112" t="n">
        <f aca="false">SUM(J$6:J239)</f>
        <v>0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</v>
      </c>
      <c r="W239" s="114" t="n">
        <f aca="false">N239/$R$3</f>
        <v>0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Data'!$A$2:$B$8,MATCH(WEEKDAY('SC Total Gas'!A240,3),'Master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SUM(J$97:J240)</f>
        <v>0</v>
      </c>
      <c r="N240" s="112" t="n">
        <f aca="false">SUM(J$6:J240)</f>
        <v>0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</v>
      </c>
      <c r="W240" s="114" t="n">
        <f aca="false">N240/$R$3</f>
        <v>0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Data'!$A$2:$B$8,MATCH(WEEKDAY('SC Total Gas'!A241,3),'Master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SUM(J$97:J241)</f>
        <v>0</v>
      </c>
      <c r="N241" s="112" t="n">
        <f aca="false">SUM(J$6:J241)</f>
        <v>0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</v>
      </c>
      <c r="W241" s="114" t="n">
        <f aca="false">N241/$R$3</f>
        <v>0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Data'!$A$2:$B$8,MATCH(WEEKDAY('SC Total Gas'!A242,3),'Master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SUM(J$97:J242)</f>
        <v>0</v>
      </c>
      <c r="N242" s="112" t="n">
        <f aca="false">SUM(J$6:J242)</f>
        <v>0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</v>
      </c>
      <c r="W242" s="114" t="n">
        <f aca="false">N242/$R$3</f>
        <v>0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Data'!$A$2:$B$8,MATCH(WEEKDAY('SC Total Gas'!A243,3),'Master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SUM(J$97:J243)</f>
        <v>0</v>
      </c>
      <c r="N243" s="112" t="n">
        <f aca="false">SUM(J$6:J243)</f>
        <v>0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</v>
      </c>
      <c r="W243" s="114" t="n">
        <f aca="false">N243/$R$3</f>
        <v>0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Data'!$A$2:$B$8,MATCH(WEEKDAY('SC Total Gas'!A244,3),'Master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SUM(J$97:J244)</f>
        <v>0</v>
      </c>
      <c r="N244" s="112" t="n">
        <f aca="false">SUM(J$6:J244)</f>
        <v>0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</v>
      </c>
      <c r="W244" s="114" t="n">
        <f aca="false">N244/$R$3</f>
        <v>0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Data'!$A$2:$B$8,MATCH(WEEKDAY('SC Total Gas'!A245,3),'Master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SUM(J$97:J245)</f>
        <v>0</v>
      </c>
      <c r="N245" s="112" t="n">
        <f aca="false">SUM(J$6:J245)</f>
        <v>0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</v>
      </c>
      <c r="W245" s="114" t="n">
        <f aca="false">N245/$R$3</f>
        <v>0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Data'!$A$2:$B$8,MATCH(WEEKDAY('SC Total Gas'!A246,3),'Master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SUM(J$97:J246)</f>
        <v>0</v>
      </c>
      <c r="N246" s="112" t="n">
        <f aca="false">SUM(J$6:J246)</f>
        <v>0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</v>
      </c>
      <c r="W246" s="114" t="n">
        <f aca="false">N246/$R$3</f>
        <v>0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Data'!$A$2:$B$8,MATCH(WEEKDAY('SC Total Gas'!A247,3),'Master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SUM(J$97:J247)</f>
        <v>0</v>
      </c>
      <c r="N247" s="112" t="n">
        <f aca="false">SUM(J$6:J247)</f>
        <v>0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</v>
      </c>
      <c r="W247" s="114" t="n">
        <f aca="false">N247/$R$3</f>
        <v>0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Data'!$A$2:$B$8,MATCH(WEEKDAY('SC Total Gas'!A248,3),'Master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SUM(J$97:J248)</f>
        <v>0</v>
      </c>
      <c r="N248" s="112" t="n">
        <f aca="false">SUM(J$6:J248)</f>
        <v>0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</v>
      </c>
      <c r="W248" s="114" t="n">
        <f aca="false">N248/$R$3</f>
        <v>0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Data'!$A$2:$B$8,MATCH(WEEKDAY('SC Total Gas'!A249,3),'Master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SUM(J$97:J249)</f>
        <v>0</v>
      </c>
      <c r="N249" s="112" t="n">
        <f aca="false">SUM(J$6:J249)</f>
        <v>0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</v>
      </c>
      <c r="W249" s="114" t="n">
        <f aca="false">N249/$R$3</f>
        <v>0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Data'!$A$2:$B$8,MATCH(WEEKDAY('SC Total Gas'!A250,3),'Master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SUM(J$97:J250)</f>
        <v>0</v>
      </c>
      <c r="N250" s="112" t="n">
        <f aca="false">SUM(J$6:J250)</f>
        <v>0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</v>
      </c>
      <c r="W250" s="114" t="n">
        <f aca="false">N250/$R$3</f>
        <v>0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Data'!$A$2:$B$8,MATCH(WEEKDAY('SC Total Gas'!A251,3),'Master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SUM(J$97:J251)</f>
        <v>0</v>
      </c>
      <c r="N251" s="112" t="n">
        <f aca="false">SUM(J$6:J251)</f>
        <v>0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</v>
      </c>
      <c r="W251" s="114" t="n">
        <f aca="false">N251/$R$3</f>
        <v>0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Data'!$A$2:$B$8,MATCH(WEEKDAY('SC Total Gas'!A252,3),'Master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SUM(J$97:J252)</f>
        <v>0</v>
      </c>
      <c r="N252" s="112" t="n">
        <f aca="false">SUM(J$6:J252)</f>
        <v>0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</v>
      </c>
      <c r="W252" s="114" t="n">
        <f aca="false">N252/$R$3</f>
        <v>0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Data'!$A$2:$B$8,MATCH(WEEKDAY('SC Total Gas'!A253,3),'Master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SUM(J$97:J253)</f>
        <v>0</v>
      </c>
      <c r="N253" s="112" t="n">
        <f aca="false">SUM(J$6:J253)</f>
        <v>0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</v>
      </c>
      <c r="W253" s="114" t="n">
        <f aca="false">N253/$R$3</f>
        <v>0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Data'!$A$2:$B$8,MATCH(WEEKDAY('SC Total Gas'!A254,3),'Master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SUM(J$97:J254)</f>
        <v>0</v>
      </c>
      <c r="N254" s="112" t="n">
        <f aca="false">SUM(J$6:J254)</f>
        <v>0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</v>
      </c>
      <c r="W254" s="114" t="n">
        <f aca="false">N254/$R$3</f>
        <v>0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Data'!$A$2:$B$8,MATCH(WEEKDAY('SC Total Gas'!A255,3),'Master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SUM(J$97:J255)</f>
        <v>0</v>
      </c>
      <c r="N255" s="112" t="n">
        <f aca="false">SUM(J$6:J255)</f>
        <v>0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</v>
      </c>
      <c r="W255" s="114" t="n">
        <f aca="false">N255/$R$3</f>
        <v>0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Data'!$A$2:$B$8,MATCH(WEEKDAY('SC Total Gas'!A256,3),'Master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SUM(J$97:J256)</f>
        <v>0</v>
      </c>
      <c r="N256" s="112" t="n">
        <f aca="false">SUM(J$6:J256)</f>
        <v>0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</v>
      </c>
      <c r="W256" s="114" t="n">
        <f aca="false">N256/$R$3</f>
        <v>0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Data'!$A$2:$B$8,MATCH(WEEKDAY('SC Total Gas'!A257,3),'Master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SUM(J$97:J257)</f>
        <v>0</v>
      </c>
      <c r="N257" s="112" t="n">
        <f aca="false">SUM(J$6:J257)</f>
        <v>0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</v>
      </c>
      <c r="W257" s="114" t="n">
        <f aca="false">N257/$R$3</f>
        <v>0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Data'!$A$2:$B$8,MATCH(WEEKDAY('SC Total Gas'!A258,3),'Master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SUM(J$97:J258)</f>
        <v>0</v>
      </c>
      <c r="N258" s="112" t="n">
        <f aca="false">SUM(J$6:J258)</f>
        <v>0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</v>
      </c>
      <c r="W258" s="114" t="n">
        <f aca="false">N258/$R$3</f>
        <v>0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Data'!$A$2:$B$8,MATCH(WEEKDAY('SC Total Gas'!A259,3),'Master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SUM(J$97:J259)</f>
        <v>0</v>
      </c>
      <c r="N259" s="112" t="n">
        <f aca="false">SUM(J$6:J259)</f>
        <v>0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</v>
      </c>
      <c r="W259" s="114" t="n">
        <f aca="false">N259/$R$3</f>
        <v>0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Data'!$A$2:$B$8,MATCH(WEEKDAY('SC Total Gas'!A260,3),'Master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SUM(J$97:J260)</f>
        <v>0</v>
      </c>
      <c r="N260" s="112" t="n">
        <f aca="false">SUM(J$6:J260)</f>
        <v>0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</v>
      </c>
      <c r="W260" s="114" t="n">
        <f aca="false">N260/$R$3</f>
        <v>0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Data'!$A$2:$B$8,MATCH(WEEKDAY('SC Total Gas'!A261,3),'Master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SUM(J$97:J261)</f>
        <v>0</v>
      </c>
      <c r="N261" s="112" t="n">
        <f aca="false">SUM(J$6:J261)</f>
        <v>0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</v>
      </c>
      <c r="W261" s="114" t="n">
        <f aca="false">N261/$R$3</f>
        <v>0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Data'!$A$2:$B$8,MATCH(WEEKDAY('SC Total Gas'!A262,3),'Master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SUM(J$97:J262)</f>
        <v>0</v>
      </c>
      <c r="N262" s="112" t="n">
        <f aca="false">SUM(J$6:J262)</f>
        <v>0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</v>
      </c>
      <c r="W262" s="114" t="n">
        <f aca="false">N262/$R$3</f>
        <v>0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Data'!$A$2:$B$8,MATCH(WEEKDAY('SC Total Gas'!A263,3),'Master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SUM(J$97:J263)</f>
        <v>0</v>
      </c>
      <c r="N263" s="112" t="n">
        <f aca="false">SUM(J$6:J263)</f>
        <v>0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</v>
      </c>
      <c r="W263" s="114" t="n">
        <f aca="false">N263/$R$3</f>
        <v>0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Data'!$A$2:$B$8,MATCH(WEEKDAY('SC Total Gas'!A264,3),'Master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SUM(J$97:J264)</f>
        <v>0</v>
      </c>
      <c r="N264" s="112" t="n">
        <f aca="false">SUM(J$6:J264)</f>
        <v>0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</v>
      </c>
      <c r="W264" s="114" t="n">
        <f aca="false">N264/$R$3</f>
        <v>0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Data'!$A$2:$B$8,MATCH(WEEKDAY('SC Total Gas'!A265,3),'Master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SUM(J$97:J265)</f>
        <v>0</v>
      </c>
      <c r="N265" s="112" t="n">
        <f aca="false">SUM(J$6:J265)</f>
        <v>0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</v>
      </c>
      <c r="W265" s="114" t="n">
        <f aca="false">N265/$R$3</f>
        <v>0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Data'!$A$2:$B$8,MATCH(WEEKDAY('SC Total Gas'!A266,3),'Master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SUM(J$97:J266)</f>
        <v>0</v>
      </c>
      <c r="N266" s="112" t="n">
        <f aca="false">SUM(J$6:J266)</f>
        <v>0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</v>
      </c>
      <c r="W266" s="114" t="n">
        <f aca="false">N266/$R$3</f>
        <v>0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Data'!$A$2:$B$8,MATCH(WEEKDAY('SC Total Gas'!A267,3),'Master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SUM(J$97:J267)</f>
        <v>0</v>
      </c>
      <c r="N267" s="112" t="n">
        <f aca="false">SUM(J$6:J267)</f>
        <v>0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</v>
      </c>
      <c r="W267" s="114" t="n">
        <f aca="false">N267/$R$3</f>
        <v>0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Data'!$A$2:$B$8,MATCH(WEEKDAY('SC Total Gas'!A268,3),'Master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SUM(J$97:J268)</f>
        <v>0</v>
      </c>
      <c r="N268" s="112" t="n">
        <f aca="false">SUM(J$6:J268)</f>
        <v>0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</v>
      </c>
      <c r="W268" s="114" t="n">
        <f aca="false">N268/$R$3</f>
        <v>0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Data'!$A$2:$B$8,MATCH(WEEKDAY('SC Total Gas'!A269,3),'Master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SUM(J$97:J269)</f>
        <v>0</v>
      </c>
      <c r="N269" s="112" t="n">
        <f aca="false">SUM(J$6:J269)</f>
        <v>0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</v>
      </c>
      <c r="W269" s="114" t="n">
        <f aca="false">N269/$R$3</f>
        <v>0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Data'!$A$2:$B$8,MATCH(WEEKDAY('SC Total Gas'!A270,3),'Master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SUM(J$97:J270)</f>
        <v>0</v>
      </c>
      <c r="N270" s="112" t="n">
        <f aca="false">SUM(J$6:J270)</f>
        <v>0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</v>
      </c>
      <c r="W270" s="114" t="n">
        <f aca="false">N270/$R$3</f>
        <v>0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Data'!$A$2:$B$8,MATCH(WEEKDAY('SC Total Gas'!A271,3),'Master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SUM(J$97:J271)</f>
        <v>0</v>
      </c>
      <c r="N271" s="112" t="n">
        <f aca="false">SUM(J$6:J271)</f>
        <v>0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</v>
      </c>
      <c r="W271" s="114" t="n">
        <f aca="false">N271/$R$3</f>
        <v>0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Data'!$A$2:$B$8,MATCH(WEEKDAY('SC Total Gas'!A272,3),'Master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SUM(J$97:J272)</f>
        <v>0</v>
      </c>
      <c r="N272" s="112" t="n">
        <f aca="false">SUM(J$6:J272)</f>
        <v>0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</v>
      </c>
      <c r="W272" s="114" t="n">
        <f aca="false">N272/$R$3</f>
        <v>0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Data'!$A$2:$B$8,MATCH(WEEKDAY('SC Total Gas'!A273,3),'Master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SUM(J$97:J273)</f>
        <v>0</v>
      </c>
      <c r="N273" s="112" t="n">
        <f aca="false">SUM(J$6:J273)</f>
        <v>0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</v>
      </c>
      <c r="W273" s="114" t="n">
        <f aca="false">N273/$R$3</f>
        <v>0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Data'!$A$2:$B$8,MATCH(WEEKDAY('SC Total Gas'!A274,3),'Master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SUM(J$97:J274)</f>
        <v>0</v>
      </c>
      <c r="N274" s="112" t="n">
        <f aca="false">SUM(J$6:J274)</f>
        <v>0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</v>
      </c>
      <c r="W274" s="114" t="n">
        <f aca="false">N274/$R$3</f>
        <v>0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Data'!$A$2:$B$8,MATCH(WEEKDAY('SC Total Gas'!A275,3),'Master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SUM(J$97:J275)</f>
        <v>0</v>
      </c>
      <c r="N275" s="112" t="n">
        <f aca="false">SUM(J$6:J275)</f>
        <v>0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</v>
      </c>
      <c r="W275" s="114" t="n">
        <f aca="false">N275/$R$3</f>
        <v>0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Data'!$A$2:$B$8,MATCH(WEEKDAY('SC Total Gas'!A276,3),'Master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SUM(J$97:J276)</f>
        <v>0</v>
      </c>
      <c r="N276" s="112" t="n">
        <f aca="false">SUM(J$6:J276)</f>
        <v>0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</v>
      </c>
      <c r="W276" s="114" t="n">
        <f aca="false">N276/$R$3</f>
        <v>0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Data'!$A$2:$B$8,MATCH(WEEKDAY('SC Total Gas'!A277,3),'Master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SUM(J$97:J277)</f>
        <v>0</v>
      </c>
      <c r="N277" s="112" t="n">
        <f aca="false">SUM(J$6:J277)</f>
        <v>0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</v>
      </c>
      <c r="W277" s="114" t="n">
        <f aca="false">N277/$R$3</f>
        <v>0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Data'!$A$2:$B$8,MATCH(WEEKDAY('SC Total Gas'!A278,3),'Master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SUM(J$97:J278)</f>
        <v>0</v>
      </c>
      <c r="N278" s="112" t="n">
        <f aca="false">SUM(J$6:J278)</f>
        <v>0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</v>
      </c>
      <c r="W278" s="114" t="n">
        <f aca="false">N278/$R$3</f>
        <v>0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Data'!$A$2:$B$8,MATCH(WEEKDAY('SC Total Gas'!A279,3),'Master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0</v>
      </c>
      <c r="N279" s="112" t="n">
        <f aca="false">SUM(J$6:J279)</f>
        <v>0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</v>
      </c>
      <c r="W279" s="114" t="n">
        <f aca="false">N279/$R$3</f>
        <v>0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Data'!$A$2:$B$8,MATCH(WEEKDAY('SC Total Gas'!A280,3),'Master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0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0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Data'!$A$2:$B$8,MATCH(WEEKDAY('SC Total Gas'!A281,3),'Master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0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0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Data'!$A$2:$B$8,MATCH(WEEKDAY('SC Total Gas'!A282,3),'Master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0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0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Data'!$A$2:$B$8,MATCH(WEEKDAY('SC Total Gas'!A283,3),'Master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0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0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Data'!$A$2:$B$8,MATCH(WEEKDAY('SC Total Gas'!A284,3),'Master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0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0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Data'!$A$2:$B$8,MATCH(WEEKDAY('SC Total Gas'!A285,3),'Master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0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0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Data'!$A$2:$B$8,MATCH(WEEKDAY('SC Total Gas'!A286,3),'Master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0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0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Data'!$A$2:$B$8,MATCH(WEEKDAY('SC Total Gas'!A287,3),'Master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0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0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Data'!$A$2:$B$8,MATCH(WEEKDAY('SC Total Gas'!A288,3),'Master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0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0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Data'!$A$2:$B$8,MATCH(WEEKDAY('SC Total Gas'!A289,3),'Master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0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0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Data'!$A$2:$B$8,MATCH(WEEKDAY('SC Total Gas'!A290,3),'Master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0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0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Data'!$A$2:$B$8,MATCH(WEEKDAY('SC Total Gas'!A291,3),'Master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0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0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Data'!$A$2:$B$8,MATCH(WEEKDAY('SC Total Gas'!A292,3),'Master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0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0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Data'!$A$2:$B$8,MATCH(WEEKDAY('SC Total Gas'!A293,3),'Master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0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0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Data'!$A$2:$B$8,MATCH(WEEKDAY('SC Total Gas'!A294,3),'Master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0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0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Data'!$A$2:$B$8,MATCH(WEEKDAY('SC Total Gas'!A295,3),'Master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0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0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Data'!$A$2:$B$8,MATCH(WEEKDAY('SC Total Gas'!A296,3),'Master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0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0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Data'!$A$2:$B$8,MATCH(WEEKDAY('SC Total Gas'!A297,3),'Master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0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0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Data'!$A$2:$B$8,MATCH(WEEKDAY('SC Total Gas'!A298,3),'Master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0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0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Data'!$A$2:$B$8,MATCH(WEEKDAY('SC Total Gas'!A299,3),'Master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0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0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Data'!$A$2:$B$8,MATCH(WEEKDAY('SC Total Gas'!A300,3),'Master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0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0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Data'!$A$2:$B$8,MATCH(WEEKDAY('SC Total Gas'!A301,3),'Master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0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0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Data'!$A$2:$B$8,MATCH(WEEKDAY('SC Total Gas'!A302,3),'Master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0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0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Data'!$A$2:$B$8,MATCH(WEEKDAY('SC Total Gas'!A303,3),'Master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0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0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Data'!$A$2:$B$8,MATCH(WEEKDAY('SC Total Gas'!A304,3),'Master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0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0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Data'!$A$2:$B$8,MATCH(WEEKDAY('SC Total Gas'!A305,3),'Master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0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0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Data'!$A$2:$B$8,MATCH(WEEKDAY('SC Total Gas'!A306,3),'Master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0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0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Data'!$A$2:$B$8,MATCH(WEEKDAY('SC Total Gas'!A307,3),'Master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0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0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Data'!$A$2:$B$8,MATCH(WEEKDAY('SC Total Gas'!A308,3),'Master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0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0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Data'!$A$2:$B$8,MATCH(WEEKDAY('SC Total Gas'!A309,3),'Master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0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0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Data'!$A$2:$B$8,MATCH(WEEKDAY('SC Total Gas'!A310,3),'Master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0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0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Data'!$A$2:$B$8,MATCH(WEEKDAY('SC Total Gas'!A311,3),'Master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0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0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Data'!$A$2:$B$8,MATCH(WEEKDAY('SC Total Gas'!A312,3),'Master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0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0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Data'!$A$2:$B$8,MATCH(WEEKDAY('SC Total Gas'!A313,3),'Master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0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0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Data'!$A$2:$B$8,MATCH(WEEKDAY('SC Total Gas'!A314,3),'Master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0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0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Data'!$A$2:$B$8,MATCH(WEEKDAY('SC Total Gas'!A315,3),'Master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0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0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Data'!$A$2:$B$8,MATCH(WEEKDAY('SC Total Gas'!A316,3),'Master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0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0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Data'!$A$2:$B$8,MATCH(WEEKDAY('SC Total Gas'!A317,3),'Master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0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0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Data'!$A$2:$B$8,MATCH(WEEKDAY('SC Total Gas'!A318,3),'Master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0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0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Data'!$A$2:$B$8,MATCH(WEEKDAY('SC Total Gas'!A319,3),'Master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0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0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Data'!$A$2:$B$8,MATCH(WEEKDAY('SC Total Gas'!A320,3),'Master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0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0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Data'!$A$2:$B$8,MATCH(WEEKDAY('SC Total Gas'!A321,3),'Master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0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0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Data'!$A$2:$B$8,MATCH(WEEKDAY('SC Total Gas'!A322,3),'Master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0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0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Data'!$A$2:$B$8,MATCH(WEEKDAY('SC Total Gas'!A323,3),'Master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0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0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Data'!$A$2:$B$8,MATCH(WEEKDAY('SC Total Gas'!A324,3),'Master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0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0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Data'!$A$2:$B$8,MATCH(WEEKDAY('SC Total Gas'!A325,3),'Master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0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0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Data'!$A$2:$B$8,MATCH(WEEKDAY('SC Total Gas'!A326,3),'Master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0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0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Data'!$A$2:$B$8,MATCH(WEEKDAY('SC Total Gas'!A327,3),'Master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0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0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Data'!$A$2:$B$8,MATCH(WEEKDAY('SC Total Gas'!A328,3),'Master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0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0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Data'!$A$2:$B$8,MATCH(WEEKDAY('SC Total Gas'!A329,3),'Master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0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0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Data'!$A$2:$B$8,MATCH(WEEKDAY('SC Total Gas'!A330,3),'Master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0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0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Data'!$A$2:$B$8,MATCH(WEEKDAY('SC Total Gas'!A331,3),'Master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0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0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Data'!$A$2:$B$8,MATCH(WEEKDAY('SC Total Gas'!A332,3),'Master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0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0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Data'!$A$2:$B$8,MATCH(WEEKDAY('SC Total Gas'!A333,3),'Master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0</v>
      </c>
      <c r="P333" s="112" t="n">
        <f aca="false">D333/P$3</f>
        <v>0</v>
      </c>
      <c r="Q333" s="112" t="n">
        <f aca="false">E337/P$3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0</v>
      </c>
    </row>
    <row r="334" customFormat="false" ht="12.75" hidden="false" customHeight="true" outlineLevel="0" collapsed="false">
      <c r="A334" s="108" t="n">
        <f aca="false">A333+1</f>
        <v>37220</v>
      </c>
      <c r="B334" s="119" t="str">
        <f aca="false">INDEX('Master Data'!$A$2:$B$8,MATCH(WEEKDAY('SC Total Gas'!A334,3),'Master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0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0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Data'!$A$2:$B$8,MATCH(WEEKDAY('SC Total Gas'!A335,3),'Master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0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0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Data'!$A$2:$B$8,MATCH(WEEKDAY('SC Total Gas'!A336,3),'Master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0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0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Data'!$A$2:$B$8,MATCH(WEEKDAY('SC Total Gas'!A337,3),'Master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0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0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Data'!$A$2:$B$8,MATCH(WEEKDAY('SC Total Gas'!A338,3),'Master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0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0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Data'!$A$2:$B$8,MATCH(WEEKDAY('SC Total Gas'!A339,3),'Master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0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0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Data'!$A$2:$B$8,MATCH(WEEKDAY('SC Total Gas'!A340,3),'Master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0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0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Data'!$A$2:$B$8,MATCH(WEEKDAY('SC Total Gas'!A341,3),'Master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0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0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Data'!$A$2:$B$8,MATCH(WEEKDAY('SC Total Gas'!A342,3),'Master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0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0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Data'!$A$2:$B$8,MATCH(WEEKDAY('SC Total Gas'!A343,3),'Master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0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0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Data'!$A$2:$B$8,MATCH(WEEKDAY('SC Total Gas'!A344,3),'Master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0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0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Data'!$A$2:$B$8,MATCH(WEEKDAY('SC Total Gas'!A345,3),'Master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0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0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Data'!$A$2:$B$8,MATCH(WEEKDAY('SC Total Gas'!A346,3),'Master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0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0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Data'!$A$2:$B$8,MATCH(WEEKDAY('SC Total Gas'!A347,3),'Master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0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0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Data'!$A$2:$B$8,MATCH(WEEKDAY('SC Total Gas'!A348,3),'Master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0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0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Data'!$A$2:$B$8,MATCH(WEEKDAY('SC Total Gas'!A349,3),'Master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0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0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Data'!$A$2:$B$8,MATCH(WEEKDAY('SC Total Gas'!A350,3),'Master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0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0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Data'!$A$2:$B$8,MATCH(WEEKDAY('SC Total Gas'!A351,3),'Master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0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0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Data'!$A$2:$B$8,MATCH(WEEKDAY('SC Total Gas'!A352,3),'Master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0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0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Data'!$A$2:$B$8,MATCH(WEEKDAY('SC Total Gas'!A353,3),'Master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0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0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Data'!$A$2:$B$8,MATCH(WEEKDAY('SC Total Gas'!A354,3),'Master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0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0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Data'!$A$2:$B$8,MATCH(WEEKDAY('SC Total Gas'!A355,3),'Master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0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0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Data'!$A$2:$B$8,MATCH(WEEKDAY('SC Total Gas'!A356,3),'Master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0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0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Data'!$A$2:$B$8,MATCH(WEEKDAY('SC Total Gas'!A357,3),'Master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0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0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Data'!$A$2:$B$8,MATCH(WEEKDAY('SC Total Gas'!A358,3),'Master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0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0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Data'!$A$2:$B$8,MATCH(WEEKDAY('SC Total Gas'!A359,3),'Master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0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0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Data'!$A$2:$B$8,MATCH(WEEKDAY('SC Total Gas'!A360,3),'Master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0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0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Data'!$A$2:$B$8,MATCH(WEEKDAY('SC Total Gas'!A361,3),'Master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0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0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Data'!$A$2:$B$8,MATCH(WEEKDAY('SC Total Gas'!A362,3),'Master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0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0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Data'!$A$2:$B$8,MATCH(WEEKDAY('SC Total Gas'!A363,3),'Master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0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0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Data'!$A$2:$B$8,MATCH(WEEKDAY('SC Total Gas'!A364,3),'Master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0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0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Data'!$A$2:$B$8,MATCH(WEEKDAY('SC Total Gas'!A365,3),'Master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0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0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Data'!$A$2:$B$8,MATCH(WEEKDAY('SC Total Gas'!A366,3),'Master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0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0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Data'!$A$2:$B$8,MATCH(WEEKDAY('SC Total Gas'!A367,3),'Master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0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0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Data'!$A$2:$B$8,MATCH(WEEKDAY('SC Total Gas'!A368,3),'Master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0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0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Data'!$A$2:$B$8,MATCH(WEEKDAY('SC Total Gas'!A369,3),'Master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0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0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Data'!$A$2:$B$8,MATCH(WEEKDAY('SC Total Gas'!A370,3),'Master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0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0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Data'!$A$2:$B$8,MATCH(WEEKDAY('SC Total Gas'!A371,3),'Master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0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-2</v>
      </c>
      <c r="P3" s="112" t="n">
        <v>1000000</v>
      </c>
      <c r="Q3" s="112"/>
      <c r="R3" s="112" t="n">
        <v>1000</v>
      </c>
      <c r="S3" s="109"/>
      <c r="T3" s="118" t="n">
        <f aca="false">SUM(T6:T371)</f>
        <v>-0.002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Data'!$A$2:$B$8,MATCH(WEEKDAY('ARG Gas Firm'!A6,3),'Master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Data'!$A$2:$B$8,MATCH(WEEKDAY('ARG Gas Firm'!A7,3),'Master Data'!$A$2:$A$8,0),2)</f>
        <v>T</v>
      </c>
      <c r="D7" s="112" t="n">
        <v>-3552485.18619147</v>
      </c>
      <c r="E7" s="112" t="n">
        <v>788724.411196363</v>
      </c>
      <c r="F7" s="112" t="n">
        <v>0</v>
      </c>
      <c r="G7" s="112" t="n">
        <v>9</v>
      </c>
      <c r="I7" s="112" t="n">
        <f aca="false">IF(MONTH($A7)=MONTH($A6),IF(G7=0,I6,G7),0)</f>
        <v>9</v>
      </c>
      <c r="J7" s="112" t="n">
        <f aca="false">IF(MONTH($A7)=MONTH($A6),SUM(I7-I6),I7)</f>
        <v>9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9</v>
      </c>
      <c r="N7" s="112" t="n">
        <f aca="false">SUM(J$6:J7)</f>
        <v>9</v>
      </c>
      <c r="P7" s="112" t="n">
        <f aca="false">D7/P$3</f>
        <v>-3.55248518619147</v>
      </c>
      <c r="Q7" s="112" t="n">
        <f aca="false">E7/P$3</f>
        <v>0.788724411196363</v>
      </c>
      <c r="R7" s="112" t="n">
        <f aca="false">F7/R$3</f>
        <v>0</v>
      </c>
      <c r="S7" s="114" t="n">
        <f aca="false">J7/$R$3</f>
        <v>0.009</v>
      </c>
      <c r="T7" s="114" t="n">
        <f aca="false">L7/$R$3</f>
        <v>0</v>
      </c>
      <c r="U7" s="114" t="n">
        <f aca="false">I7/$R$3</f>
        <v>0.009</v>
      </c>
      <c r="V7" s="114" t="n">
        <f aca="false">M7/$R$3</f>
        <v>0.009</v>
      </c>
      <c r="W7" s="114" t="n">
        <f aca="false">N7/$R$3</f>
        <v>0.009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Data'!$A$2:$B$8,MATCH(WEEKDAY('ARG Gas Firm'!A8,3),'Master Data'!$A$2:$A$8,0),2)</f>
        <v>W</v>
      </c>
      <c r="D8" s="112" t="n">
        <v>-3511840.73281223</v>
      </c>
      <c r="E8" s="112" t="n">
        <v>752295.604761536</v>
      </c>
      <c r="F8" s="112" t="n">
        <v>0</v>
      </c>
      <c r="G8" s="112" t="n">
        <v>9</v>
      </c>
      <c r="I8" s="112" t="n">
        <f aca="false">IF(MONTH($A8)=MONTH($A7),IF(G8=0,I7,G8),0)</f>
        <v>9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9</v>
      </c>
      <c r="N8" s="112" t="n">
        <f aca="false">SUM(J$6:J8)</f>
        <v>9</v>
      </c>
      <c r="P8" s="112" t="n">
        <f aca="false">D8/P$3</f>
        <v>-3.51184073281223</v>
      </c>
      <c r="Q8" s="112" t="n">
        <f aca="false">E8/P$3</f>
        <v>0.752295604761536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0.009</v>
      </c>
      <c r="V8" s="114" t="n">
        <f aca="false">M8/$R$3</f>
        <v>0.009</v>
      </c>
      <c r="W8" s="114" t="n">
        <f aca="false">N8/$R$3</f>
        <v>0.009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Data'!$A$2:$B$8,MATCH(WEEKDAY('ARG Gas Firm'!A9,3),'Master Data'!$A$2:$A$8,0),2)</f>
        <v>Th</v>
      </c>
      <c r="D9" s="112" t="n">
        <v>-3545070.66126372</v>
      </c>
      <c r="E9" s="112" t="n">
        <v>753177.03255426</v>
      </c>
      <c r="F9" s="112" t="n">
        <v>0</v>
      </c>
      <c r="G9" s="112" t="n">
        <v>9</v>
      </c>
      <c r="I9" s="112" t="n">
        <f aca="false">IF(MONTH($A9)=MONTH($A8),IF(G9=0,I8,G9),0)</f>
        <v>9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9</v>
      </c>
      <c r="N9" s="112" t="n">
        <f aca="false">SUM(J$6:J9)</f>
        <v>9</v>
      </c>
      <c r="P9" s="112" t="n">
        <f aca="false">D9/P$3</f>
        <v>-3.54507066126372</v>
      </c>
      <c r="Q9" s="112" t="n">
        <f aca="false">E9/P$3</f>
        <v>0.75317703255426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0.009</v>
      </c>
      <c r="V9" s="114" t="n">
        <f aca="false">M9/$R$3</f>
        <v>0.009</v>
      </c>
      <c r="W9" s="114" t="n">
        <f aca="false">N9/$R$3</f>
        <v>0.009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Data'!$A$2:$B$8,MATCH(WEEKDAY('ARG Gas Firm'!A10,3),'Master Data'!$A$2:$A$8,0),2)</f>
        <v>F</v>
      </c>
      <c r="D10" s="112" t="n">
        <v>-3581492.68735584</v>
      </c>
      <c r="E10" s="112" t="n">
        <v>753596.556120208</v>
      </c>
      <c r="F10" s="112" t="n">
        <v>0</v>
      </c>
      <c r="G10" s="112" t="n">
        <v>10</v>
      </c>
      <c r="I10" s="112" t="n">
        <f aca="false">IF(MONTH($A10)=MONTH($A9),IF(G10=0,I9,G10),0)</f>
        <v>10</v>
      </c>
      <c r="J10" s="112" t="n">
        <f aca="false">IF(MONTH($A10)=MONTH($A9),SUM(I10-I9),I10)</f>
        <v>1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10</v>
      </c>
      <c r="N10" s="112" t="n">
        <f aca="false">SUM(J$6:J10)</f>
        <v>10</v>
      </c>
      <c r="P10" s="112" t="n">
        <f aca="false">D10/P$3</f>
        <v>-3.58149268735584</v>
      </c>
      <c r="Q10" s="112" t="n">
        <f aca="false">E10/P$3</f>
        <v>0.753596556120208</v>
      </c>
      <c r="R10" s="112" t="n">
        <f aca="false">F10/R$3</f>
        <v>0</v>
      </c>
      <c r="S10" s="114" t="n">
        <f aca="false">J10/$R$3</f>
        <v>0.001</v>
      </c>
      <c r="T10" s="114" t="n">
        <f aca="false">L10/$R$3</f>
        <v>0</v>
      </c>
      <c r="U10" s="114" t="n">
        <f aca="false">I10/$R$3</f>
        <v>0.01</v>
      </c>
      <c r="V10" s="114" t="n">
        <f aca="false">M10/$R$3</f>
        <v>0.01</v>
      </c>
      <c r="W10" s="114" t="n">
        <f aca="false">N10/$R$3</f>
        <v>0.01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Data'!$A$2:$B$8,MATCH(WEEKDAY('ARG Gas Firm'!A11,3),'Master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10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10</v>
      </c>
      <c r="N11" s="112" t="n">
        <f aca="false">SUM(J$6:J11)</f>
        <v>10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0.01</v>
      </c>
      <c r="V11" s="114" t="n">
        <f aca="false">M11/$R$3</f>
        <v>0.01</v>
      </c>
      <c r="W11" s="114" t="n">
        <f aca="false">N11/$R$3</f>
        <v>0.01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Data'!$A$2:$B$8,MATCH(WEEKDAY('ARG Gas Firm'!A12,3),'Master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10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10</v>
      </c>
      <c r="N12" s="112" t="n">
        <f aca="false">SUM(J$6:J12)</f>
        <v>10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0.01</v>
      </c>
      <c r="V12" s="114" t="n">
        <f aca="false">M12/$R$3</f>
        <v>0.01</v>
      </c>
      <c r="W12" s="114" t="n">
        <f aca="false">N12/$R$3</f>
        <v>0.01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Data'!$A$2:$B$8,MATCH(WEEKDAY('ARG Gas Firm'!A13,3),'Master Data'!$A$2:$A$8,0),2)</f>
        <v>M</v>
      </c>
      <c r="D13" s="112" t="n">
        <v>-3597592.8025819</v>
      </c>
      <c r="E13" s="112" t="n">
        <v>754057.973553585</v>
      </c>
      <c r="F13" s="112" t="n">
        <v>0</v>
      </c>
      <c r="G13" s="112" t="n">
        <v>11</v>
      </c>
      <c r="I13" s="112" t="n">
        <f aca="false">IF(MONTH($A13)=MONTH($A12),IF(G13=0,I12,G13),0)</f>
        <v>11</v>
      </c>
      <c r="J13" s="112" t="n">
        <f aca="false">IF(MONTH($A13)=MONTH($A12),SUM(I13-I12),I13)</f>
        <v>1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11</v>
      </c>
      <c r="N13" s="112" t="n">
        <f aca="false">SUM(J$6:J13)</f>
        <v>11</v>
      </c>
      <c r="P13" s="112" t="n">
        <f aca="false">D13/P$3</f>
        <v>-3.5975928025819</v>
      </c>
      <c r="Q13" s="112" t="n">
        <f aca="false">E13/P$3</f>
        <v>0.754057973553585</v>
      </c>
      <c r="R13" s="112" t="n">
        <f aca="false">F13/R$3</f>
        <v>0</v>
      </c>
      <c r="S13" s="114" t="n">
        <f aca="false">J13/$R$3</f>
        <v>0.001</v>
      </c>
      <c r="T13" s="114" t="n">
        <f aca="false">L13/$R$3</f>
        <v>0</v>
      </c>
      <c r="U13" s="114" t="n">
        <f aca="false">I13/$R$3</f>
        <v>0.011</v>
      </c>
      <c r="V13" s="114" t="n">
        <f aca="false">M13/$R$3</f>
        <v>0.011</v>
      </c>
      <c r="W13" s="114" t="n">
        <f aca="false">N13/$R$3</f>
        <v>0.011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Data'!$A$2:$B$8,MATCH(WEEKDAY('ARG Gas Firm'!A14,3),'Master Data'!$A$2:$A$8,0),2)</f>
        <v>T</v>
      </c>
      <c r="D14" s="112" t="n">
        <v>-3578448.29156749</v>
      </c>
      <c r="E14" s="112" t="n">
        <v>754138.426611752</v>
      </c>
      <c r="F14" s="112" t="n">
        <v>0</v>
      </c>
      <c r="G14" s="112" t="n">
        <v>10</v>
      </c>
      <c r="I14" s="112" t="n">
        <f aca="false">IF(MONTH($A14)=MONTH($A13),IF(G14=0,I13,G14),0)</f>
        <v>10</v>
      </c>
      <c r="J14" s="112" t="n">
        <f aca="false">IF(MONTH($A14)=MONTH($A13),SUM(I14-I13),I14)</f>
        <v>-1</v>
      </c>
      <c r="K14" s="112" t="n">
        <f aca="false">IF(WEEKDAY(A14,3)&gt;4,0,(IF(A14&lt;K$2,0,IF(A14&lt;=K$3,1,0))))</f>
        <v>0</v>
      </c>
      <c r="L14" s="112" t="n">
        <f aca="false">J14*K14</f>
        <v>-0</v>
      </c>
      <c r="M14" s="112" t="n">
        <f aca="false">SUM(J$6:J14)</f>
        <v>10</v>
      </c>
      <c r="N14" s="112" t="n">
        <f aca="false">SUM(J$6:J14)</f>
        <v>10</v>
      </c>
      <c r="P14" s="112" t="n">
        <f aca="false">D14/P$3</f>
        <v>-3.57844829156749</v>
      </c>
      <c r="Q14" s="112" t="n">
        <f aca="false">E14/P$3</f>
        <v>0.754138426611752</v>
      </c>
      <c r="R14" s="112" t="n">
        <f aca="false">F14/R$3</f>
        <v>0</v>
      </c>
      <c r="S14" s="114" t="n">
        <f aca="false">J14/$R$3</f>
        <v>-0.001</v>
      </c>
      <c r="T14" s="114" t="n">
        <f aca="false">L14/$R$3</f>
        <v>-0</v>
      </c>
      <c r="U14" s="114" t="n">
        <f aca="false">I14/$R$3</f>
        <v>0.01</v>
      </c>
      <c r="V14" s="114" t="n">
        <f aca="false">M14/$R$3</f>
        <v>0.01</v>
      </c>
      <c r="W14" s="114" t="n">
        <f aca="false">N14/$R$3</f>
        <v>0.01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Data'!$A$2:$B$8,MATCH(WEEKDAY('ARG Gas Firm'!A15,3),'Master Data'!$A$2:$A$8,0),2)</f>
        <v>W</v>
      </c>
      <c r="D15" s="112" t="n">
        <v>-3546012.5257692</v>
      </c>
      <c r="E15" s="112" t="n">
        <v>754191.521469721</v>
      </c>
      <c r="F15" s="112" t="n">
        <v>0</v>
      </c>
      <c r="G15" s="112" t="n">
        <v>9</v>
      </c>
      <c r="I15" s="112" t="n">
        <f aca="false">IF(MONTH($A15)=MONTH($A14),IF(G15=0,I14,G15),0)</f>
        <v>9</v>
      </c>
      <c r="J15" s="112" t="n">
        <f aca="false">IF(MONTH($A15)=MONTH($A14),SUM(I15-I14),I15)</f>
        <v>-1</v>
      </c>
      <c r="K15" s="112" t="n">
        <f aca="false">IF(WEEKDAY(A15,3)&gt;4,0,(IF(A15&lt;K$2,0,IF(A15&lt;=K$3,1,0))))</f>
        <v>0</v>
      </c>
      <c r="L15" s="112" t="n">
        <f aca="false">J15*K15</f>
        <v>-0</v>
      </c>
      <c r="M15" s="112" t="n">
        <f aca="false">SUM(J$6:J15)</f>
        <v>9</v>
      </c>
      <c r="N15" s="112" t="n">
        <f aca="false">SUM(J$6:J15)</f>
        <v>9</v>
      </c>
      <c r="P15" s="112" t="n">
        <f aca="false">D15/P$3</f>
        <v>-3.5460125257692</v>
      </c>
      <c r="Q15" s="112" t="n">
        <f aca="false">E15/P$3</f>
        <v>0.754191521469721</v>
      </c>
      <c r="R15" s="112" t="n">
        <f aca="false">F15/R$3</f>
        <v>0</v>
      </c>
      <c r="S15" s="114" t="n">
        <f aca="false">J15/$R$3</f>
        <v>-0.001</v>
      </c>
      <c r="T15" s="114" t="n">
        <f aca="false">L15/$R$3</f>
        <v>-0</v>
      </c>
      <c r="U15" s="114" t="n">
        <f aca="false">I15/$R$3</f>
        <v>0.009</v>
      </c>
      <c r="V15" s="114" t="n">
        <f aca="false">M15/$R$3</f>
        <v>0.009</v>
      </c>
      <c r="W15" s="114" t="n">
        <f aca="false">N15/$R$3</f>
        <v>0.009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Data'!$A$2:$B$8,MATCH(WEEKDAY('ARG Gas Firm'!A16,3),'Master Data'!$A$2:$A$8,0),2)</f>
        <v>Th</v>
      </c>
      <c r="D16" s="112" t="n">
        <v>-3536648.88393249</v>
      </c>
      <c r="E16" s="112" t="n">
        <v>754278.722762887</v>
      </c>
      <c r="F16" s="112" t="n">
        <v>0</v>
      </c>
      <c r="G16" s="112" t="n">
        <v>8</v>
      </c>
      <c r="I16" s="112" t="n">
        <f aca="false">IF(MONTH($A16)=MONTH($A15),IF(G16=0,I15,G16),0)</f>
        <v>8</v>
      </c>
      <c r="J16" s="112" t="n">
        <f aca="false">IF(MONTH($A16)=MONTH($A15),SUM(I16-I15),I16)</f>
        <v>-1</v>
      </c>
      <c r="K16" s="112" t="n">
        <f aca="false">IF(WEEKDAY(A16,3)&gt;4,0,(IF(A16&lt;K$2,0,IF(A16&lt;=K$3,1,0))))</f>
        <v>0</v>
      </c>
      <c r="L16" s="112" t="n">
        <f aca="false">J16*K16</f>
        <v>-0</v>
      </c>
      <c r="M16" s="112" t="n">
        <f aca="false">SUM(J$6:J16)</f>
        <v>8</v>
      </c>
      <c r="N16" s="112" t="n">
        <f aca="false">SUM(J$6:J16)</f>
        <v>8</v>
      </c>
      <c r="P16" s="112" t="n">
        <f aca="false">D16/P$3</f>
        <v>-3.53664888393249</v>
      </c>
      <c r="Q16" s="112" t="n">
        <f aca="false">E16/P$3</f>
        <v>0.754278722762887</v>
      </c>
      <c r="R16" s="112" t="n">
        <f aca="false">F16/R$3</f>
        <v>0</v>
      </c>
      <c r="S16" s="114" t="n">
        <f aca="false">J16/$R$3</f>
        <v>-0.001</v>
      </c>
      <c r="T16" s="114" t="n">
        <f aca="false">L16/$R$3</f>
        <v>-0</v>
      </c>
      <c r="U16" s="114" t="n">
        <f aca="false">I16/$R$3</f>
        <v>0.008</v>
      </c>
      <c r="V16" s="114" t="n">
        <f aca="false">M16/$R$3</f>
        <v>0.008</v>
      </c>
      <c r="W16" s="114" t="n">
        <f aca="false">N16/$R$3</f>
        <v>0.008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Data'!$A$2:$B$8,MATCH(WEEKDAY('ARG Gas Firm'!A17,3),'Master Data'!$A$2:$A$8,0),2)</f>
        <v>F</v>
      </c>
      <c r="D17" s="112" t="n">
        <v>-3506001.99084377</v>
      </c>
      <c r="E17" s="112" t="n">
        <v>754344.834224599</v>
      </c>
      <c r="F17" s="112" t="n">
        <v>0</v>
      </c>
      <c r="G17" s="112" t="n">
        <v>7</v>
      </c>
      <c r="I17" s="112" t="n">
        <f aca="false">IF(MONTH($A17)=MONTH($A16),IF(G17=0,I16,G17),0)</f>
        <v>7</v>
      </c>
      <c r="J17" s="112" t="n">
        <f aca="false">IF(MONTH($A17)=MONTH($A16),SUM(I17-I16),I17)</f>
        <v>-1</v>
      </c>
      <c r="K17" s="112" t="n">
        <f aca="false">IF(WEEKDAY(A17,3)&gt;4,0,(IF(A17&lt;K$2,0,IF(A17&lt;=K$3,1,0))))</f>
        <v>0</v>
      </c>
      <c r="L17" s="112" t="n">
        <f aca="false">J17*K17</f>
        <v>-0</v>
      </c>
      <c r="M17" s="112" t="n">
        <f aca="false">SUM(J$6:J17)</f>
        <v>7</v>
      </c>
      <c r="N17" s="112" t="n">
        <f aca="false">SUM(J$6:J17)</f>
        <v>7</v>
      </c>
      <c r="P17" s="112" t="n">
        <f aca="false">D17/P$3</f>
        <v>-3.50600199084377</v>
      </c>
      <c r="Q17" s="112" t="n">
        <f aca="false">E17/P$3</f>
        <v>0.754344834224599</v>
      </c>
      <c r="R17" s="112" t="n">
        <f aca="false">F17/R$3</f>
        <v>0</v>
      </c>
      <c r="S17" s="114" t="n">
        <f aca="false">J17/$R$3</f>
        <v>-0.001</v>
      </c>
      <c r="T17" s="114" t="n">
        <f aca="false">L17/$R$3</f>
        <v>-0</v>
      </c>
      <c r="U17" s="114" t="n">
        <f aca="false">I17/$R$3</f>
        <v>0.007</v>
      </c>
      <c r="V17" s="114" t="n">
        <f aca="false">M17/$R$3</f>
        <v>0.007</v>
      </c>
      <c r="W17" s="114" t="n">
        <f aca="false">N17/$R$3</f>
        <v>0.007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Data'!$A$2:$B$8,MATCH(WEEKDAY('ARG Gas Firm'!A18,3),'Master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7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7</v>
      </c>
      <c r="N18" s="112" t="n">
        <f aca="false">SUM(J$6:J18)</f>
        <v>7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0.007</v>
      </c>
      <c r="V18" s="114" t="n">
        <f aca="false">M18/$R$3</f>
        <v>0.007</v>
      </c>
      <c r="W18" s="114" t="n">
        <f aca="false">N18/$R$3</f>
        <v>0.007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Data'!$A$2:$B$8,MATCH(WEEKDAY('ARG Gas Firm'!A19,3),'Master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7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7</v>
      </c>
      <c r="N19" s="112" t="n">
        <f aca="false">SUM(J$6:J19)</f>
        <v>7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0.007</v>
      </c>
      <c r="V19" s="114" t="n">
        <f aca="false">M19/$R$3</f>
        <v>0.007</v>
      </c>
      <c r="W19" s="114" t="n">
        <f aca="false">N19/$R$3</f>
        <v>0.007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Data'!$A$2:$B$8,MATCH(WEEKDAY('ARG Gas Firm'!A20,3),'Master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7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7</v>
      </c>
      <c r="N20" s="112" t="n">
        <f aca="false">SUM(J$6:J20)</f>
        <v>7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0.007</v>
      </c>
      <c r="V20" s="114" t="n">
        <f aca="false">M20/$R$3</f>
        <v>0.007</v>
      </c>
      <c r="W20" s="114" t="n">
        <f aca="false">N20/$R$3</f>
        <v>0.007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Data'!$A$2:$B$8,MATCH(WEEKDAY('ARG Gas Firm'!A21,3),'Master Data'!$A$2:$A$8,0),2)</f>
        <v>T</v>
      </c>
      <c r="D21" s="112" t="n">
        <v>-3506163.17172455</v>
      </c>
      <c r="E21" s="112" t="n">
        <v>754800.74025605</v>
      </c>
      <c r="F21" s="112" t="n">
        <v>0</v>
      </c>
      <c r="G21" s="112" t="n">
        <v>8</v>
      </c>
      <c r="I21" s="112" t="n">
        <f aca="false">IF(MONTH($A21)=MONTH($A20),IF(G21=0,I20,G21),0)</f>
        <v>8</v>
      </c>
      <c r="J21" s="112" t="n">
        <f aca="false">IF(MONTH($A21)=MONTH($A20),SUM(I21-I20),I21)</f>
        <v>1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8</v>
      </c>
      <c r="N21" s="112" t="n">
        <f aca="false">SUM(J$6:J21)</f>
        <v>8</v>
      </c>
      <c r="P21" s="112" t="n">
        <f aca="false">D21/P$3</f>
        <v>-3.50616317172455</v>
      </c>
      <c r="Q21" s="112" t="n">
        <f aca="false">E21/P$3</f>
        <v>0.75480074025605</v>
      </c>
      <c r="R21" s="112" t="n">
        <f aca="false">F21/R$3</f>
        <v>0</v>
      </c>
      <c r="S21" s="114" t="n">
        <f aca="false">J21/$R$3</f>
        <v>0.001</v>
      </c>
      <c r="T21" s="114" t="n">
        <f aca="false">L21/$R$3</f>
        <v>0</v>
      </c>
      <c r="U21" s="114" t="n">
        <f aca="false">I21/$R$3</f>
        <v>0.008</v>
      </c>
      <c r="V21" s="114" t="n">
        <f aca="false">M21/$R$3</f>
        <v>0.008</v>
      </c>
      <c r="W21" s="114" t="n">
        <f aca="false">N21/$R$3</f>
        <v>0.008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Data'!$A$2:$B$8,MATCH(WEEKDAY('ARG Gas Firm'!A22,3),'Master Data'!$A$2:$A$8,0),2)</f>
        <v>W</v>
      </c>
      <c r="D22" s="112" t="n">
        <v>-3526255.35989047</v>
      </c>
      <c r="E22" s="112" t="n">
        <v>754919.67535789</v>
      </c>
      <c r="F22" s="112" t="n">
        <v>0</v>
      </c>
      <c r="G22" s="112" t="n">
        <v>9</v>
      </c>
      <c r="I22" s="112" t="n">
        <f aca="false">IF(MONTH($A22)=MONTH($A21),IF(G22=0,I21,G22),0)</f>
        <v>9</v>
      </c>
      <c r="J22" s="112" t="n">
        <f aca="false">IF(MONTH($A22)=MONTH($A21),SUM(I22-I21),I22)</f>
        <v>1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9</v>
      </c>
      <c r="N22" s="112" t="n">
        <f aca="false">SUM(J$6:J22)</f>
        <v>9</v>
      </c>
      <c r="P22" s="112" t="n">
        <f aca="false">D22/P$3</f>
        <v>-3.52625535989047</v>
      </c>
      <c r="Q22" s="112" t="n">
        <f aca="false">E22/P$3</f>
        <v>0.75491967535789</v>
      </c>
      <c r="R22" s="112" t="n">
        <f aca="false">F22/R$3</f>
        <v>0</v>
      </c>
      <c r="S22" s="114" t="n">
        <f aca="false">J22/$R$3</f>
        <v>0.001</v>
      </c>
      <c r="T22" s="114" t="n">
        <f aca="false">L22/$R$3</f>
        <v>0</v>
      </c>
      <c r="U22" s="114" t="n">
        <f aca="false">I22/$R$3</f>
        <v>0.009</v>
      </c>
      <c r="V22" s="114" t="n">
        <f aca="false">M22/$R$3</f>
        <v>0.009</v>
      </c>
      <c r="W22" s="114" t="n">
        <f aca="false">N22/$R$3</f>
        <v>0.009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Data'!$A$2:$B$8,MATCH(WEEKDAY('ARG Gas Firm'!A23,3),'Master Data'!$A$2:$A$8,0),2)</f>
        <v>Th</v>
      </c>
      <c r="D23" s="112" t="n">
        <v>-3526870.07585169</v>
      </c>
      <c r="E23" s="112" t="n">
        <v>755128.333813104</v>
      </c>
      <c r="F23" s="112" t="n">
        <v>0</v>
      </c>
      <c r="G23" s="112" t="n">
        <v>9</v>
      </c>
      <c r="I23" s="112" t="n">
        <f aca="false">IF(MONTH($A23)=MONTH($A22),IF(G23=0,I22,G23),0)</f>
        <v>9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9</v>
      </c>
      <c r="N23" s="112" t="n">
        <f aca="false">SUM(J$6:J23)</f>
        <v>9</v>
      </c>
      <c r="P23" s="112" t="n">
        <f aca="false">D23/P$3</f>
        <v>-3.52687007585169</v>
      </c>
      <c r="Q23" s="112" t="n">
        <f aca="false">E23/P$3</f>
        <v>0.755128333813104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0.009</v>
      </c>
      <c r="V23" s="114" t="n">
        <f aca="false">M23/$R$3</f>
        <v>0.009</v>
      </c>
      <c r="W23" s="114" t="n">
        <f aca="false">N23/$R$3</f>
        <v>0.009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Data'!$A$2:$B$8,MATCH(WEEKDAY('ARG Gas Firm'!A24,3),'Master Data'!$A$2:$A$8,0),2)</f>
        <v>F</v>
      </c>
      <c r="D24" s="112" t="n">
        <v>-3527452.13505165</v>
      </c>
      <c r="E24" s="112" t="n">
        <v>755322.108154988</v>
      </c>
      <c r="F24" s="112" t="n">
        <v>0</v>
      </c>
      <c r="G24" s="112" t="n">
        <v>9</v>
      </c>
      <c r="I24" s="112" t="n">
        <f aca="false">IF(MONTH($A24)=MONTH($A23),IF(G24=0,I23,G24),0)</f>
        <v>9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9</v>
      </c>
      <c r="N24" s="112" t="n">
        <f aca="false">SUM(J$6:J24)</f>
        <v>9</v>
      </c>
      <c r="P24" s="112" t="n">
        <f aca="false">D24/P$3</f>
        <v>-3.52745213505165</v>
      </c>
      <c r="Q24" s="112" t="n">
        <f aca="false">E24/P$3</f>
        <v>0.755322108154988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0.009</v>
      </c>
      <c r="V24" s="114" t="n">
        <f aca="false">M24/$R$3</f>
        <v>0.009</v>
      </c>
      <c r="W24" s="114" t="n">
        <f aca="false">N24/$R$3</f>
        <v>0.009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Data'!$A$2:$B$8,MATCH(WEEKDAY('ARG Gas Firm'!A25,3),'Master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9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9</v>
      </c>
      <c r="N25" s="112" t="n">
        <f aca="false">SUM(J$6:J25)</f>
        <v>9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0.009</v>
      </c>
      <c r="V25" s="114" t="n">
        <f aca="false">M25/$R$3</f>
        <v>0.009</v>
      </c>
      <c r="W25" s="114" t="n">
        <f aca="false">N25/$R$3</f>
        <v>0.009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Data'!$A$2:$B$8,MATCH(WEEKDAY('ARG Gas Firm'!A26,3),'Master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9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9</v>
      </c>
      <c r="N26" s="112" t="n">
        <f aca="false">SUM(J$6:J26)</f>
        <v>9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0.009</v>
      </c>
      <c r="V26" s="114" t="n">
        <f aca="false">M26/$R$3</f>
        <v>0.009</v>
      </c>
      <c r="W26" s="114" t="n">
        <f aca="false">N26/$R$3</f>
        <v>0.009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Data'!$A$2:$B$8,MATCH(WEEKDAY('ARG Gas Firm'!A27,3),'Master Data'!$A$2:$A$8,0),2)</f>
        <v>M</v>
      </c>
      <c r="D27" s="112" t="n">
        <v>-3517269.95083831</v>
      </c>
      <c r="E27" s="112" t="n">
        <v>755727.500282326</v>
      </c>
      <c r="F27" s="112" t="n">
        <v>0</v>
      </c>
      <c r="G27" s="112" t="n">
        <v>10</v>
      </c>
      <c r="I27" s="112" t="n">
        <f aca="false">IF(MONTH($A27)=MONTH($A26),IF(G27=0,I26,G27),0)</f>
        <v>10</v>
      </c>
      <c r="J27" s="112" t="n">
        <f aca="false">IF(MONTH($A27)=MONTH($A26),SUM(I27-I26),I27)</f>
        <v>1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10</v>
      </c>
      <c r="N27" s="112" t="n">
        <f aca="false">SUM(J$6:J27)</f>
        <v>10</v>
      </c>
      <c r="P27" s="112" t="n">
        <f aca="false">D27/P$3</f>
        <v>-3.51726995083831</v>
      </c>
      <c r="Q27" s="112" t="n">
        <f aca="false">E27/P$3</f>
        <v>0.755727500282326</v>
      </c>
      <c r="R27" s="112" t="n">
        <f aca="false">F27/R$3</f>
        <v>0</v>
      </c>
      <c r="S27" s="114" t="n">
        <f aca="false">J27/$R$3</f>
        <v>0.001</v>
      </c>
      <c r="T27" s="114" t="n">
        <f aca="false">L27/$R$3</f>
        <v>0</v>
      </c>
      <c r="U27" s="114" t="n">
        <f aca="false">I27/$R$3</f>
        <v>0.01</v>
      </c>
      <c r="V27" s="114" t="n">
        <f aca="false">M27/$R$3</f>
        <v>0.01</v>
      </c>
      <c r="W27" s="114" t="n">
        <f aca="false">N27/$R$3</f>
        <v>0.01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Data'!$A$2:$B$8,MATCH(WEEKDAY('ARG Gas Firm'!A28,3),'Master Data'!$A$2:$A$8,0),2)</f>
        <v>T</v>
      </c>
      <c r="D28" s="112" t="n">
        <v>-3502166.9047656</v>
      </c>
      <c r="E28" s="112" t="n">
        <v>755830.521824013</v>
      </c>
      <c r="F28" s="112" t="n">
        <v>0</v>
      </c>
      <c r="G28" s="112" t="n">
        <v>9</v>
      </c>
      <c r="I28" s="112" t="n">
        <f aca="false">IF(MONTH($A28)=MONTH($A27),IF(G28=0,I27,G28),0)</f>
        <v>9</v>
      </c>
      <c r="J28" s="112" t="n">
        <f aca="false">IF(MONTH($A28)=MONTH($A27),SUM(I28-I27),I28)</f>
        <v>-1</v>
      </c>
      <c r="K28" s="112" t="n">
        <f aca="false">IF(WEEKDAY(A28,3)&gt;4,0,(IF(A28&lt;K$2,0,IF(A28&lt;=K$3,1,0))))</f>
        <v>0</v>
      </c>
      <c r="L28" s="112" t="n">
        <f aca="false">J28*K28</f>
        <v>-0</v>
      </c>
      <c r="M28" s="112" t="n">
        <f aca="false">SUM(J$6:J28)</f>
        <v>9</v>
      </c>
      <c r="N28" s="112" t="n">
        <f aca="false">SUM(J$6:J28)</f>
        <v>9</v>
      </c>
      <c r="P28" s="112" t="n">
        <f aca="false">D28/P$3</f>
        <v>-3.5021669047656</v>
      </c>
      <c r="Q28" s="112" t="n">
        <f aca="false">E28/P$3</f>
        <v>0.755830521824013</v>
      </c>
      <c r="R28" s="112" t="n">
        <f aca="false">F28/R$3</f>
        <v>0</v>
      </c>
      <c r="S28" s="114" t="n">
        <f aca="false">J28/$R$3</f>
        <v>-0.001</v>
      </c>
      <c r="T28" s="114" t="n">
        <f aca="false">L28/$R$3</f>
        <v>-0</v>
      </c>
      <c r="U28" s="114" t="n">
        <f aca="false">I28/$R$3</f>
        <v>0.009</v>
      </c>
      <c r="V28" s="114" t="n">
        <f aca="false">M28/$R$3</f>
        <v>0.009</v>
      </c>
      <c r="W28" s="114" t="n">
        <f aca="false">N28/$R$3</f>
        <v>0.009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Data'!$A$2:$B$8,MATCH(WEEKDAY('ARG Gas Firm'!A29,3),'Master Data'!$A$2:$A$8,0),2)</f>
        <v>W</v>
      </c>
      <c r="D29" s="112" t="n">
        <v>-3502030.88820983</v>
      </c>
      <c r="E29" s="112" t="n">
        <v>755920.447994745</v>
      </c>
      <c r="F29" s="112" t="n">
        <v>0</v>
      </c>
      <c r="G29" s="112" t="n">
        <v>9</v>
      </c>
      <c r="I29" s="112" t="n">
        <f aca="false">IF(MONTH($A29)=MONTH($A28),IF(G29=0,I28,G29),0)</f>
        <v>9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9</v>
      </c>
      <c r="N29" s="112" t="n">
        <f aca="false">SUM(J$6:J29)</f>
        <v>9</v>
      </c>
      <c r="P29" s="112" t="n">
        <f aca="false">D29/P$3</f>
        <v>-3.50203088820983</v>
      </c>
      <c r="Q29" s="112" t="n">
        <f aca="false">E29/P$3</f>
        <v>0.755920447994745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0.009</v>
      </c>
      <c r="V29" s="114" t="n">
        <f aca="false">M29/$R$3</f>
        <v>0.009</v>
      </c>
      <c r="W29" s="114" t="n">
        <f aca="false">N29/$R$3</f>
        <v>0.009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Data'!$A$2:$B$8,MATCH(WEEKDAY('ARG Gas Firm'!A30,3),'Master Data'!$A$2:$A$8,0),2)</f>
        <v>Th</v>
      </c>
      <c r="D30" s="112" t="n">
        <v>-3514935.86757602</v>
      </c>
      <c r="E30" s="112" t="n">
        <v>756046.123666331</v>
      </c>
      <c r="F30" s="112" t="n">
        <v>0</v>
      </c>
      <c r="G30" s="112" t="n">
        <v>8</v>
      </c>
      <c r="I30" s="112" t="n">
        <f aca="false">IF(MONTH($A30)=MONTH($A29),IF(G30=0,I29,G30),0)</f>
        <v>8</v>
      </c>
      <c r="J30" s="112" t="n">
        <f aca="false">IF(MONTH($A30)=MONTH($A29),SUM(I30-I29),I30)</f>
        <v>-1</v>
      </c>
      <c r="K30" s="112" t="n">
        <f aca="false">IF(WEEKDAY(A30,3)&gt;4,0,(IF(A30&lt;K$2,0,IF(A30&lt;=K$3,1,0))))</f>
        <v>0</v>
      </c>
      <c r="L30" s="112" t="n">
        <f aca="false">J30*K30</f>
        <v>-0</v>
      </c>
      <c r="M30" s="112" t="n">
        <f aca="false">SUM(J$6:J30)</f>
        <v>8</v>
      </c>
      <c r="N30" s="112" t="n">
        <f aca="false">SUM(J$6:J30)</f>
        <v>8</v>
      </c>
      <c r="P30" s="112" t="n">
        <f aca="false">D30/P$3</f>
        <v>-3.51493586757602</v>
      </c>
      <c r="Q30" s="112" t="n">
        <f aca="false">E30/P$3</f>
        <v>0.756046123666331</v>
      </c>
      <c r="R30" s="112" t="n">
        <f aca="false">F30/R$3</f>
        <v>0</v>
      </c>
      <c r="S30" s="114" t="n">
        <f aca="false">J30/$R$3</f>
        <v>-0.001</v>
      </c>
      <c r="T30" s="114" t="n">
        <f aca="false">L30/$R$3</f>
        <v>-0</v>
      </c>
      <c r="U30" s="114" t="n">
        <f aca="false">I30/$R$3</f>
        <v>0.008</v>
      </c>
      <c r="V30" s="114" t="n">
        <f aca="false">M30/$R$3</f>
        <v>0.008</v>
      </c>
      <c r="W30" s="114" t="n">
        <f aca="false">N30/$R$3</f>
        <v>0.008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Data'!$A$2:$B$8,MATCH(WEEKDAY('ARG Gas Firm'!A31,3),'Master Data'!$A$2:$A$8,0),2)</f>
        <v>F</v>
      </c>
      <c r="D31" s="112" t="n">
        <v>-3514077.19683868</v>
      </c>
      <c r="E31" s="112" t="n">
        <v>756207.569494728</v>
      </c>
      <c r="F31" s="112" t="n">
        <v>0</v>
      </c>
      <c r="G31" s="112" t="n">
        <v>8</v>
      </c>
      <c r="I31" s="112" t="n">
        <f aca="false">IF(MONTH($A31)=MONTH($A30),IF(G31=0,I30,G31),0)</f>
        <v>8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8</v>
      </c>
      <c r="N31" s="112" t="n">
        <f aca="false">SUM(J$6:J31)</f>
        <v>8</v>
      </c>
      <c r="P31" s="112" t="n">
        <f aca="false">D31/P$3</f>
        <v>-3.51407719683868</v>
      </c>
      <c r="Q31" s="112" t="n">
        <f aca="false">E31/P$3</f>
        <v>0.756207569494728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0.008</v>
      </c>
      <c r="V31" s="114" t="n">
        <f aca="false">M31/$R$3</f>
        <v>0.008</v>
      </c>
      <c r="W31" s="114" t="n">
        <f aca="false">N31/$R$3</f>
        <v>0.008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Data'!$A$2:$B$8,MATCH(WEEKDAY('ARG Gas Firm'!A32,3),'Master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8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8</v>
      </c>
      <c r="N32" s="112" t="n">
        <f aca="false">SUM(J$6:J32)</f>
        <v>8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0.008</v>
      </c>
      <c r="V32" s="114" t="n">
        <f aca="false">M32/$R$3</f>
        <v>0.008</v>
      </c>
      <c r="W32" s="114" t="n">
        <f aca="false">N32/$R$3</f>
        <v>0.008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Data'!$A$2:$B$8,MATCH(WEEKDAY('ARG Gas Firm'!A33,3),'Master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8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8</v>
      </c>
      <c r="N33" s="112" t="n">
        <f aca="false">SUM(J$6:J33)</f>
        <v>8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0.008</v>
      </c>
      <c r="V33" s="114" t="n">
        <f aca="false">M33/$R$3</f>
        <v>0.008</v>
      </c>
      <c r="W33" s="114" t="n">
        <f aca="false">N33/$R$3</f>
        <v>0.008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Data'!$A$2:$B$8,MATCH(WEEKDAY('ARG Gas Firm'!A34,3),'Master Data'!$A$2:$A$8,0),2)</f>
        <v>M</v>
      </c>
      <c r="D34" s="112" t="n">
        <v>-3511311.55995468</v>
      </c>
      <c r="E34" s="112" t="n">
        <v>756611.500544355</v>
      </c>
      <c r="F34" s="112" t="n">
        <v>0</v>
      </c>
      <c r="G34" s="112" t="n">
        <v>9</v>
      </c>
      <c r="I34" s="112" t="n">
        <f aca="false">IF(MONTH($A34)=MONTH($A33),IF(G34=0,I33,G34),0)</f>
        <v>9</v>
      </c>
      <c r="J34" s="112" t="n">
        <f aca="false">IF(MONTH($A34)=MONTH($A33),SUM(I34-I33),I34)</f>
        <v>1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9</v>
      </c>
      <c r="N34" s="112" t="n">
        <f aca="false">SUM(J$6:J34)</f>
        <v>9</v>
      </c>
      <c r="P34" s="112" t="n">
        <f aca="false">D34/P$3</f>
        <v>-3.51131155995468</v>
      </c>
      <c r="Q34" s="112" t="n">
        <f aca="false">E34/P$3</f>
        <v>0.756611500544355</v>
      </c>
      <c r="R34" s="112" t="n">
        <f aca="false">F34/R$3</f>
        <v>0</v>
      </c>
      <c r="S34" s="114" t="n">
        <f aca="false">J34/$R$3</f>
        <v>0.001</v>
      </c>
      <c r="T34" s="114" t="n">
        <f aca="false">L34/$R$3</f>
        <v>0</v>
      </c>
      <c r="U34" s="114" t="n">
        <f aca="false">I34/$R$3</f>
        <v>0.009</v>
      </c>
      <c r="V34" s="114" t="n">
        <f aca="false">M34/$R$3</f>
        <v>0.009</v>
      </c>
      <c r="W34" s="114" t="n">
        <f aca="false">N34/$R$3</f>
        <v>0.009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Data'!$A$2:$B$8,MATCH(WEEKDAY('ARG Gas Firm'!A35,3),'Master Data'!$A$2:$A$8,0),2)</f>
        <v>T</v>
      </c>
      <c r="D35" s="112" t="n">
        <v>-3534118.27078236</v>
      </c>
      <c r="E35" s="112" t="n">
        <v>756756.118887081</v>
      </c>
      <c r="F35" s="112" t="n">
        <v>0</v>
      </c>
      <c r="G35" s="112" t="n">
        <v>10</v>
      </c>
      <c r="I35" s="112" t="n">
        <f aca="false">IF(MONTH($A35)=MONTH($A34),IF(G35=0,I34,G35),0)</f>
        <v>10</v>
      </c>
      <c r="J35" s="112" t="n">
        <f aca="false">IF(MONTH($A35)=MONTH($A34),SUM(I35-I34),I35)</f>
        <v>1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10</v>
      </c>
      <c r="N35" s="112" t="n">
        <f aca="false">SUM(J$6:J35)</f>
        <v>10</v>
      </c>
      <c r="P35" s="112" t="n">
        <f aca="false">D35/P$3</f>
        <v>-3.53411827078236</v>
      </c>
      <c r="Q35" s="112" t="n">
        <f aca="false">E35/P$3</f>
        <v>0.756756118887081</v>
      </c>
      <c r="R35" s="112" t="n">
        <f aca="false">F35/R$3</f>
        <v>0</v>
      </c>
      <c r="S35" s="114" t="n">
        <f aca="false">J35/$R$3</f>
        <v>0.001</v>
      </c>
      <c r="T35" s="114" t="n">
        <f aca="false">L35/$R$3</f>
        <v>0</v>
      </c>
      <c r="U35" s="114" t="n">
        <f aca="false">I35/$R$3</f>
        <v>0.01</v>
      </c>
      <c r="V35" s="114" t="n">
        <f aca="false">M35/$R$3</f>
        <v>0.01</v>
      </c>
      <c r="W35" s="114" t="n">
        <f aca="false">N35/$R$3</f>
        <v>0.01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Data'!$A$2:$B$8,MATCH(WEEKDAY('ARG Gas Firm'!A36,3),'Master Data'!$A$2:$A$8,0),2)</f>
        <v>W</v>
      </c>
      <c r="D36" s="112" t="n">
        <v>-3465128.41663622</v>
      </c>
      <c r="E36" s="112" t="n">
        <v>656932.526902197</v>
      </c>
      <c r="F36" s="112" t="n">
        <v>0</v>
      </c>
      <c r="G36" s="112" t="n">
        <v>10</v>
      </c>
      <c r="I36" s="112" t="n">
        <f aca="false">IF(MONTH($A36)=MONTH($A35),IF(G36=0,I35,G36),0)</f>
        <v>10</v>
      </c>
      <c r="J36" s="112" t="n">
        <f aca="false">IF(MONTH($A36)=MONTH($A35),SUM(I36-I35),I36)</f>
        <v>0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10</v>
      </c>
      <c r="N36" s="112" t="n">
        <f aca="false">SUM(J$6:J36)</f>
        <v>10</v>
      </c>
      <c r="P36" s="112" t="n">
        <f aca="false">D36/P$3</f>
        <v>-3.46512841663622</v>
      </c>
      <c r="Q36" s="112" t="n">
        <f aca="false">E36/P$3</f>
        <v>0.656932526902197</v>
      </c>
      <c r="R36" s="112" t="n">
        <f aca="false">F36/R$3</f>
        <v>0</v>
      </c>
      <c r="S36" s="114" t="n">
        <f aca="false">J36/$R$3</f>
        <v>0</v>
      </c>
      <c r="T36" s="114" t="n">
        <f aca="false">L36/$R$3</f>
        <v>0</v>
      </c>
      <c r="U36" s="114" t="n">
        <f aca="false">I36/$R$3</f>
        <v>0.01</v>
      </c>
      <c r="V36" s="114" t="n">
        <f aca="false">M36/$R$3</f>
        <v>0.01</v>
      </c>
      <c r="W36" s="114" t="n">
        <f aca="false">N36/$R$3</f>
        <v>0.01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Data'!$A$2:$B$8,MATCH(WEEKDAY('ARG Gas Firm'!A37,3),'Master Data'!$A$2:$A$8,0),2)</f>
        <v>Th</v>
      </c>
      <c r="D37" s="112" t="n">
        <v>-3577691.00586771</v>
      </c>
      <c r="E37" s="112" t="n">
        <v>757112.71289438</v>
      </c>
      <c r="F37" s="112" t="n">
        <v>0</v>
      </c>
      <c r="G37" s="112" t="n">
        <v>-46</v>
      </c>
      <c r="I37" s="112" t="n">
        <f aca="false">IF(MONTH($A37)=MONTH($A36),IF(G37=0,I36,G37),G37)</f>
        <v>-46</v>
      </c>
      <c r="J37" s="112" t="n">
        <f aca="false">IF(MONTH($A37)=MONTH($A36),SUM(I37-I36),I37)</f>
        <v>-46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-36</v>
      </c>
      <c r="N37" s="112" t="n">
        <f aca="false">SUM(J$6:J37)</f>
        <v>-36</v>
      </c>
      <c r="P37" s="112" t="n">
        <f aca="false">D37/P$3</f>
        <v>-3.57769100586771</v>
      </c>
      <c r="Q37" s="112" t="n">
        <f aca="false">E37/P$3</f>
        <v>0.75711271289438</v>
      </c>
      <c r="R37" s="112" t="n">
        <f aca="false">F37/R$3</f>
        <v>0</v>
      </c>
      <c r="S37" s="114" t="n">
        <f aca="false">J37/$R$3</f>
        <v>-0.046</v>
      </c>
      <c r="T37" s="114" t="n">
        <f aca="false">L37/$R$3</f>
        <v>-0</v>
      </c>
      <c r="U37" s="114" t="n">
        <f aca="false">I37/$R$3</f>
        <v>-0.046</v>
      </c>
      <c r="V37" s="114" t="n">
        <f aca="false">M37/$R$3</f>
        <v>-0.036</v>
      </c>
      <c r="W37" s="114" t="n">
        <f aca="false">N37/$R$3</f>
        <v>-0.036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Data'!$A$2:$B$8,MATCH(WEEKDAY('ARG Gas Firm'!A38,3),'Master Data'!$A$2:$A$8,0),2)</f>
        <v>F</v>
      </c>
      <c r="D38" s="112" t="n">
        <v>-3554265.30154302</v>
      </c>
      <c r="E38" s="112" t="n">
        <v>757210.040367135</v>
      </c>
      <c r="F38" s="112" t="n">
        <v>0</v>
      </c>
      <c r="G38" s="112" t="n">
        <v>-47</v>
      </c>
      <c r="I38" s="112" t="n">
        <f aca="false">IF(MONTH($A38)=MONTH($A37),IF(G38=0,I37,G38),G38)</f>
        <v>-47</v>
      </c>
      <c r="J38" s="112" t="n">
        <f aca="false">IF(MONTH($A38)=MONTH($A37),SUM(I38-I37),I38)</f>
        <v>-1</v>
      </c>
      <c r="K38" s="112" t="n">
        <f aca="false">IF(WEEKDAY(A38,3)&gt;4,0,(IF(A38&lt;K$2,0,IF(A38&lt;=K$3,1,0))))</f>
        <v>0</v>
      </c>
      <c r="L38" s="112" t="n">
        <f aca="false">J38*K38</f>
        <v>-0</v>
      </c>
      <c r="M38" s="112" t="n">
        <f aca="false">SUM(J$6:J38)</f>
        <v>-37</v>
      </c>
      <c r="N38" s="112" t="n">
        <f aca="false">SUM(J$6:J38)</f>
        <v>-37</v>
      </c>
      <c r="P38" s="112" t="n">
        <f aca="false">D38/P$3</f>
        <v>-3.55426530154302</v>
      </c>
      <c r="Q38" s="112" t="n">
        <f aca="false">E38/P$3</f>
        <v>0.757210040367135</v>
      </c>
      <c r="R38" s="112" t="n">
        <f aca="false">F38/R$3</f>
        <v>0</v>
      </c>
      <c r="S38" s="114" t="n">
        <f aca="false">J38/$R$3</f>
        <v>-0.001</v>
      </c>
      <c r="T38" s="114" t="n">
        <f aca="false">L38/$R$3</f>
        <v>-0</v>
      </c>
      <c r="U38" s="114" t="n">
        <f aca="false">I38/$R$3</f>
        <v>-0.047</v>
      </c>
      <c r="V38" s="114" t="n">
        <f aca="false">M38/$R$3</f>
        <v>-0.037</v>
      </c>
      <c r="W38" s="114" t="n">
        <f aca="false">N38/$R$3</f>
        <v>-0.037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Data'!$A$2:$B$8,MATCH(WEEKDAY('ARG Gas Firm'!A39,3),'Master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-47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-37</v>
      </c>
      <c r="N39" s="112" t="n">
        <f aca="false">SUM(J$6:J39)</f>
        <v>-37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-0.047</v>
      </c>
      <c r="V39" s="114" t="n">
        <f aca="false">M39/$R$3</f>
        <v>-0.037</v>
      </c>
      <c r="W39" s="114" t="n">
        <f aca="false">N39/$R$3</f>
        <v>-0.037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Data'!$A$2:$B$8,MATCH(WEEKDAY('ARG Gas Firm'!A40,3),'Master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-47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-37</v>
      </c>
      <c r="N40" s="112" t="n">
        <f aca="false">SUM(J$6:J40)</f>
        <v>-37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-0.047</v>
      </c>
      <c r="V40" s="114" t="n">
        <f aca="false">M40/$R$3</f>
        <v>-0.037</v>
      </c>
      <c r="W40" s="114" t="n">
        <f aca="false">N40/$R$3</f>
        <v>-0.037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Data'!$A$2:$B$8,MATCH(WEEKDAY('ARG Gas Firm'!A41,3),'Master Data'!$A$2:$A$8,0),2)</f>
        <v>M</v>
      </c>
      <c r="D41" s="112" t="n">
        <v>-3549874.30704561</v>
      </c>
      <c r="E41" s="112" t="n">
        <v>757489.617933076</v>
      </c>
      <c r="F41" s="112" t="n">
        <v>0</v>
      </c>
      <c r="G41" s="112" t="n">
        <v>33680</v>
      </c>
      <c r="I41" s="112" t="n">
        <f aca="false">IF(MONTH($A41)=MONTH($A40),IF(G41=0,I40,G41),G41)</f>
        <v>33680</v>
      </c>
      <c r="J41" s="112" t="n">
        <f aca="false">IF(MONTH($A41)=MONTH($A40),SUM(I41-I40),I41)</f>
        <v>33727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33690</v>
      </c>
      <c r="N41" s="112" t="n">
        <f aca="false">SUM(J$6:J41)</f>
        <v>33690</v>
      </c>
      <c r="P41" s="112" t="n">
        <f aca="false">D41/P$3</f>
        <v>-3.54987430704561</v>
      </c>
      <c r="Q41" s="112" t="n">
        <f aca="false">E41/P$3</f>
        <v>0.757489617933076</v>
      </c>
      <c r="R41" s="112" t="n">
        <f aca="false">F41/R$3</f>
        <v>0</v>
      </c>
      <c r="S41" s="114" t="n">
        <f aca="false">J41/$R$3</f>
        <v>33.727</v>
      </c>
      <c r="T41" s="114" t="n">
        <f aca="false">L41/$R$3</f>
        <v>0</v>
      </c>
      <c r="U41" s="114" t="n">
        <f aca="false">I41/$R$3</f>
        <v>33.68</v>
      </c>
      <c r="V41" s="114" t="n">
        <f aca="false">M41/$R$3</f>
        <v>33.69</v>
      </c>
      <c r="W41" s="114" t="n">
        <f aca="false">N41/$R$3</f>
        <v>33.69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Data'!$A$2:$B$8,MATCH(WEEKDAY('ARG Gas Firm'!A42,3),'Master Data'!$A$2:$A$8,0),2)</f>
        <v>T</v>
      </c>
      <c r="D42" s="112" t="n">
        <v>-3538450.03699029</v>
      </c>
      <c r="E42" s="112" t="n">
        <v>757594.574890299</v>
      </c>
      <c r="F42" s="112" t="n">
        <v>0</v>
      </c>
      <c r="G42" s="112" t="n">
        <v>33680</v>
      </c>
      <c r="I42" s="112" t="n">
        <f aca="false">IF(MONTH($A42)=MONTH($A41),IF(G42=0,I41,G42),G42)</f>
        <v>33680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33690</v>
      </c>
      <c r="N42" s="112" t="n">
        <f aca="false">SUM(J$6:J42)</f>
        <v>33690</v>
      </c>
      <c r="P42" s="112" t="n">
        <f aca="false">D42/P$3</f>
        <v>-3.53845003699029</v>
      </c>
      <c r="Q42" s="112" t="n">
        <f aca="false">E42/P$3</f>
        <v>0.757594574890299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33.68</v>
      </c>
      <c r="V42" s="114" t="n">
        <f aca="false">M42/$R$3</f>
        <v>33.69</v>
      </c>
      <c r="W42" s="114" t="n">
        <f aca="false">N42/$R$3</f>
        <v>33.69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Data'!$A$2:$B$8,MATCH(WEEKDAY('ARG Gas Firm'!A43,3),'Master Data'!$A$2:$A$8,0),2)</f>
        <v>W</v>
      </c>
      <c r="D43" s="112" t="n">
        <v>-3547895.77824648</v>
      </c>
      <c r="E43" s="112" t="n">
        <v>757693.342943502</v>
      </c>
      <c r="F43" s="112" t="n">
        <v>0</v>
      </c>
      <c r="G43" s="112" t="n">
        <v>33680</v>
      </c>
      <c r="I43" s="112" t="n">
        <f aca="false">IF(MONTH($A43)=MONTH($A42),IF(G43=0,I42,G43),G43)</f>
        <v>33680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33690</v>
      </c>
      <c r="N43" s="112" t="n">
        <f aca="false">SUM(J$6:J43)</f>
        <v>33690</v>
      </c>
      <c r="P43" s="112" t="n">
        <f aca="false">D43/P$3</f>
        <v>-3.54789577824648</v>
      </c>
      <c r="Q43" s="112" t="n">
        <f aca="false">E43/P$3</f>
        <v>0.757693342943502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33.68</v>
      </c>
      <c r="V43" s="114" t="n">
        <f aca="false">M43/$R$3</f>
        <v>33.69</v>
      </c>
      <c r="W43" s="114" t="n">
        <f aca="false">N43/$R$3</f>
        <v>33.69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Data'!$A$2:$B$8,MATCH(WEEKDAY('ARG Gas Firm'!A44,3),'Master Data'!$A$2:$A$8,0),2)</f>
        <v>Th</v>
      </c>
      <c r="D44" s="112" t="n">
        <v>-3548105.90814613</v>
      </c>
      <c r="E44" s="112" t="n">
        <v>757785.137162639</v>
      </c>
      <c r="F44" s="112" t="n">
        <v>0</v>
      </c>
      <c r="G44" s="112" t="n">
        <v>33680</v>
      </c>
      <c r="I44" s="112" t="n">
        <f aca="false">IF(MONTH($A44)=MONTH($A43),IF(G44=0,I43,G44),G44)</f>
        <v>33680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33690</v>
      </c>
      <c r="N44" s="112" t="n">
        <f aca="false">SUM(J$6:J44)</f>
        <v>33690</v>
      </c>
      <c r="P44" s="112" t="n">
        <f aca="false">D44/P$3</f>
        <v>-3.54810590814613</v>
      </c>
      <c r="Q44" s="112" t="n">
        <f aca="false">E44/P$3</f>
        <v>0.757785137162639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33.68</v>
      </c>
      <c r="V44" s="114" t="n">
        <f aca="false">M44/$R$3</f>
        <v>33.69</v>
      </c>
      <c r="W44" s="114" t="n">
        <f aca="false">N44/$R$3</f>
        <v>33.69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Data'!$A$2:$B$8,MATCH(WEEKDAY('ARG Gas Firm'!A45,3),'Master Data'!$A$2:$A$8,0),2)</f>
        <v>F</v>
      </c>
      <c r="D45" s="112" t="n">
        <v>-3562848.64520617</v>
      </c>
      <c r="E45" s="112" t="n">
        <v>757875.535969856</v>
      </c>
      <c r="F45" s="112" t="n">
        <v>0</v>
      </c>
      <c r="G45" s="112" t="n">
        <v>33682</v>
      </c>
      <c r="I45" s="112" t="n">
        <f aca="false">IF(MONTH($A45)=MONTH($A44),IF(G45=0,I44,G45),G45)</f>
        <v>33682</v>
      </c>
      <c r="J45" s="112" t="n">
        <f aca="false">IF(MONTH($A45)=MONTH($A44),SUM(I45-I44),I45)</f>
        <v>2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33692</v>
      </c>
      <c r="N45" s="112" t="n">
        <f aca="false">SUM(J$6:J45)</f>
        <v>33692</v>
      </c>
      <c r="P45" s="112" t="n">
        <f aca="false">D45/P$3</f>
        <v>-3.56284864520617</v>
      </c>
      <c r="Q45" s="112" t="n">
        <f aca="false">E45/P$3</f>
        <v>0.757875535969856</v>
      </c>
      <c r="R45" s="112" t="n">
        <f aca="false">F45/R$3</f>
        <v>0</v>
      </c>
      <c r="S45" s="114" t="n">
        <f aca="false">J45/$R$3</f>
        <v>0.002</v>
      </c>
      <c r="T45" s="114" t="n">
        <f aca="false">L45/$R$3</f>
        <v>0</v>
      </c>
      <c r="U45" s="114" t="n">
        <f aca="false">I45/$R$3</f>
        <v>33.682</v>
      </c>
      <c r="V45" s="114" t="n">
        <f aca="false">M45/$R$3</f>
        <v>33.692</v>
      </c>
      <c r="W45" s="114" t="n">
        <f aca="false">N45/$R$3</f>
        <v>33.692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Data'!$A$2:$B$8,MATCH(WEEKDAY('ARG Gas Firm'!A46,3),'Master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33682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33692</v>
      </c>
      <c r="N46" s="112" t="n">
        <f aca="false">SUM(J$6:J46)</f>
        <v>33692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33.682</v>
      </c>
      <c r="V46" s="114" t="n">
        <f aca="false">M46/$R$3</f>
        <v>33.692</v>
      </c>
      <c r="W46" s="114" t="n">
        <f aca="false">N46/$R$3</f>
        <v>33.692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Data'!$A$2:$B$8,MATCH(WEEKDAY('ARG Gas Firm'!A47,3),'Master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33682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33692</v>
      </c>
      <c r="N47" s="112" t="n">
        <f aca="false">SUM(J$6:J47)</f>
        <v>33692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33.682</v>
      </c>
      <c r="V47" s="114" t="n">
        <f aca="false">M47/$R$3</f>
        <v>33.692</v>
      </c>
      <c r="W47" s="114" t="n">
        <f aca="false">N47/$R$3</f>
        <v>33.692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Data'!$A$2:$B$8,MATCH(WEEKDAY('ARG Gas Firm'!A48,3),'Master Data'!$A$2:$A$8,0),2)</f>
        <v>M</v>
      </c>
      <c r="D48" s="112" t="n">
        <v>-3562022.95143617</v>
      </c>
      <c r="E48" s="112" t="n">
        <v>758192.987153228</v>
      </c>
      <c r="F48" s="112" t="n">
        <v>0</v>
      </c>
      <c r="G48" s="112" t="n">
        <v>33634</v>
      </c>
      <c r="I48" s="112" t="n">
        <f aca="false">IF(MONTH($A48)=MONTH($A47),IF(G48=0,I47,G48),G48)</f>
        <v>33634</v>
      </c>
      <c r="J48" s="112" t="n">
        <f aca="false">IF(MONTH($A48)=MONTH($A47),SUM(I48-I47),I48)</f>
        <v>-48</v>
      </c>
      <c r="K48" s="112" t="n">
        <f aca="false">IF(WEEKDAY(A48,3)&gt;4,0,(IF(A48&lt;K$2,0,IF(A48&lt;=K$3,1,0))))</f>
        <v>0</v>
      </c>
      <c r="L48" s="112" t="n">
        <f aca="false">J48*K48</f>
        <v>-0</v>
      </c>
      <c r="M48" s="112" t="n">
        <f aca="false">SUM(J$6:J48)</f>
        <v>33644</v>
      </c>
      <c r="N48" s="112" t="n">
        <f aca="false">SUM(J$6:J48)</f>
        <v>33644</v>
      </c>
      <c r="P48" s="112" t="n">
        <f aca="false">D48/P$3</f>
        <v>-3.56202295143617</v>
      </c>
      <c r="Q48" s="112" t="n">
        <f aca="false">E48/P$3</f>
        <v>0.758192987153228</v>
      </c>
      <c r="R48" s="112" t="n">
        <f aca="false">F48/R$3</f>
        <v>0</v>
      </c>
      <c r="S48" s="114" t="n">
        <f aca="false">J48/$R$3</f>
        <v>-0.048</v>
      </c>
      <c r="T48" s="114" t="n">
        <f aca="false">L48/$R$3</f>
        <v>-0</v>
      </c>
      <c r="U48" s="114" t="n">
        <f aca="false">I48/$R$3</f>
        <v>33.634</v>
      </c>
      <c r="V48" s="114" t="n">
        <f aca="false">M48/$R$3</f>
        <v>33.644</v>
      </c>
      <c r="W48" s="114" t="n">
        <f aca="false">N48/$R$3</f>
        <v>33.644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Data'!$A$2:$B$8,MATCH(WEEKDAY('ARG Gas Firm'!A49,3),'Master Data'!$A$2:$A$8,0),2)</f>
        <v>T</v>
      </c>
      <c r="D49" s="112" t="n">
        <v>-3557126.73429952</v>
      </c>
      <c r="E49" s="112" t="n">
        <v>758290.660282031</v>
      </c>
      <c r="F49" s="112" t="n">
        <v>0</v>
      </c>
      <c r="G49" s="112" t="n">
        <v>57222</v>
      </c>
      <c r="I49" s="112" t="n">
        <f aca="false">IF(MONTH($A49)=MONTH($A48),IF(G49=0,I48,G49),G49)</f>
        <v>57222</v>
      </c>
      <c r="J49" s="112" t="n">
        <f aca="false">IF(MONTH($A49)=MONTH($A48),SUM(I49-I48),I49)</f>
        <v>23588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57232</v>
      </c>
      <c r="N49" s="112" t="n">
        <f aca="false">SUM(J$6:J49)</f>
        <v>57232</v>
      </c>
      <c r="P49" s="112" t="n">
        <f aca="false">D49/P$3</f>
        <v>-3.55712673429952</v>
      </c>
      <c r="Q49" s="112" t="n">
        <f aca="false">E49/P$3</f>
        <v>0.758290660282031</v>
      </c>
      <c r="R49" s="112" t="n">
        <f aca="false">F49/R$3</f>
        <v>0</v>
      </c>
      <c r="S49" s="114" t="n">
        <f aca="false">J49/$R$3</f>
        <v>23.588</v>
      </c>
      <c r="T49" s="114" t="n">
        <f aca="false">L49/$R$3</f>
        <v>0</v>
      </c>
      <c r="U49" s="114" t="n">
        <f aca="false">I49/$R$3</f>
        <v>57.222</v>
      </c>
      <c r="V49" s="114" t="n">
        <f aca="false">M49/$R$3</f>
        <v>57.232</v>
      </c>
      <c r="W49" s="114" t="n">
        <f aca="false">N49/$R$3</f>
        <v>57.232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Data'!$A$2:$B$8,MATCH(WEEKDAY('ARG Gas Firm'!A50,3),'Master Data'!$A$2:$A$8,0),2)</f>
        <v>W</v>
      </c>
      <c r="D50" s="112" t="n">
        <v>-3534482.1137683</v>
      </c>
      <c r="E50" s="112" t="n">
        <v>758390.889586401</v>
      </c>
      <c r="F50" s="112" t="n">
        <v>0</v>
      </c>
      <c r="G50" s="112" t="n">
        <v>56866</v>
      </c>
      <c r="I50" s="112" t="n">
        <f aca="false">IF(MONTH($A50)=MONTH($A49),IF(G50=0,I49,G50),G50)</f>
        <v>56866</v>
      </c>
      <c r="J50" s="112" t="n">
        <f aca="false">IF(MONTH($A50)=MONTH($A49),SUM(I50-I49),I50)</f>
        <v>-356</v>
      </c>
      <c r="K50" s="112" t="n">
        <f aca="false">IF(WEEKDAY(A50,3)&gt;4,0,(IF(A50&lt;K$2,0,IF(A50&lt;=K$3,1,0))))</f>
        <v>0</v>
      </c>
      <c r="L50" s="112" t="n">
        <f aca="false">J50*K50</f>
        <v>-0</v>
      </c>
      <c r="M50" s="112" t="n">
        <f aca="false">SUM(J$6:J50)</f>
        <v>56876</v>
      </c>
      <c r="N50" s="112" t="n">
        <f aca="false">SUM(J$6:J50)</f>
        <v>56876</v>
      </c>
      <c r="P50" s="112" t="n">
        <f aca="false">D50/P$3</f>
        <v>-3.5344821137683</v>
      </c>
      <c r="Q50" s="112" t="n">
        <f aca="false">E50/P$3</f>
        <v>0.758390889586401</v>
      </c>
      <c r="R50" s="112" t="n">
        <f aca="false">F50/R$3</f>
        <v>0</v>
      </c>
      <c r="S50" s="114" t="n">
        <f aca="false">J50/$R$3</f>
        <v>-0.356</v>
      </c>
      <c r="T50" s="114" t="n">
        <f aca="false">L50/$R$3</f>
        <v>-0</v>
      </c>
      <c r="U50" s="114" t="n">
        <f aca="false">I50/$R$3</f>
        <v>56.866</v>
      </c>
      <c r="V50" s="114" t="n">
        <f aca="false">M50/$R$3</f>
        <v>56.876</v>
      </c>
      <c r="W50" s="114" t="n">
        <f aca="false">N50/$R$3</f>
        <v>56.876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Data'!$A$2:$B$8,MATCH(WEEKDAY('ARG Gas Firm'!A51,3),'Master Data'!$A$2:$A$8,0),2)</f>
        <v>Th</v>
      </c>
      <c r="D51" s="112" t="n">
        <v>-3965283.76935966</v>
      </c>
      <c r="E51" s="112" t="n">
        <v>1115935.12721663</v>
      </c>
      <c r="F51" s="112" t="n">
        <v>0</v>
      </c>
      <c r="G51" s="112" t="n">
        <v>145651</v>
      </c>
      <c r="I51" s="112" t="n">
        <f aca="false">IF(MONTH($A51)=MONTH($A50),IF(G51=0,I50,G51),G51)</f>
        <v>145651</v>
      </c>
      <c r="J51" s="112" t="n">
        <f aca="false">IF(MONTH($A51)=MONTH($A50),SUM(I51-I50),I51)</f>
        <v>88785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145661</v>
      </c>
      <c r="N51" s="112" t="n">
        <f aca="false">SUM(J$6:J51)</f>
        <v>145661</v>
      </c>
      <c r="P51" s="112" t="n">
        <f aca="false">D51/P$3</f>
        <v>-3.96528376935966</v>
      </c>
      <c r="Q51" s="112" t="n">
        <f aca="false">E51/P$3</f>
        <v>1.11593512721663</v>
      </c>
      <c r="R51" s="112" t="n">
        <f aca="false">F51/R$3</f>
        <v>0</v>
      </c>
      <c r="S51" s="114" t="n">
        <f aca="false">J51/$R$3</f>
        <v>88.785</v>
      </c>
      <c r="T51" s="114" t="n">
        <f aca="false">L51/$R$3</f>
        <v>0</v>
      </c>
      <c r="U51" s="114" t="n">
        <f aca="false">I51/$R$3</f>
        <v>145.651</v>
      </c>
      <c r="V51" s="114" t="n">
        <f aca="false">M51/$R$3</f>
        <v>145.661</v>
      </c>
      <c r="W51" s="114" t="n">
        <f aca="false">N51/$R$3</f>
        <v>145.661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Data'!$A$2:$B$8,MATCH(WEEKDAY('ARG Gas Firm'!A52,3),'Master Data'!$A$2:$A$8,0),2)</f>
        <v>F</v>
      </c>
      <c r="D52" s="112" t="n">
        <v>-3991169.18252677</v>
      </c>
      <c r="E52" s="112" t="n">
        <v>1116222.52708303</v>
      </c>
      <c r="F52" s="112" t="n">
        <v>0</v>
      </c>
      <c r="G52" s="112" t="n">
        <v>145652</v>
      </c>
      <c r="I52" s="112" t="n">
        <f aca="false">IF(MONTH($A52)=MONTH($A51),IF(G52=0,I51,G52),G52)</f>
        <v>145652</v>
      </c>
      <c r="J52" s="112" t="n">
        <f aca="false">IF(MONTH($A52)=MONTH($A51),SUM(I52-I51),I52)</f>
        <v>1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145662</v>
      </c>
      <c r="N52" s="112" t="n">
        <f aca="false">SUM(J$6:J52)</f>
        <v>145662</v>
      </c>
      <c r="P52" s="112" t="n">
        <f aca="false">D52/P$3</f>
        <v>-3.99116918252677</v>
      </c>
      <c r="Q52" s="112" t="n">
        <f aca="false">E52/P$3</f>
        <v>1.11622252708303</v>
      </c>
      <c r="R52" s="112" t="n">
        <f aca="false">F52/R$3</f>
        <v>0</v>
      </c>
      <c r="S52" s="114" t="n">
        <f aca="false">J52/$R$3</f>
        <v>0.001</v>
      </c>
      <c r="T52" s="114" t="n">
        <f aca="false">L52/$R$3</f>
        <v>0</v>
      </c>
      <c r="U52" s="114" t="n">
        <f aca="false">I52/$R$3</f>
        <v>145.652</v>
      </c>
      <c r="V52" s="114" t="n">
        <f aca="false">M52/$R$3</f>
        <v>145.662</v>
      </c>
      <c r="W52" s="114" t="n">
        <f aca="false">N52/$R$3</f>
        <v>145.662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Data'!$A$2:$B$8,MATCH(WEEKDAY('ARG Gas Firm'!A53,3),'Master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145652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145662</v>
      </c>
      <c r="N53" s="112" t="n">
        <f aca="false">SUM(J$6:J53)</f>
        <v>145662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145.652</v>
      </c>
      <c r="V53" s="114" t="n">
        <f aca="false">M53/$R$3</f>
        <v>145.662</v>
      </c>
      <c r="W53" s="114" t="n">
        <f aca="false">N53/$R$3</f>
        <v>145.662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Data'!$A$2:$B$8,MATCH(WEEKDAY('ARG Gas Firm'!A54,3),'Master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145652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145662</v>
      </c>
      <c r="N54" s="112" t="n">
        <f aca="false">SUM(J$6:J54)</f>
        <v>145662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145.652</v>
      </c>
      <c r="V54" s="114" t="n">
        <f aca="false">M54/$R$3</f>
        <v>145.662</v>
      </c>
      <c r="W54" s="114" t="n">
        <f aca="false">N54/$R$3</f>
        <v>145.662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Data'!$A$2:$B$8,MATCH(WEEKDAY('ARG Gas Firm'!A55,3),'Master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145652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145662</v>
      </c>
      <c r="N55" s="112" t="n">
        <f aca="false">SUM(J$6:J55)</f>
        <v>145662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145.652</v>
      </c>
      <c r="V55" s="114" t="n">
        <f aca="false">M55/$R$3</f>
        <v>145.662</v>
      </c>
      <c r="W55" s="114" t="n">
        <f aca="false">N55/$R$3</f>
        <v>145.662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Data'!$A$2:$B$8,MATCH(WEEKDAY('ARG Gas Firm'!A56,3),'Master Data'!$A$2:$A$8,0),2)</f>
        <v>T</v>
      </c>
      <c r="D56" s="112" t="n">
        <v>-3995213.7808889</v>
      </c>
      <c r="E56" s="112" t="n">
        <v>1116881.63937881</v>
      </c>
      <c r="F56" s="112" t="n">
        <v>0</v>
      </c>
      <c r="G56" s="112" t="n">
        <v>145653</v>
      </c>
      <c r="I56" s="112" t="n">
        <f aca="false">IF(MONTH($A56)=MONTH($A55),IF(G56=0,I55,G56),G56)</f>
        <v>145653</v>
      </c>
      <c r="J56" s="112" t="n">
        <f aca="false">IF(MONTH($A56)=MONTH($A55),SUM(I56-I55),I56)</f>
        <v>1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145663</v>
      </c>
      <c r="N56" s="112" t="n">
        <f aca="false">SUM(J$6:J56)</f>
        <v>145663</v>
      </c>
      <c r="P56" s="112" t="n">
        <f aca="false">D56/P$3</f>
        <v>-3.9952137808889</v>
      </c>
      <c r="Q56" s="112" t="n">
        <f aca="false">E56/P$3</f>
        <v>1.11688163937881</v>
      </c>
      <c r="R56" s="112" t="n">
        <f aca="false">F56/R$3</f>
        <v>0</v>
      </c>
      <c r="S56" s="114" t="n">
        <f aca="false">J56/$R$3</f>
        <v>0.001</v>
      </c>
      <c r="T56" s="114" t="n">
        <f aca="false">L56/$R$3</f>
        <v>0</v>
      </c>
      <c r="U56" s="114" t="n">
        <f aca="false">I56/$R$3</f>
        <v>145.653</v>
      </c>
      <c r="V56" s="114" t="n">
        <f aca="false">M56/$R$3</f>
        <v>145.663</v>
      </c>
      <c r="W56" s="114" t="n">
        <f aca="false">N56/$R$3</f>
        <v>145.663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Data'!$A$2:$B$8,MATCH(WEEKDAY('ARG Gas Firm'!A57,3),'Master Data'!$A$2:$A$8,0),2)</f>
        <v>W</v>
      </c>
      <c r="D57" s="112" t="n">
        <v>-3990984.59297026</v>
      </c>
      <c r="E57" s="112" t="n">
        <v>1117095.02639844</v>
      </c>
      <c r="F57" s="112" t="n">
        <v>0</v>
      </c>
      <c r="G57" s="112" t="n">
        <v>145653</v>
      </c>
      <c r="I57" s="112" t="n">
        <f aca="false">IF(MONTH($A57)=MONTH($A56),IF(G57=0,I56,G57),G57)</f>
        <v>145653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145663</v>
      </c>
      <c r="N57" s="112" t="n">
        <f aca="false">SUM(J$6:J57)</f>
        <v>145663</v>
      </c>
      <c r="P57" s="112" t="n">
        <f aca="false">D57/P$3</f>
        <v>-3.99098459297026</v>
      </c>
      <c r="Q57" s="112" t="n">
        <f aca="false">E57/P$3</f>
        <v>1.11709502639844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145.653</v>
      </c>
      <c r="V57" s="114" t="n">
        <f aca="false">M57/$R$3</f>
        <v>145.663</v>
      </c>
      <c r="W57" s="114" t="n">
        <f aca="false">N57/$R$3</f>
        <v>145.663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Data'!$A$2:$B$8,MATCH(WEEKDAY('ARG Gas Firm'!A58,3),'Master Data'!$A$2:$A$8,0),2)</f>
        <v>Th</v>
      </c>
      <c r="D58" s="112" t="n">
        <v>-3982792.52195687</v>
      </c>
      <c r="E58" s="112" t="n">
        <v>1117317.89324373</v>
      </c>
      <c r="F58" s="112" t="n">
        <v>0</v>
      </c>
      <c r="G58" s="112" t="n">
        <v>145653</v>
      </c>
      <c r="I58" s="112" t="n">
        <f aca="false">IF(MONTH($A58)=MONTH($A57),IF(G58=0,I57,G58),G58)</f>
        <v>145653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145663</v>
      </c>
      <c r="N58" s="112" t="n">
        <f aca="false">SUM(J$6:J58)</f>
        <v>145663</v>
      </c>
      <c r="P58" s="112" t="n">
        <f aca="false">D58/P$3</f>
        <v>-3.98279252195687</v>
      </c>
      <c r="Q58" s="112" t="n">
        <f aca="false">E58/P$3</f>
        <v>1.11731789324373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145.653</v>
      </c>
      <c r="V58" s="114" t="n">
        <f aca="false">M58/$R$3</f>
        <v>145.663</v>
      </c>
      <c r="W58" s="114" t="n">
        <f aca="false">N58/$R$3</f>
        <v>145.663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Data'!$A$2:$B$8,MATCH(WEEKDAY('ARG Gas Firm'!A59,3),'Master Data'!$A$2:$A$8,0),2)</f>
        <v>F</v>
      </c>
      <c r="D59" s="112" t="n">
        <v>-3994771.85900289</v>
      </c>
      <c r="E59" s="112" t="n">
        <v>1117650.9010197</v>
      </c>
      <c r="F59" s="112" t="n">
        <v>0</v>
      </c>
      <c r="G59" s="112" t="n">
        <v>145654</v>
      </c>
      <c r="I59" s="112" t="n">
        <f aca="false">IF(MONTH($A59)=MONTH($A58),IF(G59=0,I58,G59),G59)</f>
        <v>145654</v>
      </c>
      <c r="J59" s="112" t="n">
        <f aca="false">IF(MONTH($A59)=MONTH($A58),SUM(I59-I58),I59)</f>
        <v>1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145664</v>
      </c>
      <c r="N59" s="112" t="n">
        <f aca="false">SUM(J$6:J59)</f>
        <v>145664</v>
      </c>
      <c r="P59" s="112" t="n">
        <f aca="false">D59/P$3</f>
        <v>-3.99477185900289</v>
      </c>
      <c r="Q59" s="112" t="n">
        <f aca="false">E59/P$3</f>
        <v>1.1176509010197</v>
      </c>
      <c r="R59" s="112" t="n">
        <f aca="false">F59/R$3</f>
        <v>0</v>
      </c>
      <c r="S59" s="114" t="n">
        <f aca="false">J59/$R$3</f>
        <v>0.001</v>
      </c>
      <c r="T59" s="114" t="n">
        <f aca="false">L59/$R$3</f>
        <v>0</v>
      </c>
      <c r="U59" s="114" t="n">
        <f aca="false">I59/$R$3</f>
        <v>145.654</v>
      </c>
      <c r="V59" s="114" t="n">
        <f aca="false">M59/$R$3</f>
        <v>145.664</v>
      </c>
      <c r="W59" s="114" t="n">
        <f aca="false">N59/$R$3</f>
        <v>145.664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Data'!$A$2:$B$8,MATCH(WEEKDAY('ARG Gas Firm'!A60,3),'Master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145654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145664</v>
      </c>
      <c r="N60" s="112" t="n">
        <f aca="false">SUM(J$6:J60)</f>
        <v>145664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145.654</v>
      </c>
      <c r="V60" s="114" t="n">
        <f aca="false">M60/$R$3</f>
        <v>145.664</v>
      </c>
      <c r="W60" s="114" t="n">
        <f aca="false">N60/$R$3</f>
        <v>145.664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Data'!$A$2:$B$8,MATCH(WEEKDAY('ARG Gas Firm'!A61,3),'Master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145654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145664</v>
      </c>
      <c r="N61" s="112" t="n">
        <f aca="false">SUM(J$6:J61)</f>
        <v>145664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145.654</v>
      </c>
      <c r="V61" s="114" t="n">
        <f aca="false">M61/$R$3</f>
        <v>145.664</v>
      </c>
      <c r="W61" s="114" t="n">
        <f aca="false">N61/$R$3</f>
        <v>145.664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Data'!$A$2:$B$8,MATCH(WEEKDAY('ARG Gas Firm'!A62,3),'Master Data'!$A$2:$A$8,0),2)</f>
        <v>M</v>
      </c>
      <c r="D62" s="112" t="n">
        <v>-4008935.38107417</v>
      </c>
      <c r="E62" s="112" t="n">
        <v>1118299.76713426</v>
      </c>
      <c r="F62" s="112" t="n">
        <v>0</v>
      </c>
      <c r="G62" s="112" t="n">
        <v>145655</v>
      </c>
      <c r="I62" s="112" t="n">
        <f aca="false">IF(MONTH($A62)=MONTH($A61),IF(G62=0,I61,G62),G62)</f>
        <v>145655</v>
      </c>
      <c r="J62" s="112" t="n">
        <f aca="false">IF(MONTH($A62)=MONTH($A61),SUM(I62-I61),I62)</f>
        <v>1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145665</v>
      </c>
      <c r="N62" s="112" t="n">
        <f aca="false">SUM(J$6:J62)</f>
        <v>145665</v>
      </c>
      <c r="P62" s="112" t="n">
        <f aca="false">D62/P$3</f>
        <v>-4.00893538107417</v>
      </c>
      <c r="Q62" s="112" t="n">
        <f aca="false">E62/P$3</f>
        <v>1.11829976713426</v>
      </c>
      <c r="R62" s="112" t="n">
        <f aca="false">F62/R$3</f>
        <v>0</v>
      </c>
      <c r="S62" s="114" t="n">
        <f aca="false">J62/$R$3</f>
        <v>0.001</v>
      </c>
      <c r="T62" s="114" t="n">
        <f aca="false">L62/$R$3</f>
        <v>0</v>
      </c>
      <c r="U62" s="114" t="n">
        <f aca="false">I62/$R$3</f>
        <v>145.655</v>
      </c>
      <c r="V62" s="114" t="n">
        <f aca="false">M62/$R$3</f>
        <v>145.665</v>
      </c>
      <c r="W62" s="114" t="n">
        <f aca="false">N62/$R$3</f>
        <v>145.665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Data'!$A$2:$B$8,MATCH(WEEKDAY('ARG Gas Firm'!A63,3),'Master Data'!$A$2:$A$8,0),2)</f>
        <v>T</v>
      </c>
      <c r="D63" s="112" t="n">
        <v>-4033517.02125013</v>
      </c>
      <c r="E63" s="112" t="n">
        <v>1118551.85003119</v>
      </c>
      <c r="F63" s="112" t="n">
        <v>0</v>
      </c>
      <c r="G63" s="112" t="n">
        <v>145654</v>
      </c>
      <c r="I63" s="112" t="n">
        <f aca="false">IF(MONTH($A63)=MONTH($A62),IF(G63=0,I62,G63),G63)</f>
        <v>145654</v>
      </c>
      <c r="J63" s="112" t="n">
        <f aca="false">IF(MONTH($A63)=MONTH($A62),SUM(I63-I62),I63)</f>
        <v>-1</v>
      </c>
      <c r="K63" s="112" t="n">
        <f aca="false">IF(WEEKDAY(A63,3)&gt;4,0,(IF(A63&lt;K$2,0,IF(A63&lt;=K$3,1,0))))</f>
        <v>0</v>
      </c>
      <c r="L63" s="112" t="n">
        <f aca="false">J63*K63</f>
        <v>-0</v>
      </c>
      <c r="M63" s="112" t="n">
        <f aca="false">SUM(J$6:J63)</f>
        <v>145664</v>
      </c>
      <c r="N63" s="112" t="n">
        <f aca="false">SUM(J$6:J63)</f>
        <v>145664</v>
      </c>
      <c r="P63" s="112" t="n">
        <f aca="false">D63/P$3</f>
        <v>-4.03351702125013</v>
      </c>
      <c r="Q63" s="112" t="n">
        <f aca="false">E63/P$3</f>
        <v>1.11855185003119</v>
      </c>
      <c r="R63" s="112" t="n">
        <f aca="false">F63/R$3</f>
        <v>0</v>
      </c>
      <c r="S63" s="114" t="n">
        <f aca="false">J63/$R$3</f>
        <v>-0.001</v>
      </c>
      <c r="T63" s="114" t="n">
        <f aca="false">L63/$R$3</f>
        <v>-0</v>
      </c>
      <c r="U63" s="114" t="n">
        <f aca="false">I63/$R$3</f>
        <v>145.654</v>
      </c>
      <c r="V63" s="114" t="n">
        <f aca="false">M63/$R$3</f>
        <v>145.664</v>
      </c>
      <c r="W63" s="114" t="n">
        <f aca="false">N63/$R$3</f>
        <v>145.664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Data'!$A$2:$B$8,MATCH(WEEKDAY('ARG Gas Firm'!A64,3),'Master Data'!$A$2:$A$8,0),2)</f>
        <v>W</v>
      </c>
      <c r="D64" s="112" t="n">
        <v>-3953668.64783753</v>
      </c>
      <c r="E64" s="112" t="n">
        <v>1035490.73634777</v>
      </c>
      <c r="F64" s="112" t="n">
        <v>0</v>
      </c>
      <c r="G64" s="112" t="n">
        <v>145654</v>
      </c>
      <c r="I64" s="112" t="n">
        <f aca="false">IF(MONTH($A64)=MONTH($A63),IF(G64=0,I63,G64),G64)</f>
        <v>145654</v>
      </c>
      <c r="J64" s="112" t="n">
        <f aca="false">IF(MONTH($A64)=MONTH($A63),SUM(I64-I63),I64)</f>
        <v>0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145664</v>
      </c>
      <c r="N64" s="112" t="n">
        <f aca="false">SUM(J$6:J64)</f>
        <v>145664</v>
      </c>
      <c r="P64" s="112" t="n">
        <f aca="false">D64/P$3</f>
        <v>-3.95366864783753</v>
      </c>
      <c r="Q64" s="112" t="n">
        <f aca="false">E64/P$3</f>
        <v>1.03549073634777</v>
      </c>
      <c r="R64" s="112" t="n">
        <f aca="false">F64/R$3</f>
        <v>0</v>
      </c>
      <c r="S64" s="114" t="n">
        <f aca="false">J64/$R$3</f>
        <v>0</v>
      </c>
      <c r="T64" s="114" t="n">
        <f aca="false">L64/$R$3</f>
        <v>0</v>
      </c>
      <c r="U64" s="114" t="n">
        <f aca="false">I64/$R$3</f>
        <v>145.654</v>
      </c>
      <c r="V64" s="114" t="n">
        <f aca="false">M64/$R$3</f>
        <v>145.664</v>
      </c>
      <c r="W64" s="114" t="n">
        <f aca="false">N64/$R$3</f>
        <v>145.664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Data'!$A$2:$B$8,MATCH(WEEKDAY('ARG Gas Firm'!A65,3),'Master Data'!$A$2:$A$8,0),2)</f>
        <v>Th</v>
      </c>
      <c r="D65" s="112" t="n">
        <v>-3961512.24425475</v>
      </c>
      <c r="E65" s="112" t="n">
        <v>1035560.69089138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145664</v>
      </c>
      <c r="N65" s="112" t="n">
        <f aca="false">SUM(J$6:J65)</f>
        <v>145664</v>
      </c>
      <c r="P65" s="112" t="n">
        <f aca="false">D65/P$3</f>
        <v>-3.96151224425475</v>
      </c>
      <c r="Q65" s="112" t="n">
        <f aca="false">E65/P$3</f>
        <v>1.03556069089138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145.664</v>
      </c>
      <c r="W65" s="114" t="n">
        <f aca="false">N65/$R$3</f>
        <v>145.664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Data'!$A$2:$B$8,MATCH(WEEKDAY('ARG Gas Firm'!A66,3),'Master Data'!$A$2:$A$8,0),2)</f>
        <v>F</v>
      </c>
      <c r="D66" s="112" t="n">
        <v>-3946828.80667102</v>
      </c>
      <c r="E66" s="112" t="n">
        <v>1035672.8604053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145664</v>
      </c>
      <c r="N66" s="112" t="n">
        <f aca="false">SUM(J$6:J66)</f>
        <v>145664</v>
      </c>
      <c r="P66" s="112" t="n">
        <f aca="false">D66/P$3</f>
        <v>-3.94682880667102</v>
      </c>
      <c r="Q66" s="112" t="n">
        <f aca="false">E66/P$3</f>
        <v>1.0356728604053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145.664</v>
      </c>
      <c r="W66" s="114" t="n">
        <f aca="false">N66/$R$3</f>
        <v>145.664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Data'!$A$2:$B$8,MATCH(WEEKDAY('ARG Gas Firm'!A67,3),'Master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145664</v>
      </c>
      <c r="N67" s="112" t="n">
        <f aca="false">SUM(J$6:J67)</f>
        <v>145664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145.664</v>
      </c>
      <c r="W67" s="114" t="n">
        <f aca="false">N67/$R$3</f>
        <v>145.664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Data'!$A$2:$B$8,MATCH(WEEKDAY('ARG Gas Firm'!A68,3),'Master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145664</v>
      </c>
      <c r="N68" s="112" t="n">
        <f aca="false">SUM(J$6:J68)</f>
        <v>145664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145.664</v>
      </c>
      <c r="W68" s="114" t="n">
        <f aca="false">N68/$R$3</f>
        <v>145.664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Data'!$A$2:$B$8,MATCH(WEEKDAY('ARG Gas Firm'!A69,3),'Master Data'!$A$2:$A$8,0),2)</f>
        <v>M</v>
      </c>
      <c r="D69" s="112" t="n">
        <v>-3501021.90544096</v>
      </c>
      <c r="E69" s="112" t="n">
        <v>588039.62430664</v>
      </c>
      <c r="F69" s="112" t="n">
        <v>0</v>
      </c>
      <c r="G69" s="112" t="n">
        <v>-158758</v>
      </c>
      <c r="I69" s="112" t="n">
        <f aca="false">IF(MONTH($A69)=MONTH($A68),IF(G69=0,I68,G69),G69)</f>
        <v>-158758</v>
      </c>
      <c r="J69" s="112" t="n">
        <f aca="false">IF(MONTH($A69)=MONTH($A68),SUM(I69-I68),I69)</f>
        <v>-158758</v>
      </c>
      <c r="K69" s="112" t="n">
        <f aca="false">IF(WEEKDAY(A69,3)&gt;4,0,(IF(A69&lt;K$2,0,IF(A69&lt;=K$3,1,0))))</f>
        <v>0</v>
      </c>
      <c r="L69" s="112" t="n">
        <f aca="false">J69*K69</f>
        <v>-0</v>
      </c>
      <c r="M69" s="112" t="n">
        <f aca="false">SUM(J$6:J69)</f>
        <v>-13094</v>
      </c>
      <c r="N69" s="112" t="n">
        <f aca="false">SUM(J$6:J69)</f>
        <v>-13094</v>
      </c>
      <c r="P69" s="112" t="n">
        <f aca="false">D69/P$3</f>
        <v>-3.50102190544096</v>
      </c>
      <c r="Q69" s="112" t="n">
        <f aca="false">E69/P$3</f>
        <v>0.58803962430664</v>
      </c>
      <c r="R69" s="112" t="n">
        <f aca="false">F69/R$3</f>
        <v>0</v>
      </c>
      <c r="S69" s="114" t="n">
        <f aca="false">J69/$R$3</f>
        <v>-158.758</v>
      </c>
      <c r="T69" s="114" t="n">
        <f aca="false">L69/$R$3</f>
        <v>-0</v>
      </c>
      <c r="U69" s="114" t="n">
        <f aca="false">I69/$R$3</f>
        <v>-158.758</v>
      </c>
      <c r="V69" s="114" t="n">
        <f aca="false">M69/$R$3</f>
        <v>-13.094</v>
      </c>
      <c r="W69" s="114" t="n">
        <f aca="false">N69/$R$3</f>
        <v>-13.094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Data'!$A$2:$B$8,MATCH(WEEKDAY('ARG Gas Firm'!A70,3),'Master Data'!$A$2:$A$8,0),2)</f>
        <v>T</v>
      </c>
      <c r="D70" s="112" t="n">
        <v>-3490544.99351203</v>
      </c>
      <c r="E70" s="112" t="n">
        <v>588133.912696568</v>
      </c>
      <c r="F70" s="112" t="n">
        <v>0</v>
      </c>
      <c r="G70" s="112" t="n">
        <v>-158815</v>
      </c>
      <c r="I70" s="112" t="n">
        <f aca="false">IF(MONTH($A70)=MONTH($A69),IF(G70=0,I69,G70),G70)</f>
        <v>-158815</v>
      </c>
      <c r="J70" s="112" t="n">
        <f aca="false">IF(MONTH($A70)=MONTH($A69),SUM(I70-I69),I70)</f>
        <v>-57</v>
      </c>
      <c r="K70" s="112" t="n">
        <f aca="false">IF(WEEKDAY(A70,3)&gt;4,0,(IF(A70&lt;K$2,0,IF(A70&lt;=K$3,1,0))))</f>
        <v>0</v>
      </c>
      <c r="L70" s="112" t="n">
        <f aca="false">J70*K70</f>
        <v>-0</v>
      </c>
      <c r="M70" s="112" t="n">
        <f aca="false">SUM(J$6:J70)</f>
        <v>-13151</v>
      </c>
      <c r="N70" s="112" t="n">
        <f aca="false">SUM(J$6:J70)</f>
        <v>-13151</v>
      </c>
      <c r="P70" s="112" t="n">
        <f aca="false">D70/P$3</f>
        <v>-3.49054499351203</v>
      </c>
      <c r="Q70" s="112" t="n">
        <f aca="false">E70/P$3</f>
        <v>0.588133912696568</v>
      </c>
      <c r="R70" s="112" t="n">
        <f aca="false">F70/R$3</f>
        <v>0</v>
      </c>
      <c r="S70" s="114" t="n">
        <f aca="false">J70/$R$3</f>
        <v>-0.057</v>
      </c>
      <c r="T70" s="114" t="n">
        <f aca="false">L70/$R$3</f>
        <v>-0</v>
      </c>
      <c r="U70" s="114" t="n">
        <f aca="false">I70/$R$3</f>
        <v>-158.815</v>
      </c>
      <c r="V70" s="114" t="n">
        <f aca="false">M70/$R$3</f>
        <v>-13.151</v>
      </c>
      <c r="W70" s="114" t="n">
        <f aca="false">N70/$R$3</f>
        <v>-13.151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Data'!$A$2:$B$8,MATCH(WEEKDAY('ARG Gas Firm'!A71,3),'Master Data'!$A$2:$A$8,0),2)</f>
        <v>W</v>
      </c>
      <c r="D71" s="112" t="n">
        <v>-3502555.44790617</v>
      </c>
      <c r="E71" s="112" t="n">
        <v>588252.179256947</v>
      </c>
      <c r="F71" s="112" t="n">
        <v>0</v>
      </c>
      <c r="G71" s="112" t="n">
        <v>-158815</v>
      </c>
      <c r="I71" s="112" t="n">
        <f aca="false">IF(MONTH($A71)=MONTH($A70),IF(G71=0,I70,G71),G71)</f>
        <v>-158815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-13151</v>
      </c>
      <c r="N71" s="112" t="n">
        <f aca="false">SUM(J$6:J71)</f>
        <v>-13151</v>
      </c>
      <c r="P71" s="112" t="n">
        <f aca="false">D71/P$3</f>
        <v>-3.50255544790617</v>
      </c>
      <c r="Q71" s="112" t="n">
        <f aca="false">E71/P$3</f>
        <v>0.588252179256947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-158.815</v>
      </c>
      <c r="V71" s="114" t="n">
        <f aca="false">M71/$R$3</f>
        <v>-13.151</v>
      </c>
      <c r="W71" s="114" t="n">
        <f aca="false">N71/$R$3</f>
        <v>-13.151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Data'!$A$2:$B$8,MATCH(WEEKDAY('ARG Gas Firm'!A72,3),'Master Data'!$A$2:$A$8,0),2)</f>
        <v>Th</v>
      </c>
      <c r="D72" s="112" t="n">
        <v>-3505172.50809889</v>
      </c>
      <c r="E72" s="112" t="n">
        <v>588342.542406159</v>
      </c>
      <c r="F72" s="112" t="n">
        <v>0</v>
      </c>
      <c r="G72" s="112" t="n">
        <v>-158814</v>
      </c>
      <c r="I72" s="112" t="n">
        <f aca="false">IF(MONTH($A72)=MONTH($A71),IF(G72=0,I71,G72),G72)</f>
        <v>-158814</v>
      </c>
      <c r="J72" s="112" t="n">
        <f aca="false">IF(MONTH($A72)=MONTH($A71),SUM(I72-I71),I72)</f>
        <v>1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-13150</v>
      </c>
      <c r="N72" s="112" t="n">
        <f aca="false">SUM(J$6:J72)</f>
        <v>-13150</v>
      </c>
      <c r="P72" s="112" t="n">
        <f aca="false">D72/P$3</f>
        <v>-3.50517250809889</v>
      </c>
      <c r="Q72" s="112" t="n">
        <f aca="false">E72/P$3</f>
        <v>0.588342542406159</v>
      </c>
      <c r="R72" s="112" t="n">
        <f aca="false">F72/R$3</f>
        <v>0</v>
      </c>
      <c r="S72" s="114" t="n">
        <f aca="false">J72/$R$3</f>
        <v>0.001</v>
      </c>
      <c r="T72" s="114" t="n">
        <f aca="false">L72/$R$3</f>
        <v>0</v>
      </c>
      <c r="U72" s="114" t="n">
        <f aca="false">I72/$R$3</f>
        <v>-158.814</v>
      </c>
      <c r="V72" s="114" t="n">
        <f aca="false">M72/$R$3</f>
        <v>-13.15</v>
      </c>
      <c r="W72" s="114" t="n">
        <f aca="false">N72/$R$3</f>
        <v>-13.15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Data'!$A$2:$B$8,MATCH(WEEKDAY('ARG Gas Firm'!A73,3),'Master Data'!$A$2:$A$8,0),2)</f>
        <v>F</v>
      </c>
      <c r="D73" s="112" t="n">
        <v>-3494153.01277296</v>
      </c>
      <c r="E73" s="112" t="n">
        <v>588368.790369903</v>
      </c>
      <c r="F73" s="112" t="n">
        <v>0</v>
      </c>
      <c r="G73" s="112" t="n">
        <v>-158814</v>
      </c>
      <c r="I73" s="112" t="n">
        <f aca="false">IF(MONTH($A73)=MONTH($A72),IF(G73=0,I72,G73),G73)</f>
        <v>-158814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-13150</v>
      </c>
      <c r="N73" s="112" t="n">
        <f aca="false">SUM(J$6:J73)</f>
        <v>-13150</v>
      </c>
      <c r="P73" s="112" t="n">
        <f aca="false">D73/P$3</f>
        <v>-3.49415301277296</v>
      </c>
      <c r="Q73" s="112" t="n">
        <f aca="false">E73/P$3</f>
        <v>0.588368790369903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-158.814</v>
      </c>
      <c r="V73" s="114" t="n">
        <f aca="false">M73/$R$3</f>
        <v>-13.15</v>
      </c>
      <c r="W73" s="114" t="n">
        <f aca="false">N73/$R$3</f>
        <v>-13.15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Data'!$A$2:$B$8,MATCH(WEEKDAY('ARG Gas Firm'!A74,3),'Master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-158814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-13150</v>
      </c>
      <c r="N74" s="112" t="n">
        <f aca="false">SUM(J$6:J74)</f>
        <v>-13150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-158.814</v>
      </c>
      <c r="V74" s="114" t="n">
        <f aca="false">M74/$R$3</f>
        <v>-13.15</v>
      </c>
      <c r="W74" s="114" t="n">
        <f aca="false">N74/$R$3</f>
        <v>-13.15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Data'!$A$2:$B$8,MATCH(WEEKDAY('ARG Gas Firm'!A75,3),'Master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-158814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-13150</v>
      </c>
      <c r="N75" s="112" t="n">
        <f aca="false">SUM(J$6:J75)</f>
        <v>-13150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-158.814</v>
      </c>
      <c r="V75" s="114" t="n">
        <f aca="false">M75/$R$3</f>
        <v>-13.15</v>
      </c>
      <c r="W75" s="114" t="n">
        <f aca="false">N75/$R$3</f>
        <v>-13.15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Data'!$A$2:$B$8,MATCH(WEEKDAY('ARG Gas Firm'!A76,3),'Master Data'!$A$2:$A$8,0),2)</f>
        <v>M</v>
      </c>
      <c r="D76" s="112" t="n">
        <v>-3498470.80686662</v>
      </c>
      <c r="E76" s="112" t="n">
        <v>588642.644453302</v>
      </c>
      <c r="F76" s="112" t="n">
        <v>0</v>
      </c>
      <c r="G76" s="112" t="n">
        <v>-158814</v>
      </c>
      <c r="I76" s="112" t="n">
        <f aca="false">IF(MONTH($A76)=MONTH($A75),IF(G76=0,I75,G76),G76)</f>
        <v>-158814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-13150</v>
      </c>
      <c r="N76" s="112" t="n">
        <f aca="false">SUM(J$6:J76)</f>
        <v>-13150</v>
      </c>
      <c r="P76" s="112" t="n">
        <f aca="false">D76/P$3</f>
        <v>-3.49847080686662</v>
      </c>
      <c r="Q76" s="112" t="n">
        <f aca="false">E76/P$3</f>
        <v>0.588642644453302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-158.814</v>
      </c>
      <c r="V76" s="114" t="n">
        <f aca="false">M76/$R$3</f>
        <v>-13.15</v>
      </c>
      <c r="W76" s="114" t="n">
        <f aca="false">N76/$R$3</f>
        <v>-13.15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Data'!$A$2:$B$8,MATCH(WEEKDAY('ARG Gas Firm'!A77,3),'Master Data'!$A$2:$A$8,0),2)</f>
        <v>T</v>
      </c>
      <c r="D77" s="112" t="n">
        <v>-3486940.63603149</v>
      </c>
      <c r="E77" s="112" t="n">
        <v>588742.040710356</v>
      </c>
      <c r="F77" s="112" t="n">
        <v>0</v>
      </c>
      <c r="G77" s="112" t="n">
        <v>-158815</v>
      </c>
      <c r="I77" s="112" t="n">
        <f aca="false">IF(MONTH($A77)=MONTH($A76),IF(G77=0,I76,G77),G77)</f>
        <v>-158815</v>
      </c>
      <c r="J77" s="112" t="n">
        <f aca="false">IF(MONTH($A77)=MONTH($A76),SUM(I77-I76),I77)</f>
        <v>-1</v>
      </c>
      <c r="K77" s="112" t="n">
        <f aca="false">IF(WEEKDAY(A77,3)&gt;4,0,(IF(A77&lt;K$2,0,IF(A77&lt;=K$3,1,0))))</f>
        <v>0</v>
      </c>
      <c r="L77" s="112" t="n">
        <f aca="false">J77*K77</f>
        <v>-0</v>
      </c>
      <c r="M77" s="112" t="n">
        <f aca="false">SUM(J$6:J77)</f>
        <v>-13151</v>
      </c>
      <c r="N77" s="112" t="n">
        <f aca="false">SUM(J$6:J77)</f>
        <v>-13151</v>
      </c>
      <c r="P77" s="112" t="n">
        <f aca="false">D77/P$3</f>
        <v>-3.48694063603149</v>
      </c>
      <c r="Q77" s="112" t="n">
        <f aca="false">E77/P$3</f>
        <v>0.588742040710356</v>
      </c>
      <c r="R77" s="112" t="n">
        <f aca="false">F77/R$3</f>
        <v>0</v>
      </c>
      <c r="S77" s="114" t="n">
        <f aca="false">J77/$R$3</f>
        <v>-0.001</v>
      </c>
      <c r="T77" s="114" t="n">
        <f aca="false">L77/$R$3</f>
        <v>-0</v>
      </c>
      <c r="U77" s="114" t="n">
        <f aca="false">I77/$R$3</f>
        <v>-158.815</v>
      </c>
      <c r="V77" s="114" t="n">
        <f aca="false">M77/$R$3</f>
        <v>-13.151</v>
      </c>
      <c r="W77" s="114" t="n">
        <f aca="false">N77/$R$3</f>
        <v>-13.151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Data'!$A$2:$B$8,MATCH(WEEKDAY('ARG Gas Firm'!A78,3),'Master Data'!$A$2:$A$8,0),2)</f>
        <v>W</v>
      </c>
      <c r="D78" s="112" t="n">
        <v>-3511399.62628108</v>
      </c>
      <c r="E78" s="112" t="n">
        <v>588952.231467027</v>
      </c>
      <c r="F78" s="112" t="n">
        <v>0</v>
      </c>
      <c r="G78" s="112" t="n">
        <v>-158814</v>
      </c>
      <c r="I78" s="112" t="n">
        <f aca="false">IF(MONTH($A78)=MONTH($A77),IF(G78=0,I77,G78),G78)</f>
        <v>-158814</v>
      </c>
      <c r="J78" s="112" t="n">
        <f aca="false">IF(MONTH($A78)=MONTH($A77),SUM(I78-I77),I78)</f>
        <v>1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-13150</v>
      </c>
      <c r="N78" s="112" t="n">
        <f aca="false">SUM(J$6:J78)</f>
        <v>-13150</v>
      </c>
      <c r="P78" s="112" t="n">
        <f aca="false">D78/P$3</f>
        <v>-3.51139962628108</v>
      </c>
      <c r="Q78" s="112" t="n">
        <f aca="false">E78/P$3</f>
        <v>0.588952231467027</v>
      </c>
      <c r="R78" s="112" t="n">
        <f aca="false">F78/R$3</f>
        <v>0</v>
      </c>
      <c r="S78" s="114" t="n">
        <f aca="false">J78/$R$3</f>
        <v>0.001</v>
      </c>
      <c r="T78" s="114" t="n">
        <f aca="false">L78/$R$3</f>
        <v>0</v>
      </c>
      <c r="U78" s="114" t="n">
        <f aca="false">I78/$R$3</f>
        <v>-158.814</v>
      </c>
      <c r="V78" s="114" t="n">
        <f aca="false">M78/$R$3</f>
        <v>-13.15</v>
      </c>
      <c r="W78" s="114" t="n">
        <f aca="false">N78/$R$3</f>
        <v>-13.15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Data'!$A$2:$B$8,MATCH(WEEKDAY('ARG Gas Firm'!A79,3),'Master Data'!$A$2:$A$8,0),2)</f>
        <v>Th</v>
      </c>
      <c r="D79" s="112" t="n">
        <v>-3527937.71072434</v>
      </c>
      <c r="E79" s="112" t="n">
        <v>589152.738270539</v>
      </c>
      <c r="F79" s="112" t="n">
        <v>0</v>
      </c>
      <c r="G79" s="112" t="n">
        <v>-158813</v>
      </c>
      <c r="I79" s="112" t="n">
        <f aca="false">IF(MONTH($A79)=MONTH($A78),IF(G79=0,I78,G79),G79)</f>
        <v>-158813</v>
      </c>
      <c r="J79" s="112" t="n">
        <f aca="false">IF(MONTH($A79)=MONTH($A78),SUM(I79-I78),I79)</f>
        <v>1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-13149</v>
      </c>
      <c r="N79" s="112" t="n">
        <f aca="false">SUM(J$6:J79)</f>
        <v>-13149</v>
      </c>
      <c r="P79" s="112" t="n">
        <f aca="false">D79/P$3</f>
        <v>-3.52793771072434</v>
      </c>
      <c r="Q79" s="112" t="n">
        <f aca="false">E79/P$3</f>
        <v>0.589152738270539</v>
      </c>
      <c r="R79" s="112" t="n">
        <f aca="false">F79/R$3</f>
        <v>0</v>
      </c>
      <c r="S79" s="114" t="n">
        <f aca="false">J79/$R$3</f>
        <v>0.001</v>
      </c>
      <c r="T79" s="114" t="n">
        <f aca="false">L79/$R$3</f>
        <v>0</v>
      </c>
      <c r="U79" s="114" t="n">
        <f aca="false">I79/$R$3</f>
        <v>-158.813</v>
      </c>
      <c r="V79" s="114" t="n">
        <f aca="false">M79/$R$3</f>
        <v>-13.149</v>
      </c>
      <c r="W79" s="114" t="n">
        <f aca="false">N79/$R$3</f>
        <v>-13.149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Data'!$A$2:$B$8,MATCH(WEEKDAY('ARG Gas Firm'!A80,3),'Master Data'!$A$2:$A$8,0),2)</f>
        <v>F</v>
      </c>
      <c r="D80" s="112" t="n">
        <v>-3535477.46055735</v>
      </c>
      <c r="E80" s="112" t="n">
        <v>589258.061916203</v>
      </c>
      <c r="F80" s="112" t="n">
        <v>0</v>
      </c>
      <c r="G80" s="112" t="n">
        <v>-158814</v>
      </c>
      <c r="I80" s="112" t="n">
        <f aca="false">IF(MONTH($A80)=MONTH($A79),IF(G80=0,I79,G80),G80)</f>
        <v>-158814</v>
      </c>
      <c r="J80" s="112" t="n">
        <f aca="false">IF(MONTH($A80)=MONTH($A79),SUM(I80-I79),I80)</f>
        <v>-1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-13150</v>
      </c>
      <c r="N80" s="112" t="n">
        <f aca="false">SUM(J$6:J80)</f>
        <v>-13150</v>
      </c>
      <c r="P80" s="112" t="n">
        <f aca="false">D80/P$3</f>
        <v>-3.53547746055735</v>
      </c>
      <c r="Q80" s="112" t="n">
        <f aca="false">E80/P$3</f>
        <v>0.589258061916203</v>
      </c>
      <c r="R80" s="112" t="n">
        <f aca="false">F80/R$3</f>
        <v>0</v>
      </c>
      <c r="S80" s="114" t="n">
        <f aca="false">J80/$R$3</f>
        <v>-0.001</v>
      </c>
      <c r="T80" s="114" t="n">
        <f aca="false">L80/$R$3</f>
        <v>-0</v>
      </c>
      <c r="U80" s="114" t="n">
        <f aca="false">I80/$R$3</f>
        <v>-158.814</v>
      </c>
      <c r="V80" s="114" t="n">
        <f aca="false">M80/$R$3</f>
        <v>-13.15</v>
      </c>
      <c r="W80" s="114" t="n">
        <f aca="false">N80/$R$3</f>
        <v>-13.15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Data'!$A$2:$B$8,MATCH(WEEKDAY('ARG Gas Firm'!A81,3),'Master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-158814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-13150</v>
      </c>
      <c r="N81" s="112" t="n">
        <f aca="false">SUM(J$6:J81)</f>
        <v>-13150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-158.814</v>
      </c>
      <c r="V81" s="114" t="n">
        <f aca="false">M81/$R$3</f>
        <v>-13.15</v>
      </c>
      <c r="W81" s="114" t="n">
        <f aca="false">N81/$R$3</f>
        <v>-13.15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Data'!$A$2:$B$8,MATCH(WEEKDAY('ARG Gas Firm'!A82,3),'Master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-158814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-13150</v>
      </c>
      <c r="N82" s="112" t="n">
        <f aca="false">SUM(J$6:J82)</f>
        <v>-13150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-158.814</v>
      </c>
      <c r="V82" s="114" t="n">
        <f aca="false">M82/$R$3</f>
        <v>-13.15</v>
      </c>
      <c r="W82" s="114" t="n">
        <f aca="false">N82/$R$3</f>
        <v>-13.15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Data'!$A$2:$B$8,MATCH(WEEKDAY('ARG Gas Firm'!A83,3),'Master Data'!$A$2:$A$8,0),2)</f>
        <v>M</v>
      </c>
      <c r="D83" s="112" t="n">
        <v>-3526888.22673206</v>
      </c>
      <c r="E83" s="112" t="n">
        <v>589479.239431214</v>
      </c>
      <c r="F83" s="112" t="n">
        <v>0</v>
      </c>
      <c r="G83" s="112" t="n">
        <v>-158817</v>
      </c>
      <c r="I83" s="112" t="n">
        <f aca="false">IF(MONTH($A83)=MONTH($A82),IF(G83=0,I82,G83),G83)</f>
        <v>-158817</v>
      </c>
      <c r="J83" s="112" t="n">
        <f aca="false">IF(MONTH($A83)=MONTH($A82),SUM(I83-I82),I83)</f>
        <v>-3</v>
      </c>
      <c r="K83" s="112" t="n">
        <f aca="false">IF(WEEKDAY(A83,3)&gt;4,0,(IF(A83&lt;K$2,0,IF(A83&lt;=K$3,1,0))))</f>
        <v>0</v>
      </c>
      <c r="L83" s="112" t="n">
        <f aca="false">J83*K83</f>
        <v>-0</v>
      </c>
      <c r="M83" s="112" t="n">
        <f aca="false">SUM(J$6:J83)</f>
        <v>-13153</v>
      </c>
      <c r="N83" s="112" t="n">
        <f aca="false">SUM(J$6:J83)</f>
        <v>-13153</v>
      </c>
      <c r="P83" s="112" t="n">
        <f aca="false">D83/P$3</f>
        <v>-3.52688822673206</v>
      </c>
      <c r="Q83" s="112" t="n">
        <f aca="false">E83/P$3</f>
        <v>0.589479239431214</v>
      </c>
      <c r="R83" s="112" t="n">
        <f aca="false">F83/R$3</f>
        <v>0</v>
      </c>
      <c r="S83" s="114" t="n">
        <f aca="false">J83/$R$3</f>
        <v>-0.003</v>
      </c>
      <c r="T83" s="114" t="n">
        <f aca="false">L83/$R$3</f>
        <v>-0</v>
      </c>
      <c r="U83" s="114" t="n">
        <f aca="false">I83/$R$3</f>
        <v>-158.817</v>
      </c>
      <c r="V83" s="114" t="n">
        <f aca="false">M83/$R$3</f>
        <v>-13.153</v>
      </c>
      <c r="W83" s="114" t="n">
        <f aca="false">N83/$R$3</f>
        <v>-13.153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Data'!$A$2:$B$8,MATCH(WEEKDAY('ARG Gas Firm'!A84,3),'Master Data'!$A$2:$A$8,0),2)</f>
        <v>T</v>
      </c>
      <c r="D84" s="112" t="n">
        <v>-3543282.71096792</v>
      </c>
      <c r="E84" s="112" t="n">
        <v>589606.187752571</v>
      </c>
      <c r="F84" s="112" t="n">
        <v>0</v>
      </c>
      <c r="G84" s="112" t="n">
        <v>-157367</v>
      </c>
      <c r="I84" s="112" t="n">
        <f aca="false">IF(MONTH($A84)=MONTH($A83),IF(G84=0,I83,G84),G84)</f>
        <v>-157367</v>
      </c>
      <c r="J84" s="112" t="n">
        <f aca="false">IF(MONTH($A84)=MONTH($A83),SUM(I84-I83),I84)</f>
        <v>1450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-11703</v>
      </c>
      <c r="N84" s="112" t="n">
        <f aca="false">SUM(J$6:J84)</f>
        <v>-11703</v>
      </c>
      <c r="P84" s="112" t="n">
        <f aca="false">D84/P$3</f>
        <v>-3.54328271096792</v>
      </c>
      <c r="Q84" s="112" t="n">
        <f aca="false">E84/P$3</f>
        <v>0.589606187752572</v>
      </c>
      <c r="R84" s="112" t="n">
        <f aca="false">F84/R$3</f>
        <v>0</v>
      </c>
      <c r="S84" s="114" t="n">
        <f aca="false">J84/$R$3</f>
        <v>1.45</v>
      </c>
      <c r="T84" s="114" t="n">
        <f aca="false">L84/$R$3</f>
        <v>0</v>
      </c>
      <c r="U84" s="114" t="n">
        <f aca="false">I84/$R$3</f>
        <v>-157.367</v>
      </c>
      <c r="V84" s="114" t="n">
        <f aca="false">M84/$R$3</f>
        <v>-11.703</v>
      </c>
      <c r="W84" s="114" t="n">
        <f aca="false">N84/$R$3</f>
        <v>-11.703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Data'!$A$2:$B$8,MATCH(WEEKDAY('ARG Gas Firm'!A85,3),'Master Data'!$A$2:$A$8,0),2)</f>
        <v>W</v>
      </c>
      <c r="D85" s="112" t="n">
        <v>-3553400.05592276</v>
      </c>
      <c r="E85" s="112" t="n">
        <v>589726.523890716</v>
      </c>
      <c r="F85" s="112" t="n">
        <v>0</v>
      </c>
      <c r="G85" s="112" t="n">
        <v>-157366</v>
      </c>
      <c r="I85" s="112" t="n">
        <f aca="false">IF(MONTH($A85)=MONTH($A84),IF(G85=0,I84,G85),G85)</f>
        <v>-157366</v>
      </c>
      <c r="J85" s="112" t="n">
        <f aca="false">IF(MONTH($A85)=MONTH($A84),SUM(I85-I84),I85)</f>
        <v>1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-11702</v>
      </c>
      <c r="N85" s="112" t="n">
        <f aca="false">SUM(J$6:J85)</f>
        <v>-11702</v>
      </c>
      <c r="P85" s="112" t="n">
        <f aca="false">D85/P$3</f>
        <v>-3.55340005592276</v>
      </c>
      <c r="Q85" s="112" t="n">
        <f aca="false">E85/P$3</f>
        <v>0.589726523890716</v>
      </c>
      <c r="R85" s="112" t="n">
        <f aca="false">F85/R$3</f>
        <v>0</v>
      </c>
      <c r="S85" s="114" t="n">
        <f aca="false">J85/$R$3</f>
        <v>0.001</v>
      </c>
      <c r="T85" s="114" t="n">
        <f aca="false">L85/$R$3</f>
        <v>0</v>
      </c>
      <c r="U85" s="114" t="n">
        <f aca="false">I85/$R$3</f>
        <v>-157.366</v>
      </c>
      <c r="V85" s="114" t="n">
        <f aca="false">M85/$R$3</f>
        <v>-11.702</v>
      </c>
      <c r="W85" s="114" t="n">
        <f aca="false">N85/$R$3</f>
        <v>-11.702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Data'!$A$2:$B$8,MATCH(WEEKDAY('ARG Gas Firm'!A86,3),'Master Data'!$A$2:$A$8,0),2)</f>
        <v>Th</v>
      </c>
      <c r="D86" s="112" t="n">
        <v>-3560924.31069187</v>
      </c>
      <c r="E86" s="112" t="n">
        <v>589811.207788517</v>
      </c>
      <c r="F86" s="112" t="n">
        <v>0</v>
      </c>
      <c r="G86" s="112" t="n">
        <v>-157365</v>
      </c>
      <c r="I86" s="112" t="n">
        <f aca="false">IF(MONTH($A86)=MONTH($A85),IF(G86=0,I85,G86),G86)</f>
        <v>-157365</v>
      </c>
      <c r="J86" s="112" t="n">
        <f aca="false">IF(MONTH($A86)=MONTH($A85),SUM(I86-I85),I86)</f>
        <v>1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-11701</v>
      </c>
      <c r="N86" s="112" t="n">
        <f aca="false">SUM(J$6:J86)</f>
        <v>-11701</v>
      </c>
      <c r="P86" s="112" t="n">
        <f aca="false">D86/P$3</f>
        <v>-3.56092431069187</v>
      </c>
      <c r="Q86" s="112" t="n">
        <f aca="false">E86/P$3</f>
        <v>0.589811207788517</v>
      </c>
      <c r="R86" s="112" t="n">
        <f aca="false">F86/R$3</f>
        <v>0</v>
      </c>
      <c r="S86" s="114" t="n">
        <f aca="false">J86/$R$3</f>
        <v>0.001</v>
      </c>
      <c r="T86" s="114" t="n">
        <f aca="false">L86/$R$3</f>
        <v>0</v>
      </c>
      <c r="U86" s="114" t="n">
        <f aca="false">I86/$R$3</f>
        <v>-157.365</v>
      </c>
      <c r="V86" s="114" t="n">
        <f aca="false">M86/$R$3</f>
        <v>-11.701</v>
      </c>
      <c r="W86" s="114" t="n">
        <f aca="false">N86/$R$3</f>
        <v>-11.701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Data'!$A$2:$B$8,MATCH(WEEKDAY('ARG Gas Firm'!A87,3),'Master Data'!$A$2:$A$8,0),2)</f>
        <v>F</v>
      </c>
      <c r="D87" s="112" t="n">
        <v>-3539546.36869241</v>
      </c>
      <c r="E87" s="112" t="n">
        <v>589863.254285641</v>
      </c>
      <c r="F87" s="112" t="n">
        <v>0</v>
      </c>
      <c r="G87" s="112" t="n">
        <v>-157366</v>
      </c>
      <c r="I87" s="112" t="n">
        <f aca="false">IF(MONTH($A87)=MONTH($A86),IF(G87=0,I86,G87),G87)</f>
        <v>-157366</v>
      </c>
      <c r="J87" s="112" t="n">
        <f aca="false">IF(MONTH($A87)=MONTH($A86),SUM(I87-I86),I87)</f>
        <v>-1</v>
      </c>
      <c r="K87" s="112" t="n">
        <f aca="false">IF(WEEKDAY(A87,3)&gt;4,0,(IF(A87&lt;K$2,0,IF(A87&lt;=K$3,1,0))))</f>
        <v>0</v>
      </c>
      <c r="L87" s="112" t="n">
        <f aca="false">J87*K87</f>
        <v>-0</v>
      </c>
      <c r="M87" s="112" t="n">
        <f aca="false">SUM(J$6:J87)</f>
        <v>-11702</v>
      </c>
      <c r="N87" s="112" t="n">
        <f aca="false">SUM(J$6:J87)</f>
        <v>-11702</v>
      </c>
      <c r="P87" s="112" t="n">
        <f aca="false">D87/P$3</f>
        <v>-3.53954636869241</v>
      </c>
      <c r="Q87" s="112" t="n">
        <f aca="false">E87/P$3</f>
        <v>0.589863254285641</v>
      </c>
      <c r="R87" s="112" t="n">
        <f aca="false">F87/R$3</f>
        <v>0</v>
      </c>
      <c r="S87" s="114" t="n">
        <f aca="false">J87/$R$3</f>
        <v>-0.001</v>
      </c>
      <c r="T87" s="114" t="n">
        <f aca="false">L87/$R$3</f>
        <v>-0</v>
      </c>
      <c r="U87" s="114" t="n">
        <f aca="false">I87/$R$3</f>
        <v>-157.366</v>
      </c>
      <c r="V87" s="114" t="n">
        <f aca="false">M87/$R$3</f>
        <v>-11.702</v>
      </c>
      <c r="W87" s="114" t="n">
        <f aca="false">N87/$R$3</f>
        <v>-11.702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Data'!$A$2:$B$8,MATCH(WEEKDAY('ARG Gas Firm'!A88,3),'Master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-157366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-11702</v>
      </c>
      <c r="N88" s="112" t="n">
        <f aca="false">SUM(J$6:J88)</f>
        <v>-11702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-157.366</v>
      </c>
      <c r="V88" s="114" t="n">
        <f aca="false">M88/$R$3</f>
        <v>-11.702</v>
      </c>
      <c r="W88" s="114" t="n">
        <f aca="false">N88/$R$3</f>
        <v>-11.702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Data'!$A$2:$B$8,MATCH(WEEKDAY('ARG Gas Firm'!A89,3),'Master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-157366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-11702</v>
      </c>
      <c r="N89" s="112" t="n">
        <f aca="false">SUM(J$6:J89)</f>
        <v>-11702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-157.366</v>
      </c>
      <c r="V89" s="114" t="n">
        <f aca="false">M89/$R$3</f>
        <v>-11.702</v>
      </c>
      <c r="W89" s="114" t="n">
        <f aca="false">N89/$R$3</f>
        <v>-11.702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Data'!$A$2:$B$8,MATCH(WEEKDAY('ARG Gas Firm'!A90,3),'Master Data'!$A$2:$A$8,0),2)</f>
        <v>M</v>
      </c>
      <c r="D90" s="112" t="n">
        <v>-3528577.78954322</v>
      </c>
      <c r="E90" s="112" t="n">
        <v>590088.328613132</v>
      </c>
      <c r="F90" s="112" t="n">
        <v>0</v>
      </c>
      <c r="G90" s="112" t="n">
        <v>-157367</v>
      </c>
      <c r="I90" s="112" t="n">
        <f aca="false">IF(MONTH($A90)=MONTH($A89),IF(G90=0,I89,G90),G90)</f>
        <v>-157367</v>
      </c>
      <c r="J90" s="112" t="n">
        <f aca="false">IF(MONTH($A90)=MONTH($A89),SUM(I90-I89),I90)</f>
        <v>-1</v>
      </c>
      <c r="K90" s="112" t="n">
        <f aca="false">IF(WEEKDAY(A90,3)&gt;4,0,(IF(A90&lt;K$2,0,IF(A90&lt;=K$3,1,0))))</f>
        <v>0</v>
      </c>
      <c r="L90" s="112" t="n">
        <f aca="false">J90*K90</f>
        <v>-0</v>
      </c>
      <c r="M90" s="112" t="n">
        <f aca="false">SUM(J$6:J90)</f>
        <v>-11703</v>
      </c>
      <c r="N90" s="112" t="n">
        <f aca="false">SUM(J$6:J90)</f>
        <v>-11703</v>
      </c>
      <c r="P90" s="112" t="n">
        <f aca="false">D90/P$3</f>
        <v>-3.52857778954322</v>
      </c>
      <c r="Q90" s="112" t="n">
        <f aca="false">E90/P$3</f>
        <v>0.590088328613132</v>
      </c>
      <c r="R90" s="112" t="n">
        <f aca="false">F90/R$3</f>
        <v>0</v>
      </c>
      <c r="S90" s="114" t="n">
        <f aca="false">J90/$R$3</f>
        <v>-0.001</v>
      </c>
      <c r="T90" s="114" t="n">
        <f aca="false">L90/$R$3</f>
        <v>-0</v>
      </c>
      <c r="U90" s="114" t="n">
        <f aca="false">I90/$R$3</f>
        <v>-157.367</v>
      </c>
      <c r="V90" s="114" t="n">
        <f aca="false">M90/$R$3</f>
        <v>-11.703</v>
      </c>
      <c r="W90" s="114" t="n">
        <f aca="false">N90/$R$3</f>
        <v>-11.703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Data'!$A$2:$B$8,MATCH(WEEKDAY('ARG Gas Firm'!A91,3),'Master Data'!$A$2:$A$8,0),2)</f>
        <v>T</v>
      </c>
      <c r="D91" s="112" t="n">
        <v>-3490703.57436255</v>
      </c>
      <c r="E91" s="112" t="n">
        <v>590110.334012393</v>
      </c>
      <c r="F91" s="112" t="n">
        <v>0</v>
      </c>
      <c r="G91" s="112" t="n">
        <v>-157367</v>
      </c>
      <c r="I91" s="112" t="n">
        <f aca="false">IF(MONTH($A91)=MONTH($A90),IF(G91=0,I90,G91),G91)</f>
        <v>-157367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-11703</v>
      </c>
      <c r="N91" s="112" t="n">
        <f aca="false">SUM(J$6:J91)</f>
        <v>-11703</v>
      </c>
      <c r="P91" s="112" t="n">
        <f aca="false">D91/P$3</f>
        <v>-3.49070357436255</v>
      </c>
      <c r="Q91" s="112" t="n">
        <f aca="false">E91/P$3</f>
        <v>0.590110334012393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-157.367</v>
      </c>
      <c r="V91" s="114" t="n">
        <f aca="false">M91/$R$3</f>
        <v>-11.703</v>
      </c>
      <c r="W91" s="114" t="n">
        <f aca="false">N91/$R$3</f>
        <v>-11.703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Data'!$A$2:$B$8,MATCH(WEEKDAY('ARG Gas Firm'!A92,3),'Master Data'!$A$2:$A$8,0),2)</f>
        <v>W</v>
      </c>
      <c r="D92" s="112" t="n">
        <v>-3493783.83988589</v>
      </c>
      <c r="E92" s="112" t="n">
        <v>590164.873532549</v>
      </c>
      <c r="F92" s="112" t="n">
        <v>0</v>
      </c>
      <c r="G92" s="112" t="n">
        <v>-157367</v>
      </c>
      <c r="I92" s="112" t="n">
        <f aca="false">IF(MONTH($A92)=MONTH($A91),IF(G92=0,I91,G92),G92)</f>
        <v>-157367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-11703</v>
      </c>
      <c r="N92" s="112" t="n">
        <f aca="false">SUM(J$6:J92)</f>
        <v>-11703</v>
      </c>
      <c r="P92" s="112" t="n">
        <f aca="false">D92/P$3</f>
        <v>-3.49378383988589</v>
      </c>
      <c r="Q92" s="112" t="n">
        <f aca="false">E92/P$3</f>
        <v>0.590164873532549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-157.367</v>
      </c>
      <c r="V92" s="114" t="n">
        <f aca="false">M92/$R$3</f>
        <v>-11.703</v>
      </c>
      <c r="W92" s="114" t="n">
        <f aca="false">N92/$R$3</f>
        <v>-11.703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Data'!$A$2:$B$8,MATCH(WEEKDAY('ARG Gas Firm'!A93,3),'Master Data'!$A$2:$A$8,0),2)</f>
        <v>Th</v>
      </c>
      <c r="D93" s="112" t="n">
        <v>-3497912.38251717</v>
      </c>
      <c r="E93" s="112" t="n">
        <v>590271.866568498</v>
      </c>
      <c r="F93" s="112" t="n">
        <v>0</v>
      </c>
      <c r="G93" s="112" t="n">
        <v>-157367</v>
      </c>
      <c r="I93" s="112" t="n">
        <f aca="false">IF(MONTH($A93)=MONTH($A92),IF(G93=0,I92,G93),G93)</f>
        <v>-157367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-11703</v>
      </c>
      <c r="N93" s="112" t="n">
        <f aca="false">SUM(J$6:J93)</f>
        <v>-11703</v>
      </c>
      <c r="P93" s="112" t="n">
        <f aca="false">D93/P$3</f>
        <v>-3.49791238251717</v>
      </c>
      <c r="Q93" s="112" t="n">
        <f aca="false">E93/P$3</f>
        <v>0.590271866568498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-157.367</v>
      </c>
      <c r="V93" s="114" t="n">
        <f aca="false">M93/$R$3</f>
        <v>-11.703</v>
      </c>
      <c r="W93" s="114" t="n">
        <f aca="false">N93/$R$3</f>
        <v>-11.703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Data'!$A$2:$B$8,MATCH(WEEKDAY('ARG Gas Firm'!A94,3),'Master Data'!$A$2:$A$8,0),2)</f>
        <v>F</v>
      </c>
      <c r="D94" s="112" t="n">
        <v>-3498270.38680189</v>
      </c>
      <c r="E94" s="112" t="n">
        <v>589807.616563885</v>
      </c>
      <c r="F94" s="112" t="n">
        <v>0</v>
      </c>
      <c r="G94" s="112" t="n">
        <v>-157367</v>
      </c>
      <c r="I94" s="112" t="n">
        <f aca="false">IF(MONTH($A94)=MONTH($A93),IF(G94=0,I93,G94),G94)</f>
        <v>-157367</v>
      </c>
      <c r="J94" s="112" t="n">
        <f aca="false">IF(MONTH($A94)=MONTH($A93),SUM(I94-I93),I94)</f>
        <v>0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-11703</v>
      </c>
      <c r="N94" s="112" t="n">
        <f aca="false">SUM(J$6:J94)</f>
        <v>-11703</v>
      </c>
      <c r="P94" s="112" t="n">
        <f aca="false">D94/P$3</f>
        <v>-3.49827038680189</v>
      </c>
      <c r="Q94" s="112" t="n">
        <f aca="false">E94/P$3</f>
        <v>0.589807616563885</v>
      </c>
      <c r="R94" s="112" t="n">
        <f aca="false">F94/R$3</f>
        <v>0</v>
      </c>
      <c r="S94" s="114" t="n">
        <f aca="false">J94/$R$3</f>
        <v>0</v>
      </c>
      <c r="T94" s="114" t="n">
        <f aca="false">L94/$R$3</f>
        <v>0</v>
      </c>
      <c r="U94" s="114" t="n">
        <f aca="false">I94/$R$3</f>
        <v>-157.367</v>
      </c>
      <c r="V94" s="114" t="n">
        <f aca="false">M94/$R$3</f>
        <v>-11.703</v>
      </c>
      <c r="W94" s="114" t="n">
        <f aca="false">N94/$R$3</f>
        <v>-11.703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Data'!$A$2:$B$8,MATCH(WEEKDAY('ARG Gas Firm'!A95,3),'Master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-157367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-11703</v>
      </c>
      <c r="N95" s="112" t="n">
        <f aca="false">SUM(J$6:J95)</f>
        <v>-11703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-157.367</v>
      </c>
      <c r="V95" s="114" t="n">
        <f aca="false">M95/$R$3</f>
        <v>-11.703</v>
      </c>
      <c r="W95" s="114" t="n">
        <f aca="false">N95/$R$3</f>
        <v>-11.703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Data'!$A$2:$B$8,MATCH(WEEKDAY('ARG Gas Firm'!A96,3),'Master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-11703</v>
      </c>
      <c r="N96" s="112" t="n">
        <f aca="false">SUM(J$6:J96)</f>
        <v>-11703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-11.703</v>
      </c>
      <c r="W96" s="114" t="n">
        <f aca="false">N96/$R$3</f>
        <v>-11.703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Data'!$A$2:$B$8,MATCH(WEEKDAY('ARG Gas Firm'!A97,3),'Master Data'!$A$2:$A$8,0),2)</f>
        <v>M</v>
      </c>
      <c r="D97" s="112" t="n">
        <v>-3489871.45140112</v>
      </c>
      <c r="E97" s="112" t="n">
        <v>590065.057834465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-11703</v>
      </c>
      <c r="P97" s="112" t="n">
        <f aca="false">D97/P$3</f>
        <v>-3.48987145140112</v>
      </c>
      <c r="Q97" s="112" t="n">
        <f aca="false">E97/P$3</f>
        <v>0.590065057834465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-11.703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Data'!$A$2:$B$8,MATCH(WEEKDAY('ARG Gas Firm'!A98,3),'Master Data'!$A$2:$A$8,0),2)</f>
        <v>T</v>
      </c>
      <c r="D98" s="112" t="n">
        <v>-2489661.14511206</v>
      </c>
      <c r="E98" s="112" t="n">
        <v>540691.332672727</v>
      </c>
      <c r="F98" s="112" t="n">
        <v>0</v>
      </c>
      <c r="G98" s="112" t="n">
        <v>339136</v>
      </c>
      <c r="I98" s="112" t="n">
        <f aca="false">IF(MONTH($A98)=MONTH($A97),IF(G98=0,I97,G98),G98)</f>
        <v>339136</v>
      </c>
      <c r="J98" s="112" t="n">
        <f aca="false">IF(MONTH($A98)=MONTH($A97),SUM(I98-I97),I98)</f>
        <v>339136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339136</v>
      </c>
      <c r="N98" s="112" t="n">
        <f aca="false">SUM(J$6:J98)</f>
        <v>327433</v>
      </c>
      <c r="P98" s="112" t="n">
        <f aca="false">D98/P$3</f>
        <v>-2.48966114511206</v>
      </c>
      <c r="Q98" s="112" t="n">
        <f aca="false">E98/P$3</f>
        <v>0.540691332672727</v>
      </c>
      <c r="R98" s="112" t="n">
        <f aca="false">F98/R$3</f>
        <v>0</v>
      </c>
      <c r="S98" s="114" t="n">
        <f aca="false">J98/$R$3</f>
        <v>339.136</v>
      </c>
      <c r="T98" s="114" t="n">
        <f aca="false">L98/$R$3</f>
        <v>0</v>
      </c>
      <c r="U98" s="114" t="n">
        <f aca="false">I98/$R$3</f>
        <v>339.136</v>
      </c>
      <c r="V98" s="114" t="n">
        <f aca="false">M98/$R$3</f>
        <v>339.136</v>
      </c>
      <c r="W98" s="114" t="n">
        <f aca="false">N98/$R$3</f>
        <v>327.433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Data'!$A$2:$B$8,MATCH(WEEKDAY('ARG Gas Firm'!A99,3),'Master Data'!$A$2:$A$8,0),2)</f>
        <v>W</v>
      </c>
      <c r="D99" s="112" t="n">
        <v>-2494248.48208427</v>
      </c>
      <c r="E99" s="112" t="n">
        <v>540954.426202101</v>
      </c>
      <c r="F99" s="112" t="n">
        <v>0</v>
      </c>
      <c r="G99" s="112" t="n">
        <v>339136</v>
      </c>
      <c r="I99" s="112" t="n">
        <f aca="false">IF(MONTH($A99)=MONTH($A98),IF(G99=0,I98,G99),G99)</f>
        <v>339136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339136</v>
      </c>
      <c r="N99" s="112" t="n">
        <f aca="false">SUM(J$6:J99)</f>
        <v>327433</v>
      </c>
      <c r="P99" s="112" t="n">
        <f aca="false">D99/P$3</f>
        <v>-2.49424848208427</v>
      </c>
      <c r="Q99" s="112" t="n">
        <f aca="false">E99/P$3</f>
        <v>0.540954426202101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339.136</v>
      </c>
      <c r="V99" s="114" t="n">
        <f aca="false">M99/$R$3</f>
        <v>339.136</v>
      </c>
      <c r="W99" s="114" t="n">
        <f aca="false">N99/$R$3</f>
        <v>327.433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Data'!$A$2:$B$8,MATCH(WEEKDAY('ARG Gas Firm'!A100,3),'Master Data'!$A$2:$A$8,0),2)</f>
        <v>Th</v>
      </c>
      <c r="D100" s="112" t="n">
        <v>-2484119.18172592</v>
      </c>
      <c r="E100" s="112" t="n">
        <v>540856.750578492</v>
      </c>
      <c r="F100" s="112" t="n">
        <v>0</v>
      </c>
      <c r="G100" s="112" t="n">
        <v>339136</v>
      </c>
      <c r="I100" s="112" t="n">
        <f aca="false">IF(MONTH($A100)=MONTH($A99),IF(G100=0,I99,G100),G100)</f>
        <v>339136</v>
      </c>
      <c r="J100" s="112" t="n">
        <f aca="false">IF(MONTH($A100)=MONTH($A99),SUM(I100-I99),I100)</f>
        <v>0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339136</v>
      </c>
      <c r="N100" s="112" t="n">
        <f aca="false">SUM(J$6:J100)</f>
        <v>327433</v>
      </c>
      <c r="P100" s="112" t="n">
        <f aca="false">D100/P$3</f>
        <v>-2.48411918172592</v>
      </c>
      <c r="Q100" s="112" t="n">
        <f aca="false">E100/P$3</f>
        <v>0.540856750578492</v>
      </c>
      <c r="R100" s="112" t="n">
        <f aca="false">F100/R$3</f>
        <v>0</v>
      </c>
      <c r="S100" s="114" t="n">
        <f aca="false">J100/$R$3</f>
        <v>0</v>
      </c>
      <c r="T100" s="114" t="n">
        <f aca="false">L100/$R$3</f>
        <v>0</v>
      </c>
      <c r="U100" s="114" t="n">
        <f aca="false">I100/$R$3</f>
        <v>339.136</v>
      </c>
      <c r="V100" s="114" t="n">
        <f aca="false">M100/$R$3</f>
        <v>339.136</v>
      </c>
      <c r="W100" s="114" t="n">
        <f aca="false">N100/$R$3</f>
        <v>327.433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Data'!$A$2:$B$8,MATCH(WEEKDAY('ARG Gas Firm'!A101,3),'Master Data'!$A$2:$A$8,0),2)</f>
        <v>F</v>
      </c>
      <c r="D101" s="112" t="n">
        <v>-2507786.66306839</v>
      </c>
      <c r="E101" s="112" t="n">
        <v>541152.916136152</v>
      </c>
      <c r="F101" s="112" t="n">
        <v>0</v>
      </c>
      <c r="G101" s="112" t="n">
        <v>339135</v>
      </c>
      <c r="I101" s="112" t="n">
        <f aca="false">IF(MONTH($A101)=MONTH($A100),IF(G101=0,I100,G101),G101)</f>
        <v>339135</v>
      </c>
      <c r="J101" s="112" t="n">
        <f aca="false">IF(MONTH($A101)=MONTH($A100),SUM(I101-I100),I101)</f>
        <v>-1</v>
      </c>
      <c r="K101" s="112" t="n">
        <f aca="false">IF(WEEKDAY(A101,3)&gt;4,0,(IF(A101&lt;K$2,0,IF(A101&lt;=K$3,1,0))))</f>
        <v>0</v>
      </c>
      <c r="L101" s="112" t="n">
        <f aca="false">J101*K101</f>
        <v>-0</v>
      </c>
      <c r="M101" s="112" t="n">
        <f aca="false">SUM(J$97:J101)</f>
        <v>339135</v>
      </c>
      <c r="N101" s="112" t="n">
        <f aca="false">SUM(J$6:J101)</f>
        <v>327432</v>
      </c>
      <c r="P101" s="112" t="n">
        <f aca="false">D101/P$3</f>
        <v>-2.50778666306839</v>
      </c>
      <c r="Q101" s="112" t="n">
        <f aca="false">E101/P$3</f>
        <v>0.541152916136152</v>
      </c>
      <c r="R101" s="112" t="n">
        <f aca="false">F101/R$3</f>
        <v>0</v>
      </c>
      <c r="S101" s="114" t="n">
        <f aca="false">J101/$R$3</f>
        <v>-0.001</v>
      </c>
      <c r="T101" s="114" t="n">
        <f aca="false">L101/$R$3</f>
        <v>-0</v>
      </c>
      <c r="U101" s="114" t="n">
        <f aca="false">I101/$R$3</f>
        <v>339.135</v>
      </c>
      <c r="V101" s="114" t="n">
        <f aca="false">M101/$R$3</f>
        <v>339.135</v>
      </c>
      <c r="W101" s="114" t="n">
        <f aca="false">N101/$R$3</f>
        <v>327.432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Data'!$A$2:$B$8,MATCH(WEEKDAY('ARG Gas Firm'!A102,3),'Master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339135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339135</v>
      </c>
      <c r="N102" s="112" t="n">
        <f aca="false">SUM(J$6:J102)</f>
        <v>327432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339.135</v>
      </c>
      <c r="V102" s="114" t="n">
        <f aca="false">M102/$R$3</f>
        <v>339.135</v>
      </c>
      <c r="W102" s="114" t="n">
        <f aca="false">N102/$R$3</f>
        <v>327.432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Data'!$A$2:$B$8,MATCH(WEEKDAY('ARG Gas Firm'!A103,3),'Master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339135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339135</v>
      </c>
      <c r="N103" s="112" t="n">
        <f aca="false">SUM(J$6:J103)</f>
        <v>327432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339.135</v>
      </c>
      <c r="V103" s="114" t="n">
        <f aca="false">M103/$R$3</f>
        <v>339.135</v>
      </c>
      <c r="W103" s="114" t="n">
        <f aca="false">N103/$R$3</f>
        <v>327.432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Data'!$A$2:$B$8,MATCH(WEEKDAY('ARG Gas Firm'!A104,3),'Master Data'!$A$2:$A$8,0),2)</f>
        <v>M</v>
      </c>
      <c r="D104" s="112" t="n">
        <v>-2503378.42041902</v>
      </c>
      <c r="E104" s="112" t="n">
        <v>541421.69193949</v>
      </c>
      <c r="F104" s="112" t="n">
        <v>0</v>
      </c>
      <c r="G104" s="112" t="n">
        <v>339136</v>
      </c>
      <c r="I104" s="112" t="n">
        <f aca="false">IF(MONTH($A104)=MONTH($A103),IF(G104=0,I103,G104),G104)</f>
        <v>339136</v>
      </c>
      <c r="J104" s="112" t="n">
        <f aca="false">IF(MONTH($A104)=MONTH($A103),SUM(I104-I103),I104)</f>
        <v>1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339136</v>
      </c>
      <c r="N104" s="112" t="n">
        <f aca="false">SUM(J$6:J104)</f>
        <v>327433</v>
      </c>
      <c r="P104" s="112" t="n">
        <f aca="false">D104/P$3</f>
        <v>-2.50337842041902</v>
      </c>
      <c r="Q104" s="112" t="n">
        <f aca="false">E104/P$3</f>
        <v>0.54142169193949</v>
      </c>
      <c r="R104" s="112" t="n">
        <f aca="false">F104/R$3</f>
        <v>0</v>
      </c>
      <c r="S104" s="114" t="n">
        <f aca="false">J104/$R$3</f>
        <v>0.001</v>
      </c>
      <c r="T104" s="114" t="n">
        <f aca="false">L104/$R$3</f>
        <v>0</v>
      </c>
      <c r="U104" s="114" t="n">
        <f aca="false">I104/$R$3</f>
        <v>339.136</v>
      </c>
      <c r="V104" s="114" t="n">
        <f aca="false">M104/$R$3</f>
        <v>339.136</v>
      </c>
      <c r="W104" s="114" t="n">
        <f aca="false">N104/$R$3</f>
        <v>327.433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Data'!$A$2:$B$8,MATCH(WEEKDAY('ARG Gas Firm'!A105,3),'Master Data'!$A$2:$A$8,0),2)</f>
        <v>T</v>
      </c>
      <c r="D105" s="112" t="n">
        <v>-2462321.84060923</v>
      </c>
      <c r="E105" s="112" t="n">
        <v>540935.356509929</v>
      </c>
      <c r="F105" s="112" t="n">
        <v>0</v>
      </c>
      <c r="G105" s="112" t="n">
        <v>339136</v>
      </c>
      <c r="I105" s="112" t="n">
        <f aca="false">IF(MONTH($A105)=MONTH($A104),IF(G105=0,I104,G105),G105)</f>
        <v>339136</v>
      </c>
      <c r="J105" s="112" t="n">
        <f aca="false">IF(MONTH($A105)=MONTH($A104),SUM(I105-I104),I105)</f>
        <v>0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339136</v>
      </c>
      <c r="N105" s="112" t="n">
        <f aca="false">SUM(J$6:J105)</f>
        <v>327433</v>
      </c>
      <c r="P105" s="112" t="n">
        <f aca="false">D105/P$3</f>
        <v>-2.46232184060924</v>
      </c>
      <c r="Q105" s="112" t="n">
        <f aca="false">E105/P$3</f>
        <v>0.540935356509929</v>
      </c>
      <c r="R105" s="112" t="n">
        <f aca="false">F105/R$3</f>
        <v>0</v>
      </c>
      <c r="S105" s="114" t="n">
        <f aca="false">J105/$R$3</f>
        <v>0</v>
      </c>
      <c r="T105" s="114" t="n">
        <f aca="false">L105/$R$3</f>
        <v>0</v>
      </c>
      <c r="U105" s="114" t="n">
        <f aca="false">I105/$R$3</f>
        <v>339.136</v>
      </c>
      <c r="V105" s="114" t="n">
        <f aca="false">M105/$R$3</f>
        <v>339.136</v>
      </c>
      <c r="W105" s="114" t="n">
        <f aca="false">N105/$R$3</f>
        <v>327.433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Data'!$A$2:$B$8,MATCH(WEEKDAY('ARG Gas Firm'!A106,3),'Master Data'!$A$2:$A$8,0),2)</f>
        <v>W</v>
      </c>
      <c r="D106" s="112" t="n">
        <v>-2464230.2338954</v>
      </c>
      <c r="E106" s="112" t="n">
        <v>541080.499367072</v>
      </c>
      <c r="F106" s="112" t="n">
        <v>0</v>
      </c>
      <c r="G106" s="112" t="n">
        <v>339137</v>
      </c>
      <c r="I106" s="112" t="n">
        <f aca="false">IF(MONTH($A106)=MONTH($A105),IF(G106=0,I105,G106),G106)</f>
        <v>339137</v>
      </c>
      <c r="J106" s="112" t="n">
        <f aca="false">IF(MONTH($A106)=MONTH($A105),SUM(I106-I105),I106)</f>
        <v>1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339137</v>
      </c>
      <c r="N106" s="112" t="n">
        <f aca="false">SUM(J$6:J106)</f>
        <v>327434</v>
      </c>
      <c r="P106" s="112" t="n">
        <f aca="false">D106/P$3</f>
        <v>-2.4642302338954</v>
      </c>
      <c r="Q106" s="112" t="n">
        <f aca="false">E106/P$3</f>
        <v>0.541080499367072</v>
      </c>
      <c r="R106" s="112" t="n">
        <f aca="false">F106/R$3</f>
        <v>0</v>
      </c>
      <c r="S106" s="114" t="n">
        <f aca="false">J106/$R$3</f>
        <v>0.001</v>
      </c>
      <c r="T106" s="114" t="n">
        <f aca="false">L106/$R$3</f>
        <v>0</v>
      </c>
      <c r="U106" s="114" t="n">
        <f aca="false">I106/$R$3</f>
        <v>339.137</v>
      </c>
      <c r="V106" s="114" t="n">
        <f aca="false">M106/$R$3</f>
        <v>339.137</v>
      </c>
      <c r="W106" s="114" t="n">
        <f aca="false">N106/$R$3</f>
        <v>327.434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Data'!$A$2:$B$8,MATCH(WEEKDAY('ARG Gas Firm'!A107,3),'Master Data'!$A$2:$A$8,0),2)</f>
        <v>Th</v>
      </c>
      <c r="D107" s="112" t="n">
        <v>-2452367.70994564</v>
      </c>
      <c r="E107" s="112" t="n">
        <v>541038.445891136</v>
      </c>
      <c r="F107" s="112" t="n">
        <v>0</v>
      </c>
      <c r="G107" s="112" t="n">
        <v>339137</v>
      </c>
      <c r="I107" s="112" t="n">
        <f aca="false">IF(MONTH($A107)=MONTH($A106),IF(G107=0,I106,G107),G107)</f>
        <v>339137</v>
      </c>
      <c r="J107" s="112" t="n">
        <f aca="false">IF(MONTH($A107)=MONTH($A106),SUM(I107-I106),I107)</f>
        <v>0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339137</v>
      </c>
      <c r="N107" s="112" t="n">
        <f aca="false">SUM(J$6:J107)</f>
        <v>327434</v>
      </c>
      <c r="P107" s="112" t="n">
        <f aca="false">D107/P$3</f>
        <v>-2.45236770994564</v>
      </c>
      <c r="Q107" s="112" t="n">
        <f aca="false">E107/P$3</f>
        <v>0.541038445891136</v>
      </c>
      <c r="R107" s="112" t="n">
        <f aca="false">F107/R$3</f>
        <v>0</v>
      </c>
      <c r="S107" s="114" t="n">
        <f aca="false">J107/$R$3</f>
        <v>0</v>
      </c>
      <c r="T107" s="114" t="n">
        <f aca="false">L107/$R$3</f>
        <v>0</v>
      </c>
      <c r="U107" s="114" t="n">
        <f aca="false">I107/$R$3</f>
        <v>339.137</v>
      </c>
      <c r="V107" s="114" t="n">
        <f aca="false">M107/$R$3</f>
        <v>339.137</v>
      </c>
      <c r="W107" s="114" t="n">
        <f aca="false">N107/$R$3</f>
        <v>327.434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Data'!$A$2:$B$8,MATCH(WEEKDAY('ARG Gas Firm'!A108,3),'Master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339137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339137</v>
      </c>
      <c r="N108" s="112" t="n">
        <f aca="false">SUM(J$6:J108)</f>
        <v>327434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339.137</v>
      </c>
      <c r="V108" s="114" t="n">
        <f aca="false">M108/$R$3</f>
        <v>339.137</v>
      </c>
      <c r="W108" s="114" t="n">
        <f aca="false">N108/$R$3</f>
        <v>327.434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Data'!$A$2:$B$8,MATCH(WEEKDAY('ARG Gas Firm'!A109,3),'Master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339137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339137</v>
      </c>
      <c r="N109" s="112" t="n">
        <f aca="false">SUM(J$6:J109)</f>
        <v>327434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339.137</v>
      </c>
      <c r="V109" s="114" t="n">
        <f aca="false">M109/$R$3</f>
        <v>339.137</v>
      </c>
      <c r="W109" s="114" t="n">
        <f aca="false">N109/$R$3</f>
        <v>327.434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Data'!$A$2:$B$8,MATCH(WEEKDAY('ARG Gas Firm'!A110,3),'Master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339137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339137</v>
      </c>
      <c r="N110" s="112" t="n">
        <f aca="false">SUM(J$6:J110)</f>
        <v>327434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339.137</v>
      </c>
      <c r="V110" s="114" t="n">
        <f aca="false">M110/$R$3</f>
        <v>339.137</v>
      </c>
      <c r="W110" s="114" t="n">
        <f aca="false">N110/$R$3</f>
        <v>327.434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Data'!$A$2:$B$8,MATCH(WEEKDAY('ARG Gas Firm'!A111,3),'Master Data'!$A$2:$A$8,0),2)</f>
        <v>M</v>
      </c>
      <c r="D111" s="112" t="n">
        <v>-2425360.70883479</v>
      </c>
      <c r="E111" s="112" t="n">
        <v>541019.963256976</v>
      </c>
      <c r="F111" s="112" t="n">
        <v>0</v>
      </c>
      <c r="G111" s="112" t="n">
        <v>339134</v>
      </c>
      <c r="I111" s="112" t="n">
        <f aca="false">IF(MONTH($A111)=MONTH($A110),IF(G111=0,I110,G111),G111)</f>
        <v>339134</v>
      </c>
      <c r="J111" s="112" t="n">
        <f aca="false">IF(MONTH($A111)=MONTH($A110),SUM(I111-I110),I111)</f>
        <v>-3</v>
      </c>
      <c r="K111" s="112" t="n">
        <f aca="false">IF(WEEKDAY(A111,3)&gt;4,0,(IF(A111&lt;K$2,0,IF(A111&lt;=K$3,1,0))))</f>
        <v>0</v>
      </c>
      <c r="L111" s="112" t="n">
        <f aca="false">J111*K111</f>
        <v>-0</v>
      </c>
      <c r="M111" s="112" t="n">
        <f aca="false">SUM(J$97:J111)</f>
        <v>339134</v>
      </c>
      <c r="N111" s="112" t="n">
        <f aca="false">SUM(J$6:J111)</f>
        <v>327431</v>
      </c>
      <c r="P111" s="112" t="n">
        <f aca="false">D111/P$3</f>
        <v>-2.42536070883479</v>
      </c>
      <c r="Q111" s="112" t="n">
        <f aca="false">E111/P$3</f>
        <v>0.541019963256976</v>
      </c>
      <c r="R111" s="112" t="n">
        <f aca="false">F111/R$3</f>
        <v>0</v>
      </c>
      <c r="S111" s="114" t="n">
        <f aca="false">J111/$R$3</f>
        <v>-0.003</v>
      </c>
      <c r="T111" s="114" t="n">
        <f aca="false">L111/$R$3</f>
        <v>-0</v>
      </c>
      <c r="U111" s="114" t="n">
        <f aca="false">I111/$R$3</f>
        <v>339.134</v>
      </c>
      <c r="V111" s="114" t="n">
        <f aca="false">M111/$R$3</f>
        <v>339.134</v>
      </c>
      <c r="W111" s="114" t="n">
        <f aca="false">N111/$R$3</f>
        <v>327.431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Data'!$A$2:$B$8,MATCH(WEEKDAY('ARG Gas Firm'!A112,3),'Master Data'!$A$2:$A$8,0),2)</f>
        <v>T</v>
      </c>
      <c r="D112" s="112" t="n">
        <v>-2444742.86993427</v>
      </c>
      <c r="E112" s="112" t="n">
        <v>541285.262231375</v>
      </c>
      <c r="F112" s="112" t="n">
        <v>0</v>
      </c>
      <c r="G112" s="112" t="n">
        <v>339135</v>
      </c>
      <c r="I112" s="112" t="n">
        <f aca="false">IF(MONTH($A112)=MONTH($A111),IF(G112=0,I111,G112),G112)</f>
        <v>339135</v>
      </c>
      <c r="J112" s="112" t="n">
        <f aca="false">IF(MONTH($A112)=MONTH($A111),SUM(I112-I111),I112)</f>
        <v>1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339135</v>
      </c>
      <c r="N112" s="112" t="n">
        <f aca="false">SUM(J$6:J112)</f>
        <v>327432</v>
      </c>
      <c r="P112" s="112" t="n">
        <f aca="false">D112/P$3</f>
        <v>-2.44474286993427</v>
      </c>
      <c r="Q112" s="112" t="n">
        <f aca="false">E112/P$3</f>
        <v>0.541285262231375</v>
      </c>
      <c r="R112" s="112" t="n">
        <f aca="false">F112/R$3</f>
        <v>0</v>
      </c>
      <c r="S112" s="114" t="n">
        <f aca="false">J112/$R$3</f>
        <v>0.001</v>
      </c>
      <c r="T112" s="114" t="n">
        <f aca="false">L112/$R$3</f>
        <v>0</v>
      </c>
      <c r="U112" s="114" t="n">
        <f aca="false">I112/$R$3</f>
        <v>339.135</v>
      </c>
      <c r="V112" s="114" t="n">
        <f aca="false">M112/$R$3</f>
        <v>339.135</v>
      </c>
      <c r="W112" s="114" t="n">
        <f aca="false">N112/$R$3</f>
        <v>327.432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Data'!$A$2:$B$8,MATCH(WEEKDAY('ARG Gas Firm'!A113,3),'Master Data'!$A$2:$A$8,0),2)</f>
        <v>W</v>
      </c>
      <c r="D113" s="112" t="n">
        <v>-2470909.08444695</v>
      </c>
      <c r="E113" s="112" t="n">
        <v>542004.675328366</v>
      </c>
      <c r="F113" s="112" t="n">
        <v>0</v>
      </c>
      <c r="G113" s="112" t="n">
        <v>339135</v>
      </c>
      <c r="I113" s="112" t="n">
        <f aca="false">IF(MONTH($A113)=MONTH($A112),IF(G113=0,I112,G113),G113)</f>
        <v>339135</v>
      </c>
      <c r="J113" s="112" t="n">
        <f aca="false">IF(MONTH($A113)=MONTH($A112),SUM(I113-I112),I113)</f>
        <v>0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339135</v>
      </c>
      <c r="N113" s="112" t="n">
        <f aca="false">SUM(J$6:J113)</f>
        <v>327432</v>
      </c>
      <c r="P113" s="112" t="n">
        <f aca="false">D113/P$3</f>
        <v>-2.47090908444695</v>
      </c>
      <c r="Q113" s="112" t="n">
        <f aca="false">E113/P$3</f>
        <v>0.542004675328366</v>
      </c>
      <c r="R113" s="112" t="n">
        <f aca="false">F113/R$3</f>
        <v>0</v>
      </c>
      <c r="S113" s="114" t="n">
        <f aca="false">J113/$R$3</f>
        <v>0</v>
      </c>
      <c r="T113" s="114" t="n">
        <f aca="false">L113/$R$3</f>
        <v>0</v>
      </c>
      <c r="U113" s="114" t="n">
        <f aca="false">I113/$R$3</f>
        <v>339.135</v>
      </c>
      <c r="V113" s="114" t="n">
        <f aca="false">M113/$R$3</f>
        <v>339.135</v>
      </c>
      <c r="W113" s="114" t="n">
        <f aca="false">N113/$R$3</f>
        <v>327.432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Data'!$A$2:$B$8,MATCH(WEEKDAY('ARG Gas Firm'!A114,3),'Master Data'!$A$2:$A$8,0),2)</f>
        <v>Th</v>
      </c>
      <c r="D114" s="112" t="n">
        <v>-2448162.07930234</v>
      </c>
      <c r="E114" s="112" t="n">
        <v>542471.178522529</v>
      </c>
      <c r="F114" s="112" t="n">
        <v>0</v>
      </c>
      <c r="G114" s="112" t="n">
        <v>339133</v>
      </c>
      <c r="I114" s="112" t="n">
        <f aca="false">IF(MONTH($A114)=MONTH($A113),IF(G114=0,I113,G114),G114)</f>
        <v>339133</v>
      </c>
      <c r="J114" s="112" t="n">
        <f aca="false">IF(MONTH($A114)=MONTH($A113),SUM(I114-I113),I114)</f>
        <v>-2</v>
      </c>
      <c r="K114" s="112" t="n">
        <f aca="false">IF(WEEKDAY(A114,3)&gt;4,0,(IF(A114&lt;K$2,0,IF(A114&lt;=K$3,1,0))))</f>
        <v>0</v>
      </c>
      <c r="L114" s="112" t="n">
        <f aca="false">J114*K114</f>
        <v>-0</v>
      </c>
      <c r="M114" s="112" t="n">
        <f aca="false">SUM(J$97:J114)</f>
        <v>339133</v>
      </c>
      <c r="N114" s="112" t="n">
        <f aca="false">SUM(J$6:J114)</f>
        <v>327430</v>
      </c>
      <c r="P114" s="112" t="n">
        <f aca="false">D114/P$3</f>
        <v>-2.44816207930234</v>
      </c>
      <c r="Q114" s="112" t="n">
        <f aca="false">E114/P$3</f>
        <v>0.542471178522529</v>
      </c>
      <c r="R114" s="112" t="n">
        <f aca="false">F114/R$3</f>
        <v>0</v>
      </c>
      <c r="S114" s="114" t="n">
        <f aca="false">J114/$R$3</f>
        <v>-0.002</v>
      </c>
      <c r="T114" s="114" t="n">
        <f aca="false">L114/$R$3</f>
        <v>-0</v>
      </c>
      <c r="U114" s="114" t="n">
        <f aca="false">I114/$R$3</f>
        <v>339.133</v>
      </c>
      <c r="V114" s="114" t="n">
        <f aca="false">M114/$R$3</f>
        <v>339.133</v>
      </c>
      <c r="W114" s="114" t="n">
        <f aca="false">N114/$R$3</f>
        <v>327.43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Data'!$A$2:$B$8,MATCH(WEEKDAY('ARG Gas Firm'!A115,3),'Master Data'!$A$2:$A$8,0),2)</f>
        <v>F</v>
      </c>
      <c r="D115" s="112" t="n">
        <v>-2443291.71891365</v>
      </c>
      <c r="E115" s="112" t="n">
        <v>542658.946313703</v>
      </c>
      <c r="F115" s="112" t="n">
        <v>0</v>
      </c>
      <c r="G115" s="112" t="n">
        <v>339132</v>
      </c>
      <c r="I115" s="112" t="n">
        <f aca="false">IF(MONTH($A115)=MONTH($A114),IF(G115=0,I114,G115),G115)</f>
        <v>339132</v>
      </c>
      <c r="J115" s="112" t="n">
        <f aca="false">IF(MONTH($A115)=MONTH($A114),SUM(I115-I114),I115)</f>
        <v>-1</v>
      </c>
      <c r="K115" s="112" t="n">
        <f aca="false">IF(WEEKDAY(A115,3)&gt;4,0,(IF(A115&lt;K$2,0,IF(A115&lt;=K$3,1,0))))</f>
        <v>0</v>
      </c>
      <c r="L115" s="112" t="n">
        <f aca="false">J115*K115</f>
        <v>-0</v>
      </c>
      <c r="M115" s="112" t="n">
        <f aca="false">SUM(J$97:J115)</f>
        <v>339132</v>
      </c>
      <c r="N115" s="112" t="n">
        <f aca="false">SUM(J$6:J115)</f>
        <v>327429</v>
      </c>
      <c r="P115" s="112" t="n">
        <f aca="false">D115/P$3</f>
        <v>-2.44329171891365</v>
      </c>
      <c r="Q115" s="112" t="n">
        <f aca="false">E115/P$3</f>
        <v>0.542658946313703</v>
      </c>
      <c r="R115" s="112" t="n">
        <f aca="false">F115/R$3</f>
        <v>0</v>
      </c>
      <c r="S115" s="114" t="n">
        <f aca="false">J115/$R$3</f>
        <v>-0.001</v>
      </c>
      <c r="T115" s="114" t="n">
        <f aca="false">L115/$R$3</f>
        <v>-0</v>
      </c>
      <c r="U115" s="114" t="n">
        <f aca="false">I115/$R$3</f>
        <v>339.132</v>
      </c>
      <c r="V115" s="114" t="n">
        <f aca="false">M115/$R$3</f>
        <v>339.132</v>
      </c>
      <c r="W115" s="114" t="n">
        <f aca="false">N115/$R$3</f>
        <v>327.429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Data'!$A$2:$B$8,MATCH(WEEKDAY('ARG Gas Firm'!A116,3),'Master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339132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339132</v>
      </c>
      <c r="N116" s="112" t="n">
        <f aca="false">SUM(J$6:J116)</f>
        <v>327429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339.132</v>
      </c>
      <c r="V116" s="114" t="n">
        <f aca="false">M116/$R$3</f>
        <v>339.132</v>
      </c>
      <c r="W116" s="114" t="n">
        <f aca="false">N116/$R$3</f>
        <v>327.429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Data'!$A$2:$B$8,MATCH(WEEKDAY('ARG Gas Firm'!A117,3),'Master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339132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339132</v>
      </c>
      <c r="N117" s="112" t="n">
        <f aca="false">SUM(J$6:J117)</f>
        <v>327429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339.132</v>
      </c>
      <c r="V117" s="114" t="n">
        <f aca="false">M117/$R$3</f>
        <v>339.132</v>
      </c>
      <c r="W117" s="114" t="n">
        <f aca="false">N117/$R$3</f>
        <v>327.429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Data'!$A$2:$B$8,MATCH(WEEKDAY('ARG Gas Firm'!A118,3),'Master Data'!$A$2:$A$8,0),2)</f>
        <v>M</v>
      </c>
      <c r="D118" s="112" t="n">
        <v>-2468308.59719593</v>
      </c>
      <c r="E118" s="112" t="n">
        <v>543055.79894672</v>
      </c>
      <c r="F118" s="112" t="n">
        <v>0</v>
      </c>
      <c r="G118" s="112" t="n">
        <v>417246</v>
      </c>
      <c r="I118" s="112" t="n">
        <f aca="false">IF(MONTH($A118)=MONTH($A117),IF(G118=0,I117,G118),G118)</f>
        <v>417246</v>
      </c>
      <c r="J118" s="112" t="n">
        <f aca="false">IF(MONTH($A118)=MONTH($A117),SUM(I118-I117),I118)</f>
        <v>78114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417246</v>
      </c>
      <c r="N118" s="112" t="n">
        <f aca="false">SUM(J$6:J118)</f>
        <v>405543</v>
      </c>
      <c r="P118" s="112" t="n">
        <f aca="false">D118/P$3</f>
        <v>-2.46830859719593</v>
      </c>
      <c r="Q118" s="112" t="n">
        <f aca="false">E118/P$3</f>
        <v>0.54305579894672</v>
      </c>
      <c r="R118" s="112" t="n">
        <f aca="false">F118/R$3</f>
        <v>0</v>
      </c>
      <c r="S118" s="114" t="n">
        <f aca="false">J118/$R$3</f>
        <v>78.114</v>
      </c>
      <c r="T118" s="114" t="n">
        <f aca="false">L118/$R$3</f>
        <v>0</v>
      </c>
      <c r="U118" s="114" t="n">
        <f aca="false">I118/$R$3</f>
        <v>417.246</v>
      </c>
      <c r="V118" s="114" t="n">
        <f aca="false">M118/$R$3</f>
        <v>417.246</v>
      </c>
      <c r="W118" s="114" t="n">
        <f aca="false">N118/$R$3</f>
        <v>405.543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Data'!$A$2:$B$8,MATCH(WEEKDAY('ARG Gas Firm'!A119,3),'Master Data'!$A$2:$A$8,0),2)</f>
        <v>T</v>
      </c>
      <c r="D119" s="112" t="n">
        <v>-2459142.12032639</v>
      </c>
      <c r="E119" s="112" t="n">
        <v>543134.630145075</v>
      </c>
      <c r="F119" s="112" t="n">
        <v>0</v>
      </c>
      <c r="G119" s="112" t="n">
        <v>417248</v>
      </c>
      <c r="I119" s="112" t="n">
        <f aca="false">IF(MONTH($A119)=MONTH($A118),IF(G119=0,I118,G119),G119)</f>
        <v>417248</v>
      </c>
      <c r="J119" s="112" t="n">
        <f aca="false">IF(MONTH($A119)=MONTH($A118),SUM(I119-I118),I119)</f>
        <v>2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417248</v>
      </c>
      <c r="N119" s="112" t="n">
        <f aca="false">SUM(J$6:J119)</f>
        <v>405545</v>
      </c>
      <c r="P119" s="112" t="n">
        <f aca="false">D119/P$3</f>
        <v>-2.45914212032639</v>
      </c>
      <c r="Q119" s="112" t="n">
        <f aca="false">E119/P$3</f>
        <v>0.543134630145075</v>
      </c>
      <c r="R119" s="112" t="n">
        <f aca="false">F119/R$3</f>
        <v>0</v>
      </c>
      <c r="S119" s="114" t="n">
        <f aca="false">J119/$R$3</f>
        <v>0.002</v>
      </c>
      <c r="T119" s="114" t="n">
        <f aca="false">L119/$R$3</f>
        <v>0</v>
      </c>
      <c r="U119" s="114" t="n">
        <f aca="false">I119/$R$3</f>
        <v>417.248</v>
      </c>
      <c r="V119" s="114" t="n">
        <f aca="false">M119/$R$3</f>
        <v>417.248</v>
      </c>
      <c r="W119" s="114" t="n">
        <f aca="false">N119/$R$3</f>
        <v>405.545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Data'!$A$2:$B$8,MATCH(WEEKDAY('ARG Gas Firm'!A120,3),'Master Data'!$A$2:$A$8,0),2)</f>
        <v>W</v>
      </c>
      <c r="D120" s="112" t="n">
        <v>-2446887.12646007</v>
      </c>
      <c r="E120" s="112" t="n">
        <v>543068.981255744</v>
      </c>
      <c r="F120" s="112" t="n">
        <v>0</v>
      </c>
      <c r="G120" s="112" t="n">
        <v>417248</v>
      </c>
      <c r="I120" s="112" t="n">
        <f aca="false">IF(MONTH($A120)=MONTH($A119),IF(G120=0,I119,G120),G120)</f>
        <v>417248</v>
      </c>
      <c r="J120" s="112" t="n">
        <f aca="false">IF(MONTH($A120)=MONTH($A119),SUM(I120-I119),I120)</f>
        <v>0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417248</v>
      </c>
      <c r="N120" s="112" t="n">
        <f aca="false">SUM(J$6:J120)</f>
        <v>405545</v>
      </c>
      <c r="P120" s="112" t="n">
        <f aca="false">D120/P$3</f>
        <v>-2.44688712646007</v>
      </c>
      <c r="Q120" s="112" t="n">
        <f aca="false">E120/P$3</f>
        <v>0.543068981255744</v>
      </c>
      <c r="R120" s="112" t="n">
        <f aca="false">F120/R$3</f>
        <v>0</v>
      </c>
      <c r="S120" s="114" t="n">
        <f aca="false">J120/$R$3</f>
        <v>0</v>
      </c>
      <c r="T120" s="114" t="n">
        <f aca="false">L120/$R$3</f>
        <v>0</v>
      </c>
      <c r="U120" s="114" t="n">
        <f aca="false">I120/$R$3</f>
        <v>417.248</v>
      </c>
      <c r="V120" s="114" t="n">
        <f aca="false">M120/$R$3</f>
        <v>417.248</v>
      </c>
      <c r="W120" s="114" t="n">
        <f aca="false">N120/$R$3</f>
        <v>405.545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Data'!$A$2:$B$8,MATCH(WEEKDAY('ARG Gas Firm'!A121,3),'Master Data'!$A$2:$A$8,0),2)</f>
        <v>Th</v>
      </c>
      <c r="D121" s="112" t="n">
        <v>-2467385.60642597</v>
      </c>
      <c r="E121" s="112" t="n">
        <v>543222.313902636</v>
      </c>
      <c r="F121" s="112" t="n">
        <v>0</v>
      </c>
      <c r="G121" s="112" t="n">
        <v>417248</v>
      </c>
      <c r="I121" s="112" t="n">
        <f aca="false">IF(MONTH($A121)=MONTH($A120),IF(G121=0,I120,G121),G121)</f>
        <v>417248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417248</v>
      </c>
      <c r="N121" s="112" t="n">
        <f aca="false">SUM(J$6:J121)</f>
        <v>405545</v>
      </c>
      <c r="P121" s="112" t="n">
        <f aca="false">D121/P$3</f>
        <v>-2.46738560642597</v>
      </c>
      <c r="Q121" s="112" t="n">
        <f aca="false">E121/P$3</f>
        <v>0.543222313902636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417.248</v>
      </c>
      <c r="V121" s="114" t="n">
        <f aca="false">M121/$R$3</f>
        <v>417.248</v>
      </c>
      <c r="W121" s="114" t="n">
        <f aca="false">N121/$R$3</f>
        <v>405.545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Data'!$A$2:$B$8,MATCH(WEEKDAY('ARG Gas Firm'!A122,3),'Master Data'!$A$2:$A$8,0),2)</f>
        <v>F</v>
      </c>
      <c r="D122" s="112" t="n">
        <v>-2439370.79597953</v>
      </c>
      <c r="E122" s="112" t="n">
        <v>543094.504076202</v>
      </c>
      <c r="F122" s="112" t="n">
        <v>0</v>
      </c>
      <c r="G122" s="112" t="n">
        <v>435248</v>
      </c>
      <c r="I122" s="112" t="n">
        <f aca="false">IF(MONTH($A122)=MONTH($A121),IF(G122=0,I121,G122),G122)</f>
        <v>435248</v>
      </c>
      <c r="J122" s="112" t="n">
        <f aca="false">IF(MONTH($A122)=MONTH($A121),SUM(I122-I121),I122)</f>
        <v>18000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435248</v>
      </c>
      <c r="N122" s="112" t="n">
        <f aca="false">SUM(J$6:J122)</f>
        <v>423545</v>
      </c>
      <c r="P122" s="112" t="n">
        <f aca="false">D122/P$3</f>
        <v>-2.43937079597953</v>
      </c>
      <c r="Q122" s="112" t="n">
        <f aca="false">E122/P$3</f>
        <v>0.543094504076202</v>
      </c>
      <c r="R122" s="112" t="n">
        <f aca="false">F122/R$3</f>
        <v>0</v>
      </c>
      <c r="S122" s="114" t="n">
        <f aca="false">J122/$R$3</f>
        <v>18</v>
      </c>
      <c r="T122" s="114" t="n">
        <f aca="false">L122/$R$3</f>
        <v>0</v>
      </c>
      <c r="U122" s="114" t="n">
        <f aca="false">I122/$R$3</f>
        <v>435.248</v>
      </c>
      <c r="V122" s="114" t="n">
        <f aca="false">M122/$R$3</f>
        <v>435.248</v>
      </c>
      <c r="W122" s="114" t="n">
        <f aca="false">N122/$R$3</f>
        <v>423.545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Data'!$A$2:$B$8,MATCH(WEEKDAY('ARG Gas Firm'!A123,3),'Master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435248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435248</v>
      </c>
      <c r="N123" s="112" t="n">
        <f aca="false">SUM(J$6:J123)</f>
        <v>423545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435.248</v>
      </c>
      <c r="V123" s="114" t="n">
        <f aca="false">M123/$R$3</f>
        <v>435.248</v>
      </c>
      <c r="W123" s="114" t="n">
        <f aca="false">N123/$R$3</f>
        <v>423.545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Data'!$A$2:$B$8,MATCH(WEEKDAY('ARG Gas Firm'!A124,3),'Master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435248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435248</v>
      </c>
      <c r="N124" s="112" t="n">
        <f aca="false">SUM(J$6:J124)</f>
        <v>423545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435.248</v>
      </c>
      <c r="V124" s="114" t="n">
        <f aca="false">M124/$R$3</f>
        <v>435.248</v>
      </c>
      <c r="W124" s="114" t="n">
        <f aca="false">N124/$R$3</f>
        <v>423.545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Data'!$A$2:$B$8,MATCH(WEEKDAY('ARG Gas Firm'!A125,3),'Master Data'!$A$2:$A$8,0),2)</f>
        <v>M</v>
      </c>
      <c r="D125" s="112" t="n">
        <v>-2372513.52672874</v>
      </c>
      <c r="E125" s="112" t="n">
        <v>543264.454600813</v>
      </c>
      <c r="F125" s="112" t="n">
        <v>0</v>
      </c>
      <c r="G125" s="112" t="n">
        <v>435247</v>
      </c>
      <c r="I125" s="112" t="n">
        <f aca="false">IF(MONTH($A125)=MONTH($A124),IF(G125=0,I124,G125),G125)</f>
        <v>435247</v>
      </c>
      <c r="J125" s="112" t="n">
        <f aca="false">IF(MONTH($A125)=MONTH($A124),SUM(I125-I124),I125)</f>
        <v>-1</v>
      </c>
      <c r="K125" s="112" t="n">
        <f aca="false">IF(WEEKDAY(A125,3)&gt;4,0,(IF(A125&lt;K$2,0,IF(A125&lt;=K$3,1,0))))</f>
        <v>0</v>
      </c>
      <c r="L125" s="112" t="n">
        <f aca="false">J125*K125</f>
        <v>-0</v>
      </c>
      <c r="M125" s="112" t="n">
        <f aca="false">SUM(J$97:J125)</f>
        <v>435247</v>
      </c>
      <c r="N125" s="112" t="n">
        <f aca="false">SUM(J$6:J125)</f>
        <v>423544</v>
      </c>
      <c r="P125" s="112" t="n">
        <f aca="false">D125/P$3</f>
        <v>-2.37251352672874</v>
      </c>
      <c r="Q125" s="112" t="n">
        <f aca="false">E125/P$3</f>
        <v>0.543264454600813</v>
      </c>
      <c r="R125" s="112" t="n">
        <f aca="false">F125/R$3</f>
        <v>0</v>
      </c>
      <c r="S125" s="114" t="n">
        <f aca="false">J125/$R$3</f>
        <v>-0.001</v>
      </c>
      <c r="T125" s="114" t="n">
        <f aca="false">L125/$R$3</f>
        <v>-0</v>
      </c>
      <c r="U125" s="114" t="n">
        <f aca="false">I125/$R$3</f>
        <v>435.247</v>
      </c>
      <c r="V125" s="114" t="n">
        <f aca="false">M125/$R$3</f>
        <v>435.247</v>
      </c>
      <c r="W125" s="114" t="n">
        <f aca="false">N125/$R$3</f>
        <v>423.544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Data'!$A$2:$B$8,MATCH(WEEKDAY('ARG Gas Firm'!A126,3),'Master Data'!$A$2:$A$8,0),2)</f>
        <v>T</v>
      </c>
      <c r="D126" s="112" t="n">
        <v>-2383746.42629068</v>
      </c>
      <c r="E126" s="112" t="n">
        <v>543479.284422597</v>
      </c>
      <c r="F126" s="112" t="n">
        <v>0</v>
      </c>
      <c r="G126" s="112" t="n">
        <v>49</v>
      </c>
      <c r="I126" s="112" t="n">
        <f aca="false">IF(MONTH($A126)=MONTH($A125),IF(G126=0,I125,G126),G126)</f>
        <v>49</v>
      </c>
      <c r="J126" s="112" t="n">
        <f aca="false">IF(MONTH($A126)=MONTH($A125),SUM(I126-I125),I126)</f>
        <v>49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435296</v>
      </c>
      <c r="N126" s="112" t="n">
        <f aca="false">SUM(J$6:J126)</f>
        <v>423593</v>
      </c>
      <c r="P126" s="112" t="n">
        <f aca="false">D126/P$3</f>
        <v>-2.38374642629068</v>
      </c>
      <c r="Q126" s="112" t="n">
        <f aca="false">E126/P$3</f>
        <v>0.543479284422596</v>
      </c>
      <c r="R126" s="112" t="n">
        <f aca="false">F126/R$3</f>
        <v>0</v>
      </c>
      <c r="S126" s="114" t="n">
        <f aca="false">J126/$R$3</f>
        <v>0.049</v>
      </c>
      <c r="T126" s="114" t="n">
        <f aca="false">L126/$R$3</f>
        <v>0</v>
      </c>
      <c r="U126" s="114" t="n">
        <f aca="false">I126/$R$3</f>
        <v>0.049</v>
      </c>
      <c r="V126" s="114" t="n">
        <f aca="false">M126/$R$3</f>
        <v>435.296</v>
      </c>
      <c r="W126" s="114" t="n">
        <f aca="false">N126/$R$3</f>
        <v>423.593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Data'!$A$2:$B$8,MATCH(WEEKDAY('ARG Gas Firm'!A127,3),'Master Data'!$A$2:$A$8,0),2)</f>
        <v>W</v>
      </c>
      <c r="D127" s="112" t="n">
        <v>-2389679.8930998</v>
      </c>
      <c r="E127" s="112" t="n">
        <v>543480.706022594</v>
      </c>
      <c r="F127" s="112" t="n">
        <v>0</v>
      </c>
      <c r="G127" s="112" t="n">
        <v>-3341</v>
      </c>
      <c r="I127" s="112" t="n">
        <f aca="false">IF(MONTH($A127)=MONTH($A126),IF(G127=0,I126,G127),G127)</f>
        <v>-3341</v>
      </c>
      <c r="J127" s="112" t="n">
        <f aca="false">IF(MONTH($A127)=MONTH($A126),SUM(I127-I126),I127)</f>
        <v>-3390</v>
      </c>
      <c r="K127" s="112" t="n">
        <f aca="false">IF(WEEKDAY(A127,3)&gt;4,0,(IF(A127&lt;K$2,0,IF(A127&lt;=K$3,1,0))))</f>
        <v>0</v>
      </c>
      <c r="L127" s="112" t="n">
        <f aca="false">J127*K127</f>
        <v>-0</v>
      </c>
      <c r="M127" s="112" t="n">
        <f aca="false">SUM(J$97:J127)</f>
        <v>431906</v>
      </c>
      <c r="N127" s="112" t="n">
        <f aca="false">SUM(J$6:J127)</f>
        <v>420203</v>
      </c>
      <c r="P127" s="112" t="n">
        <f aca="false">D127/P$3</f>
        <v>-2.3896798930998</v>
      </c>
      <c r="Q127" s="112" t="n">
        <f aca="false">E127/P$3</f>
        <v>0.543480706022594</v>
      </c>
      <c r="R127" s="112" t="n">
        <f aca="false">F127/R$3</f>
        <v>0</v>
      </c>
      <c r="S127" s="114" t="n">
        <f aca="false">J127/$R$3</f>
        <v>-3.39</v>
      </c>
      <c r="T127" s="114" t="n">
        <f aca="false">L127/$R$3</f>
        <v>-0</v>
      </c>
      <c r="U127" s="114" t="n">
        <f aca="false">I127/$R$3</f>
        <v>-3.341</v>
      </c>
      <c r="V127" s="114" t="n">
        <f aca="false">M127/$R$3</f>
        <v>431.906</v>
      </c>
      <c r="W127" s="114" t="n">
        <f aca="false">N127/$R$3</f>
        <v>420.203</v>
      </c>
    </row>
    <row r="128" customFormat="false" ht="12" hidden="true" customHeight="true" outlineLevel="0" collapsed="false">
      <c r="A128" s="108" t="n">
        <f aca="false">A127+1</f>
        <v>37014</v>
      </c>
      <c r="B128" s="119" t="str">
        <f aca="false">INDEX('Master Data'!$A$2:$B$8,MATCH(WEEKDAY('ARG Gas Firm'!A128,3),'Master Data'!$A$2:$A$8,0),2)</f>
        <v>Th</v>
      </c>
      <c r="D128" s="112" t="n">
        <v>-2407167.90540406</v>
      </c>
      <c r="E128" s="112" t="n">
        <v>543643.278720711</v>
      </c>
      <c r="F128" s="112" t="n">
        <v>0</v>
      </c>
      <c r="G128" s="112" t="n">
        <v>-3341</v>
      </c>
      <c r="I128" s="112" t="n">
        <f aca="false">IF(MONTH($A128)=MONTH($A127),IF(G128=0,I127,G128),G128)</f>
        <v>-3341</v>
      </c>
      <c r="J128" s="112" t="n">
        <f aca="false">IF(MONTH($A128)=MONTH($A127),SUM(I128-I127),I128)</f>
        <v>0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431906</v>
      </c>
      <c r="N128" s="112" t="n">
        <f aca="false">SUM(J$6:J128)</f>
        <v>420203</v>
      </c>
      <c r="P128" s="112" t="n">
        <f aca="false">D128/P$3</f>
        <v>-2.40716790540406</v>
      </c>
      <c r="Q128" s="112" t="n">
        <f aca="false">E128/P$3</f>
        <v>0.543643278720711</v>
      </c>
      <c r="R128" s="112" t="n">
        <f aca="false">F128/R$3</f>
        <v>0</v>
      </c>
      <c r="S128" s="114" t="n">
        <f aca="false">J128/$R$3</f>
        <v>0</v>
      </c>
      <c r="T128" s="114" t="n">
        <f aca="false">L128/$R$3</f>
        <v>0</v>
      </c>
      <c r="U128" s="114" t="n">
        <f aca="false">I128/$R$3</f>
        <v>-3.341</v>
      </c>
      <c r="V128" s="114" t="n">
        <f aca="false">M128/$R$3</f>
        <v>431.906</v>
      </c>
      <c r="W128" s="114" t="n">
        <f aca="false">N128/$R$3</f>
        <v>420.203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Data'!$A$2:$B$8,MATCH(WEEKDAY('ARG Gas Firm'!A129,3),'Master Data'!$A$2:$A$8,0),2)</f>
        <v>F</v>
      </c>
      <c r="D129" s="112" t="n">
        <v>-11765928.0000406</v>
      </c>
      <c r="E129" s="112" t="n">
        <v>3282246.25513816</v>
      </c>
      <c r="F129" s="112" t="n">
        <v>0</v>
      </c>
      <c r="G129" s="112" t="n">
        <v>-3328</v>
      </c>
      <c r="I129" s="112" t="n">
        <f aca="false">IF(MONTH($A129)=MONTH($A128),IF(G129=0,I128,G129),G129)</f>
        <v>-3328</v>
      </c>
      <c r="J129" s="112" t="n">
        <f aca="false">IF(MONTH($A129)=MONTH($A128),SUM(I129-I128),I129)</f>
        <v>13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431919</v>
      </c>
      <c r="N129" s="112" t="n">
        <f aca="false">SUM(J$6:J129)</f>
        <v>420216</v>
      </c>
      <c r="P129" s="112" t="n">
        <f aca="false">D129/P$3</f>
        <v>-11.7659280000406</v>
      </c>
      <c r="Q129" s="112" t="n">
        <f aca="false">E129/P$3</f>
        <v>3.28224625513816</v>
      </c>
      <c r="R129" s="112" t="n">
        <f aca="false">F129/R$3</f>
        <v>0</v>
      </c>
      <c r="S129" s="114" t="n">
        <f aca="false">J129/$R$3</f>
        <v>0.013</v>
      </c>
      <c r="T129" s="114" t="n">
        <f aca="false">L129/$R$3</f>
        <v>0</v>
      </c>
      <c r="U129" s="114" t="n">
        <f aca="false">I129/$R$3</f>
        <v>-3.328</v>
      </c>
      <c r="V129" s="114" t="n">
        <f aca="false">M129/$R$3</f>
        <v>431.919</v>
      </c>
      <c r="W129" s="114" t="n">
        <f aca="false">N129/$R$3</f>
        <v>420.216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Data'!$A$2:$B$8,MATCH(WEEKDAY('ARG Gas Firm'!A130,3),'Master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-3328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431919</v>
      </c>
      <c r="N130" s="112" t="n">
        <f aca="false">SUM(J$6:J130)</f>
        <v>420216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-3.328</v>
      </c>
      <c r="V130" s="114" t="n">
        <f aca="false">M130/$R$3</f>
        <v>431.919</v>
      </c>
      <c r="W130" s="114" t="n">
        <f aca="false">N130/$R$3</f>
        <v>420.216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Data'!$A$2:$B$8,MATCH(WEEKDAY('ARG Gas Firm'!A131,3),'Master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-3328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431919</v>
      </c>
      <c r="N131" s="112" t="n">
        <f aca="false">SUM(J$6:J131)</f>
        <v>420216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-3.328</v>
      </c>
      <c r="V131" s="114" t="n">
        <f aca="false">M131/$R$3</f>
        <v>431.919</v>
      </c>
      <c r="W131" s="114" t="n">
        <f aca="false">N131/$R$3</f>
        <v>420.216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Data'!$A$2:$B$8,MATCH(WEEKDAY('ARG Gas Firm'!A132,3),'Master Data'!$A$2:$A$8,0),2)</f>
        <v>M</v>
      </c>
      <c r="D132" s="112" t="n">
        <v>-11764427.4450091</v>
      </c>
      <c r="E132" s="112" t="n">
        <v>3282538.06603116</v>
      </c>
      <c r="F132" s="112" t="n">
        <v>0</v>
      </c>
      <c r="G132" s="112" t="n">
        <v>-3327</v>
      </c>
      <c r="I132" s="112" t="n">
        <f aca="false">IF(MONTH($A132)=MONTH($A131),IF(G132=0,I131,G132),G132)</f>
        <v>-3327</v>
      </c>
      <c r="J132" s="112" t="n">
        <f aca="false">IF(MONTH($A132)=MONTH($A131),SUM(I132-I131),I132)</f>
        <v>1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431920</v>
      </c>
      <c r="N132" s="112" t="n">
        <f aca="false">SUM(J$6:J132)</f>
        <v>420217</v>
      </c>
      <c r="P132" s="112" t="n">
        <f aca="false">D132/P$3</f>
        <v>-11.7644274450091</v>
      </c>
      <c r="Q132" s="112" t="n">
        <f aca="false">E132/P$3</f>
        <v>3.28253806603116</v>
      </c>
      <c r="R132" s="112" t="n">
        <f aca="false">F132/R$3</f>
        <v>0</v>
      </c>
      <c r="S132" s="114" t="n">
        <f aca="false">J132/$R$3</f>
        <v>0.001</v>
      </c>
      <c r="T132" s="114" t="n">
        <f aca="false">L132/$R$3</f>
        <v>0</v>
      </c>
      <c r="U132" s="114" t="n">
        <f aca="false">I132/$R$3</f>
        <v>-3.327</v>
      </c>
      <c r="V132" s="114" t="n">
        <f aca="false">M132/$R$3</f>
        <v>431.92</v>
      </c>
      <c r="W132" s="114" t="n">
        <f aca="false">N132/$R$3</f>
        <v>420.217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Data'!$A$2:$B$8,MATCH(WEEKDAY('ARG Gas Firm'!A133,3),'Master Data'!$A$2:$A$8,0),2)</f>
        <v>T</v>
      </c>
      <c r="D133" s="112" t="n">
        <v>-11773572.4998468</v>
      </c>
      <c r="E133" s="112" t="n">
        <v>3286091.84566158</v>
      </c>
      <c r="F133" s="112" t="n">
        <v>0</v>
      </c>
      <c r="G133" s="112" t="n">
        <v>-3327</v>
      </c>
      <c r="I133" s="112" t="n">
        <f aca="false">IF(MONTH($A133)=MONTH($A132),IF(G133=0,I132,G133),G133)</f>
        <v>-3327</v>
      </c>
      <c r="J133" s="112" t="n">
        <f aca="false">IF(MONTH($A133)=MONTH($A132),SUM(I133-I132),I133)</f>
        <v>0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431920</v>
      </c>
      <c r="N133" s="112" t="n">
        <f aca="false">SUM(J$6:J133)</f>
        <v>420217</v>
      </c>
      <c r="P133" s="112" t="n">
        <f aca="false">D133/P$3</f>
        <v>-11.7735724998468</v>
      </c>
      <c r="Q133" s="112" t="n">
        <f aca="false">E133/P$3</f>
        <v>3.28609184566158</v>
      </c>
      <c r="R133" s="112" t="n">
        <f aca="false">F133/R$3</f>
        <v>0</v>
      </c>
      <c r="S133" s="114" t="n">
        <f aca="false">J133/$R$3</f>
        <v>0</v>
      </c>
      <c r="T133" s="114" t="n">
        <f aca="false">L133/$R$3</f>
        <v>0</v>
      </c>
      <c r="U133" s="114" t="n">
        <f aca="false">I133/$R$3</f>
        <v>-3.327</v>
      </c>
      <c r="V133" s="114" t="n">
        <f aca="false">M133/$R$3</f>
        <v>431.92</v>
      </c>
      <c r="W133" s="114" t="n">
        <f aca="false">N133/$R$3</f>
        <v>420.217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Data'!$A$2:$B$8,MATCH(WEEKDAY('ARG Gas Firm'!A134,3),'Master Data'!$A$2:$A$8,0),2)</f>
        <v>W</v>
      </c>
      <c r="D134" s="112" t="n">
        <v>-11794792.3955928</v>
      </c>
      <c r="E134" s="112" t="n">
        <v>3289316.65594565</v>
      </c>
      <c r="F134" s="112" t="n">
        <v>0</v>
      </c>
      <c r="G134" s="112" t="n">
        <v>11673</v>
      </c>
      <c r="I134" s="112" t="n">
        <f aca="false">IF(MONTH($A134)=MONTH($A133),IF(G134=0,I133,G134),G134)</f>
        <v>11673</v>
      </c>
      <c r="J134" s="112" t="n">
        <f aca="false">IF(MONTH($A134)=MONTH($A133),SUM(I134-I133),I134)</f>
        <v>15000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446920</v>
      </c>
      <c r="N134" s="112" t="n">
        <f aca="false">SUM(J$6:J134)</f>
        <v>435217</v>
      </c>
      <c r="P134" s="112" t="n">
        <f aca="false">D134/P$3</f>
        <v>-11.7947923955928</v>
      </c>
      <c r="Q134" s="112" t="n">
        <f aca="false">E134/P$3</f>
        <v>3.28931665594565</v>
      </c>
      <c r="R134" s="112" t="n">
        <f aca="false">F134/R$3</f>
        <v>0</v>
      </c>
      <c r="S134" s="114" t="n">
        <f aca="false">J134/$R$3</f>
        <v>15</v>
      </c>
      <c r="T134" s="114" t="n">
        <f aca="false">L134/$R$3</f>
        <v>0</v>
      </c>
      <c r="U134" s="114" t="n">
        <f aca="false">I134/$R$3</f>
        <v>11.673</v>
      </c>
      <c r="V134" s="114" t="n">
        <f aca="false">M134/$R$3</f>
        <v>446.92</v>
      </c>
      <c r="W134" s="114" t="n">
        <f aca="false">N134/$R$3</f>
        <v>435.217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Data'!$A$2:$B$8,MATCH(WEEKDAY('ARG Gas Firm'!A135,3),'Master Data'!$A$2:$A$8,0),2)</f>
        <v>Th</v>
      </c>
      <c r="D135" s="112" t="n">
        <v>-11731559.136967</v>
      </c>
      <c r="E135" s="112" t="n">
        <v>3277884.79498308</v>
      </c>
      <c r="F135" s="112" t="n">
        <v>0</v>
      </c>
      <c r="G135" s="112" t="n">
        <v>11673</v>
      </c>
      <c r="I135" s="112" t="n">
        <f aca="false">IF(MONTH($A135)=MONTH($A134),IF(G135=0,I134,G135),G135)</f>
        <v>11673</v>
      </c>
      <c r="J135" s="112" t="n">
        <f aca="false">IF(MONTH($A135)=MONTH($A134),SUM(I135-I134),I135)</f>
        <v>0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446920</v>
      </c>
      <c r="N135" s="112" t="n">
        <f aca="false">SUM(J$6:J135)</f>
        <v>435217</v>
      </c>
      <c r="P135" s="112" t="n">
        <f aca="false">D135/P$3</f>
        <v>-11.731559136967</v>
      </c>
      <c r="Q135" s="112" t="n">
        <f aca="false">E135/P$3</f>
        <v>3.27788479498308</v>
      </c>
      <c r="R135" s="112" t="n">
        <f aca="false">F135/R$3</f>
        <v>0</v>
      </c>
      <c r="S135" s="114" t="n">
        <f aca="false">J135/$R$3</f>
        <v>0</v>
      </c>
      <c r="T135" s="114" t="n">
        <f aca="false">L135/$R$3</f>
        <v>0</v>
      </c>
      <c r="U135" s="114" t="n">
        <f aca="false">I135/$R$3</f>
        <v>11.673</v>
      </c>
      <c r="V135" s="114" t="n">
        <f aca="false">M135/$R$3</f>
        <v>446.92</v>
      </c>
      <c r="W135" s="114" t="n">
        <f aca="false">N135/$R$3</f>
        <v>435.217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Data'!$A$2:$B$8,MATCH(WEEKDAY('ARG Gas Firm'!A136,3),'Master Data'!$A$2:$A$8,0),2)</f>
        <v>F</v>
      </c>
      <c r="D136" s="112" t="n">
        <v>-11628088.6247753</v>
      </c>
      <c r="E136" s="112" t="n">
        <v>3254737.39485096</v>
      </c>
      <c r="F136" s="112" t="n">
        <v>0</v>
      </c>
      <c r="G136" s="112" t="n">
        <v>11672</v>
      </c>
      <c r="I136" s="112" t="n">
        <f aca="false">IF(MONTH($A136)=MONTH($A135),IF(G136=0,I135,G136),G136)</f>
        <v>11672</v>
      </c>
      <c r="J136" s="112" t="n">
        <f aca="false">IF(MONTH($A136)=MONTH($A135),SUM(I136-I135),I136)</f>
        <v>-1</v>
      </c>
      <c r="K136" s="112" t="n">
        <f aca="false">IF(WEEKDAY(A136,3)&gt;4,0,(IF(A136&lt;K$2,0,IF(A136&lt;=K$3,1,0))))</f>
        <v>0</v>
      </c>
      <c r="L136" s="112" t="n">
        <f aca="false">J136*K136</f>
        <v>-0</v>
      </c>
      <c r="M136" s="112" t="n">
        <f aca="false">SUM(J$97:J136)</f>
        <v>446919</v>
      </c>
      <c r="N136" s="112" t="n">
        <f aca="false">SUM(J$6:J136)</f>
        <v>435216</v>
      </c>
      <c r="P136" s="112" t="n">
        <f aca="false">D136/P$3</f>
        <v>-11.6280886247753</v>
      </c>
      <c r="Q136" s="112" t="n">
        <f aca="false">E136/P$3</f>
        <v>3.25473739485096</v>
      </c>
      <c r="R136" s="112" t="n">
        <f aca="false">F136/R$3</f>
        <v>0</v>
      </c>
      <c r="S136" s="114" t="n">
        <f aca="false">J136/$R$3</f>
        <v>-0.001</v>
      </c>
      <c r="T136" s="114" t="n">
        <f aca="false">L136/$R$3</f>
        <v>-0</v>
      </c>
      <c r="U136" s="114" t="n">
        <f aca="false">I136/$R$3</f>
        <v>11.672</v>
      </c>
      <c r="V136" s="114" t="n">
        <f aca="false">M136/$R$3</f>
        <v>446.919</v>
      </c>
      <c r="W136" s="114" t="n">
        <f aca="false">N136/$R$3</f>
        <v>435.216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Data'!$A$2:$B$8,MATCH(WEEKDAY('ARG Gas Firm'!A137,3),'Master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11672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446919</v>
      </c>
      <c r="N137" s="112" t="n">
        <f aca="false">SUM(J$6:J137)</f>
        <v>435216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11.672</v>
      </c>
      <c r="V137" s="114" t="n">
        <f aca="false">M137/$R$3</f>
        <v>446.919</v>
      </c>
      <c r="W137" s="114" t="n">
        <f aca="false">N137/$R$3</f>
        <v>435.216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Data'!$A$2:$B$8,MATCH(WEEKDAY('ARG Gas Firm'!A138,3),'Master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11672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446919</v>
      </c>
      <c r="N138" s="112" t="n">
        <f aca="false">SUM(J$6:J138)</f>
        <v>435216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11.672</v>
      </c>
      <c r="V138" s="114" t="n">
        <f aca="false">M138/$R$3</f>
        <v>446.919</v>
      </c>
      <c r="W138" s="114" t="n">
        <f aca="false">N138/$R$3</f>
        <v>435.216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Data'!$A$2:$B$8,MATCH(WEEKDAY('ARG Gas Firm'!A139,3),'Master Data'!$A$2:$A$8,0),2)</f>
        <v>M</v>
      </c>
      <c r="D139" s="112" t="n">
        <v>-11658376.2265881</v>
      </c>
      <c r="E139" s="112" t="n">
        <v>3263649.69588099</v>
      </c>
      <c r="F139" s="112" t="n">
        <v>0</v>
      </c>
      <c r="G139" s="112" t="n">
        <v>11673</v>
      </c>
      <c r="I139" s="112" t="n">
        <f aca="false">IF(MONTH($A139)=MONTH($A138),IF(G139=0,I138,G139),G139)</f>
        <v>11673</v>
      </c>
      <c r="J139" s="112" t="n">
        <f aca="false">IF(MONTH($A139)=MONTH($A138),SUM(I139-I138),I139)</f>
        <v>1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446920</v>
      </c>
      <c r="N139" s="112" t="n">
        <f aca="false">SUM(J$6:J139)</f>
        <v>435217</v>
      </c>
      <c r="P139" s="112" t="n">
        <f aca="false">D139/P$3</f>
        <v>-11.6583762265881</v>
      </c>
      <c r="Q139" s="112" t="n">
        <f aca="false">E139/P$3</f>
        <v>3.26364969588099</v>
      </c>
      <c r="R139" s="112" t="n">
        <f aca="false">F139/R$3</f>
        <v>0</v>
      </c>
      <c r="S139" s="114" t="n">
        <f aca="false">J139/$R$3</f>
        <v>0.001</v>
      </c>
      <c r="T139" s="114" t="n">
        <f aca="false">L139/$R$3</f>
        <v>0</v>
      </c>
      <c r="U139" s="114" t="n">
        <f aca="false">I139/$R$3</f>
        <v>11.673</v>
      </c>
      <c r="V139" s="114" t="n">
        <f aca="false">M139/$R$3</f>
        <v>446.92</v>
      </c>
      <c r="W139" s="114" t="n">
        <f aca="false">N139/$R$3</f>
        <v>435.217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Data'!$A$2:$B$8,MATCH(WEEKDAY('ARG Gas Firm'!A140,3),'Master Data'!$A$2:$A$8,0),2)</f>
        <v>T</v>
      </c>
      <c r="D140" s="112" t="n">
        <v>-11647648.8118193</v>
      </c>
      <c r="E140" s="112" t="n">
        <v>3264815.59225798</v>
      </c>
      <c r="F140" s="112" t="n">
        <v>0</v>
      </c>
      <c r="G140" s="112" t="n">
        <v>11674</v>
      </c>
      <c r="I140" s="112" t="n">
        <f aca="false">IF(MONTH($A140)=MONTH($A139),IF(G140=0,I139,G140),G140)</f>
        <v>11674</v>
      </c>
      <c r="J140" s="112" t="n">
        <f aca="false">IF(MONTH($A140)=MONTH($A139),SUM(I140-I139),I140)</f>
        <v>1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446921</v>
      </c>
      <c r="N140" s="112" t="n">
        <f aca="false">SUM(J$6:J140)</f>
        <v>435218</v>
      </c>
      <c r="P140" s="112" t="n">
        <f aca="false">D140/P$3</f>
        <v>-11.6476488118193</v>
      </c>
      <c r="Q140" s="112" t="n">
        <f aca="false">E140/P$3</f>
        <v>3.26481559225798</v>
      </c>
      <c r="R140" s="112" t="n">
        <f aca="false">F140/R$3</f>
        <v>0</v>
      </c>
      <c r="S140" s="114" t="n">
        <f aca="false">J140/$R$3</f>
        <v>0.001</v>
      </c>
      <c r="T140" s="114" t="n">
        <f aca="false">L140/$R$3</f>
        <v>0</v>
      </c>
      <c r="U140" s="114" t="n">
        <f aca="false">I140/$R$3</f>
        <v>11.674</v>
      </c>
      <c r="V140" s="114" t="n">
        <f aca="false">M140/$R$3</f>
        <v>446.921</v>
      </c>
      <c r="W140" s="114" t="n">
        <f aca="false">N140/$R$3</f>
        <v>435.218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Data'!$A$2:$B$8,MATCH(WEEKDAY('ARG Gas Firm'!A141,3),'Master Data'!$A$2:$A$8,0),2)</f>
        <v>W</v>
      </c>
      <c r="D141" s="112" t="n">
        <v>-11671972.2177788</v>
      </c>
      <c r="E141" s="112" t="n">
        <v>3267487.60470618</v>
      </c>
      <c r="F141" s="112" t="n">
        <v>0</v>
      </c>
      <c r="G141" s="112" t="n">
        <v>5453</v>
      </c>
      <c r="I141" s="112" t="n">
        <f aca="false">IF(MONTH($A141)=MONTH($A140),IF(G141=0,I140,G141),G141)</f>
        <v>5453</v>
      </c>
      <c r="J141" s="112" t="n">
        <f aca="false">IF(MONTH($A141)=MONTH($A140),SUM(I141-I140),I141)</f>
        <v>-6221</v>
      </c>
      <c r="K141" s="112" t="n">
        <f aca="false">IF(WEEKDAY(A141,3)&gt;4,0,(IF(A141&lt;K$2,0,IF(A141&lt;=K$3,1,0))))</f>
        <v>0</v>
      </c>
      <c r="L141" s="112" t="n">
        <f aca="false">J141*K141</f>
        <v>-0</v>
      </c>
      <c r="M141" s="112" t="n">
        <f aca="false">SUM(J$97:J141)</f>
        <v>440700</v>
      </c>
      <c r="N141" s="112" t="n">
        <f aca="false">SUM(J$6:J141)</f>
        <v>428997</v>
      </c>
      <c r="P141" s="112" t="n">
        <f aca="false">D141/P$3</f>
        <v>-11.6719722177788</v>
      </c>
      <c r="Q141" s="112" t="n">
        <f aca="false">E141/P$3</f>
        <v>3.26748760470618</v>
      </c>
      <c r="R141" s="112" t="n">
        <f aca="false">F141/R$3</f>
        <v>0</v>
      </c>
      <c r="S141" s="114" t="n">
        <f aca="false">J141/$R$3</f>
        <v>-6.221</v>
      </c>
      <c r="T141" s="114" t="n">
        <f aca="false">L141/$R$3</f>
        <v>-0</v>
      </c>
      <c r="U141" s="114" t="n">
        <f aca="false">I141/$R$3</f>
        <v>5.453</v>
      </c>
      <c r="V141" s="114" t="n">
        <f aca="false">M141/$R$3</f>
        <v>440.7</v>
      </c>
      <c r="W141" s="114" t="n">
        <f aca="false">N141/$R$3</f>
        <v>428.997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Data'!$A$2:$B$8,MATCH(WEEKDAY('ARG Gas Firm'!A142,3),'Master Data'!$A$2:$A$8,0),2)</f>
        <v>Th</v>
      </c>
      <c r="D142" s="112" t="n">
        <v>-11671435.7128981</v>
      </c>
      <c r="E142" s="112" t="n">
        <v>3262081.56501441</v>
      </c>
      <c r="F142" s="112" t="n">
        <v>0</v>
      </c>
      <c r="G142" s="112" t="n">
        <v>5452</v>
      </c>
      <c r="I142" s="112" t="n">
        <f aca="false">IF(MONTH($A142)=MONTH($A141),IF(G142=0,I141,G142),G142)</f>
        <v>5452</v>
      </c>
      <c r="J142" s="112" t="n">
        <f aca="false">IF(MONTH($A142)=MONTH($A141),SUM(I142-I141),I142)</f>
        <v>-1</v>
      </c>
      <c r="K142" s="112" t="n">
        <f aca="false">IF(WEEKDAY(A142,3)&gt;4,0,(IF(A142&lt;K$2,0,IF(A142&lt;=K$3,1,0))))</f>
        <v>0</v>
      </c>
      <c r="L142" s="112" t="n">
        <f aca="false">J142*K142</f>
        <v>-0</v>
      </c>
      <c r="M142" s="112" t="n">
        <f aca="false">SUM(J$97:J142)</f>
        <v>440699</v>
      </c>
      <c r="N142" s="112" t="n">
        <f aca="false">SUM(J$6:J142)</f>
        <v>428996</v>
      </c>
      <c r="P142" s="112" t="n">
        <f aca="false">D142/P$3</f>
        <v>-11.6714357128981</v>
      </c>
      <c r="Q142" s="112" t="n">
        <f aca="false">E142/P$3</f>
        <v>3.26208156501441</v>
      </c>
      <c r="R142" s="112" t="n">
        <f aca="false">F142/R$3</f>
        <v>0</v>
      </c>
      <c r="S142" s="114" t="n">
        <f aca="false">J142/$R$3</f>
        <v>-0.001</v>
      </c>
      <c r="T142" s="114" t="n">
        <f aca="false">L142/$R$3</f>
        <v>-0</v>
      </c>
      <c r="U142" s="114" t="n">
        <f aca="false">I142/$R$3</f>
        <v>5.452</v>
      </c>
      <c r="V142" s="114" t="n">
        <f aca="false">M142/$R$3</f>
        <v>440.699</v>
      </c>
      <c r="W142" s="114" t="n">
        <f aca="false">N142/$R$3</f>
        <v>428.996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Data'!$A$2:$B$8,MATCH(WEEKDAY('ARG Gas Firm'!A143,3),'Master Data'!$A$2:$A$8,0),2)</f>
        <v>F</v>
      </c>
      <c r="D143" s="112" t="n">
        <v>-11668069.4452748</v>
      </c>
      <c r="E143" s="112" t="n">
        <v>3260006.21898931</v>
      </c>
      <c r="F143" s="112" t="n">
        <v>0</v>
      </c>
      <c r="G143" s="112" t="n">
        <v>5451</v>
      </c>
      <c r="I143" s="112" t="n">
        <f aca="false">IF(MONTH($A143)=MONTH($A142),IF(G143=0,I142,G143),G143)</f>
        <v>5451</v>
      </c>
      <c r="J143" s="112" t="n">
        <f aca="false">IF(MONTH($A143)=MONTH($A142),SUM(I143-I142),I143)</f>
        <v>-1</v>
      </c>
      <c r="K143" s="112" t="n">
        <f aca="false">IF(WEEKDAY(A143,3)&gt;4,0,(IF(A143&lt;K$2,0,IF(A143&lt;=K$3,1,0))))</f>
        <v>0</v>
      </c>
      <c r="L143" s="112" t="n">
        <f aca="false">J143*K143</f>
        <v>-0</v>
      </c>
      <c r="M143" s="112" t="n">
        <f aca="false">SUM(J$97:J143)</f>
        <v>440698</v>
      </c>
      <c r="N143" s="112" t="n">
        <f aca="false">SUM(J$6:J143)</f>
        <v>428995</v>
      </c>
      <c r="P143" s="112" t="n">
        <f aca="false">D143/P$3</f>
        <v>-11.6680694452748</v>
      </c>
      <c r="Q143" s="112" t="n">
        <f aca="false">E143/P$3</f>
        <v>3.26000621898931</v>
      </c>
      <c r="R143" s="112" t="n">
        <f aca="false">F143/R$3</f>
        <v>0</v>
      </c>
      <c r="S143" s="114" t="n">
        <f aca="false">J143/$R$3</f>
        <v>-0.001</v>
      </c>
      <c r="T143" s="114" t="n">
        <f aca="false">L143/$R$3</f>
        <v>-0</v>
      </c>
      <c r="U143" s="114" t="n">
        <f aca="false">I143/$R$3</f>
        <v>5.451</v>
      </c>
      <c r="V143" s="114" t="n">
        <f aca="false">M143/$R$3</f>
        <v>440.698</v>
      </c>
      <c r="W143" s="114" t="n">
        <f aca="false">N143/$R$3</f>
        <v>428.995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Data'!$A$2:$B$8,MATCH(WEEKDAY('ARG Gas Firm'!A144,3),'Master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5451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440698</v>
      </c>
      <c r="N144" s="112" t="n">
        <f aca="false">SUM(J$6:J144)</f>
        <v>428995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5.451</v>
      </c>
      <c r="V144" s="114" t="n">
        <f aca="false">M144/$R$3</f>
        <v>440.698</v>
      </c>
      <c r="W144" s="114" t="n">
        <f aca="false">N144/$R$3</f>
        <v>428.995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Data'!$A$2:$B$8,MATCH(WEEKDAY('ARG Gas Firm'!A145,3),'Master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5451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440698</v>
      </c>
      <c r="N145" s="112" t="n">
        <f aca="false">SUM(J$6:J145)</f>
        <v>428995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5.451</v>
      </c>
      <c r="V145" s="114" t="n">
        <f aca="false">M145/$R$3</f>
        <v>440.698</v>
      </c>
      <c r="W145" s="114" t="n">
        <f aca="false">N145/$R$3</f>
        <v>428.995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Data'!$A$2:$B$8,MATCH(WEEKDAY('ARG Gas Firm'!A146,3),'Master Data'!$A$2:$A$8,0),2)</f>
        <v>M</v>
      </c>
      <c r="D146" s="112" t="n">
        <v>-11670331.3253913</v>
      </c>
      <c r="E146" s="112" t="n">
        <v>3260573.62090765</v>
      </c>
      <c r="F146" s="112" t="n">
        <v>0</v>
      </c>
      <c r="G146" s="112" t="n">
        <v>2068</v>
      </c>
      <c r="I146" s="112" t="n">
        <f aca="false">IF(MONTH($A146)=MONTH($A145),IF(G146=0,I145,G146),G146)</f>
        <v>2068</v>
      </c>
      <c r="J146" s="112" t="n">
        <f aca="false">IF(MONTH($A146)=MONTH($A145),SUM(I146-I145),I146)</f>
        <v>-3383</v>
      </c>
      <c r="K146" s="112" t="n">
        <f aca="false">IF(WEEKDAY(A146,3)&gt;4,0,(IF(A146&lt;K$2,0,IF(A146&lt;=K$3,1,0))))</f>
        <v>0</v>
      </c>
      <c r="L146" s="112" t="n">
        <f aca="false">J146*K146</f>
        <v>-0</v>
      </c>
      <c r="M146" s="112" t="n">
        <f aca="false">SUM(J$97:J146)</f>
        <v>437315</v>
      </c>
      <c r="N146" s="112" t="n">
        <f aca="false">SUM(J$6:J146)</f>
        <v>425612</v>
      </c>
      <c r="P146" s="112" t="n">
        <f aca="false">D146/P$3</f>
        <v>-11.6703313253913</v>
      </c>
      <c r="Q146" s="112" t="n">
        <f aca="false">E146/P$3</f>
        <v>3.26057362090765</v>
      </c>
      <c r="R146" s="112" t="n">
        <f aca="false">F146/R$3</f>
        <v>0</v>
      </c>
      <c r="S146" s="114" t="n">
        <f aca="false">J146/$R$3</f>
        <v>-3.383</v>
      </c>
      <c r="T146" s="114" t="n">
        <f aca="false">L146/$R$3</f>
        <v>-0</v>
      </c>
      <c r="U146" s="114" t="n">
        <f aca="false">I146/$R$3</f>
        <v>2.068</v>
      </c>
      <c r="V146" s="114" t="n">
        <f aca="false">M146/$R$3</f>
        <v>437.315</v>
      </c>
      <c r="W146" s="114" t="n">
        <f aca="false">N146/$R$3</f>
        <v>425.612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Data'!$A$2:$B$8,MATCH(WEEKDAY('ARG Gas Firm'!A147,3),'Master Data'!$A$2:$A$8,0),2)</f>
        <v>T</v>
      </c>
      <c r="D147" s="112" t="n">
        <v>-11681269.3689101</v>
      </c>
      <c r="E147" s="112" t="n">
        <v>3264021.990519</v>
      </c>
      <c r="F147" s="112" t="n">
        <v>0</v>
      </c>
      <c r="G147" s="112" t="n">
        <v>2068</v>
      </c>
      <c r="I147" s="112" t="n">
        <f aca="false">IF(MONTH($A147)=MONTH($A146),IF(G147=0,I146,G147),G147)</f>
        <v>2068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437315</v>
      </c>
      <c r="N147" s="112" t="n">
        <f aca="false">SUM(J$6:J147)</f>
        <v>425612</v>
      </c>
      <c r="P147" s="112" t="n">
        <f aca="false">D147/P$3</f>
        <v>-11.6812693689101</v>
      </c>
      <c r="Q147" s="112" t="n">
        <f aca="false">E147/P$3</f>
        <v>3.264021990519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2.068</v>
      </c>
      <c r="V147" s="114" t="n">
        <f aca="false">M147/$R$3</f>
        <v>437.315</v>
      </c>
      <c r="W147" s="114" t="n">
        <f aca="false">N147/$R$3</f>
        <v>425.612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Data'!$A$2:$B$8,MATCH(WEEKDAY('ARG Gas Firm'!A148,3),'Master Data'!$A$2:$A$8,0),2)</f>
        <v>W</v>
      </c>
      <c r="D148" s="112" t="n">
        <v>-11694070.2447788</v>
      </c>
      <c r="E148" s="112" t="n">
        <v>3268310.17652595</v>
      </c>
      <c r="F148" s="112" t="n">
        <v>0</v>
      </c>
      <c r="G148" s="112" t="n">
        <v>2069</v>
      </c>
      <c r="I148" s="112" t="n">
        <f aca="false">IF(MONTH($A148)=MONTH($A147),IF(G148=0,I147,G148),G148)</f>
        <v>2069</v>
      </c>
      <c r="J148" s="112" t="n">
        <f aca="false">IF(MONTH($A148)=MONTH($A147),SUM(I148-I147),I148)</f>
        <v>1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437316</v>
      </c>
      <c r="N148" s="112" t="n">
        <f aca="false">SUM(J$6:J148)</f>
        <v>425613</v>
      </c>
      <c r="P148" s="112" t="n">
        <f aca="false">D148/P$3</f>
        <v>-11.6940702447788</v>
      </c>
      <c r="Q148" s="112" t="n">
        <f aca="false">E148/P$3</f>
        <v>3.26831017652595</v>
      </c>
      <c r="R148" s="112" t="n">
        <f aca="false">F148/R$3</f>
        <v>0</v>
      </c>
      <c r="S148" s="114" t="n">
        <f aca="false">J148/$R$3</f>
        <v>0.001</v>
      </c>
      <c r="T148" s="114" t="n">
        <f aca="false">L148/$R$3</f>
        <v>0</v>
      </c>
      <c r="U148" s="114" t="n">
        <f aca="false">I148/$R$3</f>
        <v>2.069</v>
      </c>
      <c r="V148" s="114" t="n">
        <f aca="false">M148/$R$3</f>
        <v>437.316</v>
      </c>
      <c r="W148" s="114" t="n">
        <f aca="false">N148/$R$3</f>
        <v>425.613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Data'!$A$2:$B$8,MATCH(WEEKDAY('ARG Gas Firm'!A149,3),'Master Data'!$A$2:$A$8,0),2)</f>
        <v>Th</v>
      </c>
      <c r="D149" s="112" t="n">
        <v>-11653611.9241151</v>
      </c>
      <c r="E149" s="112" t="n">
        <v>3262030.01195366</v>
      </c>
      <c r="F149" s="112" t="n">
        <v>0</v>
      </c>
      <c r="G149" s="112" t="n">
        <v>2069</v>
      </c>
      <c r="I149" s="112" t="n">
        <f aca="false">IF(MONTH($A149)=MONTH($A148),IF(G149=0,I148,G149),G149)</f>
        <v>2069</v>
      </c>
      <c r="J149" s="112" t="n">
        <f aca="false">IF(MONTH($A149)=MONTH($A148),SUM(I149-I148),I149)</f>
        <v>0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437316</v>
      </c>
      <c r="N149" s="112" t="n">
        <f aca="false">SUM(J$6:J149)</f>
        <v>425613</v>
      </c>
      <c r="P149" s="112" t="n">
        <f aca="false">D149/P$3</f>
        <v>-11.6536119241151</v>
      </c>
      <c r="Q149" s="112" t="n">
        <f aca="false">E149/P$3</f>
        <v>3.26203001195366</v>
      </c>
      <c r="R149" s="112" t="n">
        <f aca="false">F149/R$3</f>
        <v>0</v>
      </c>
      <c r="S149" s="114" t="n">
        <f aca="false">J149/$R$3</f>
        <v>0</v>
      </c>
      <c r="T149" s="114" t="n">
        <f aca="false">L149/$R$3</f>
        <v>0</v>
      </c>
      <c r="U149" s="114" t="n">
        <f aca="false">I149/$R$3</f>
        <v>2.069</v>
      </c>
      <c r="V149" s="114" t="n">
        <f aca="false">M149/$R$3</f>
        <v>437.316</v>
      </c>
      <c r="W149" s="114" t="n">
        <f aca="false">N149/$R$3</f>
        <v>425.613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Data'!$A$2:$B$8,MATCH(WEEKDAY('ARG Gas Firm'!A150,3),'Master Data'!$A$2:$A$8,0),2)</f>
        <v>F</v>
      </c>
      <c r="D150" s="112" t="n">
        <v>-11659656.0827936</v>
      </c>
      <c r="E150" s="112" t="n">
        <v>3263882.5847219</v>
      </c>
      <c r="F150" s="112" t="n">
        <v>0</v>
      </c>
      <c r="G150" s="112" t="n">
        <v>2070</v>
      </c>
      <c r="I150" s="112" t="n">
        <f aca="false">IF(MONTH($A150)=MONTH($A149),IF(G150=0,I149,G150),G150)</f>
        <v>2070</v>
      </c>
      <c r="J150" s="112" t="n">
        <f aca="false">IF(MONTH($A150)=MONTH($A149),SUM(I150-I149),I150)</f>
        <v>1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437317</v>
      </c>
      <c r="N150" s="112" t="n">
        <f aca="false">SUM(J$6:J150)</f>
        <v>425614</v>
      </c>
      <c r="P150" s="112" t="n">
        <f aca="false">D150/P$3</f>
        <v>-11.6596560827936</v>
      </c>
      <c r="Q150" s="112" t="n">
        <f aca="false">E150/P$3</f>
        <v>3.2638825847219</v>
      </c>
      <c r="R150" s="112" t="n">
        <f aca="false">F150/R$3</f>
        <v>0</v>
      </c>
      <c r="S150" s="114" t="n">
        <f aca="false">J150/$R$3</f>
        <v>0.001</v>
      </c>
      <c r="T150" s="114" t="n">
        <f aca="false">L150/$R$3</f>
        <v>0</v>
      </c>
      <c r="U150" s="114" t="n">
        <f aca="false">I150/$R$3</f>
        <v>2.07</v>
      </c>
      <c r="V150" s="114" t="n">
        <f aca="false">M150/$R$3</f>
        <v>437.317</v>
      </c>
      <c r="W150" s="114" t="n">
        <f aca="false">N150/$R$3</f>
        <v>425.614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Data'!$A$2:$B$8,MATCH(WEEKDAY('ARG Gas Firm'!A151,3),'Master Data'!$A$2:$A$8,0),2)</f>
        <v>Sa</v>
      </c>
      <c r="D151" s="112"/>
      <c r="E151" s="112"/>
      <c r="F151" s="112"/>
      <c r="G151" s="112"/>
      <c r="I151" s="112" t="n">
        <f aca="false">IF(MONTH($A151)=MONTH($A150),IF(G151=0,I150,G151),G151)</f>
        <v>2070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437317</v>
      </c>
      <c r="N151" s="112" t="n">
        <f aca="false">SUM(J$6:J151)</f>
        <v>425614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2.07</v>
      </c>
      <c r="V151" s="114" t="n">
        <f aca="false">M151/$R$3</f>
        <v>437.317</v>
      </c>
      <c r="W151" s="114" t="n">
        <f aca="false">N151/$R$3</f>
        <v>425.614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Data'!$A$2:$B$8,MATCH(WEEKDAY('ARG Gas Firm'!A152,3),'Master Data'!$A$2:$A$8,0),2)</f>
        <v>Su</v>
      </c>
      <c r="D152" s="112"/>
      <c r="E152" s="112"/>
      <c r="F152" s="112"/>
      <c r="G152" s="112"/>
      <c r="I152" s="112" t="n">
        <f aca="false">IF(MONTH($A152)=MONTH($A151),IF(G152=0,I151,G152),G152)</f>
        <v>2070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437317</v>
      </c>
      <c r="N152" s="112" t="n">
        <f aca="false">SUM(J$6:J152)</f>
        <v>425614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2.07</v>
      </c>
      <c r="V152" s="114" t="n">
        <f aca="false">M152/$R$3</f>
        <v>437.317</v>
      </c>
      <c r="W152" s="114" t="n">
        <f aca="false">N152/$R$3</f>
        <v>425.614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Data'!$A$2:$B$8,MATCH(WEEKDAY('ARG Gas Firm'!A153,3),'Master Data'!$A$2:$A$8,0),2)</f>
        <v>M</v>
      </c>
      <c r="D153" s="112"/>
      <c r="E153" s="112"/>
      <c r="F153" s="112"/>
      <c r="G153" s="112"/>
      <c r="I153" s="112" t="n">
        <f aca="false">IF(MONTH($A153)=MONTH($A152),IF(G153=0,I152,G153),G153)</f>
        <v>2070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437317</v>
      </c>
      <c r="N153" s="112" t="n">
        <f aca="false">SUM(J$6:J153)</f>
        <v>425614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2.07</v>
      </c>
      <c r="V153" s="114" t="n">
        <f aca="false">M153/$R$3</f>
        <v>437.317</v>
      </c>
      <c r="W153" s="114" t="n">
        <f aca="false">N153/$R$3</f>
        <v>425.614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Data'!$A$2:$B$8,MATCH(WEEKDAY('ARG Gas Firm'!A154,3),'Master Data'!$A$2:$A$8,0),2)</f>
        <v>T</v>
      </c>
      <c r="D154" s="112" t="n">
        <v>-11648924.2635452</v>
      </c>
      <c r="E154" s="112" t="n">
        <v>3263711.5784775</v>
      </c>
      <c r="F154" s="112"/>
      <c r="G154" s="112" t="n">
        <v>2071</v>
      </c>
      <c r="I154" s="112" t="n">
        <f aca="false">IF(MONTH($A154)=MONTH($A153),IF(G154=0,I153,G154),G154)</f>
        <v>2071</v>
      </c>
      <c r="J154" s="112" t="n">
        <f aca="false">IF(MONTH($A154)=MONTH($A153),SUM(I154-I153),I154)</f>
        <v>1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437318</v>
      </c>
      <c r="N154" s="112" t="n">
        <f aca="false">SUM(J$6:J154)</f>
        <v>425615</v>
      </c>
      <c r="P154" s="112" t="n">
        <f aca="false">D154/P$3</f>
        <v>-11.6489242635452</v>
      </c>
      <c r="Q154" s="112" t="n">
        <f aca="false">E154/P$3</f>
        <v>3.2637115784775</v>
      </c>
      <c r="R154" s="112" t="n">
        <f aca="false">F154/R$3</f>
        <v>0</v>
      </c>
      <c r="S154" s="114" t="n">
        <f aca="false">J154/$R$3</f>
        <v>0.001</v>
      </c>
      <c r="T154" s="114" t="n">
        <f aca="false">L154/$R$3</f>
        <v>0</v>
      </c>
      <c r="U154" s="114" t="n">
        <f aca="false">I154/$R$3</f>
        <v>2.071</v>
      </c>
      <c r="V154" s="114" t="n">
        <f aca="false">M154/$R$3</f>
        <v>437.318</v>
      </c>
      <c r="W154" s="114" t="n">
        <f aca="false">N154/$R$3</f>
        <v>425.615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Data'!$A$2:$B$8,MATCH(WEEKDAY('ARG Gas Firm'!A155,3),'Master Data'!$A$2:$A$8,0),2)</f>
        <v>W</v>
      </c>
      <c r="D155" s="112" t="n">
        <v>-11654121.64807</v>
      </c>
      <c r="E155" s="112" t="n">
        <v>3262796.91286264</v>
      </c>
      <c r="F155" s="112"/>
      <c r="G155" s="112" t="n">
        <v>2070</v>
      </c>
      <c r="I155" s="112" t="n">
        <f aca="false">IF(MONTH($A155)=MONTH($A154),IF(G155=0,I154,G155),G155)</f>
        <v>2070</v>
      </c>
      <c r="J155" s="112" t="n">
        <f aca="false">IF(MONTH($A155)=MONTH($A154),SUM(I155-I154),I155)</f>
        <v>-1</v>
      </c>
      <c r="K155" s="112" t="n">
        <f aca="false">IF(WEEKDAY(A155,3)&gt;4,0,(IF(A155&lt;K$2,0,IF(A155&lt;=K$3,1,0))))</f>
        <v>0</v>
      </c>
      <c r="L155" s="112" t="n">
        <f aca="false">J155*K155</f>
        <v>-0</v>
      </c>
      <c r="M155" s="112" t="n">
        <f aca="false">SUM(J$97:J155)</f>
        <v>437317</v>
      </c>
      <c r="N155" s="112" t="n">
        <f aca="false">SUM(J$6:J155)</f>
        <v>425614</v>
      </c>
      <c r="P155" s="112" t="n">
        <f aca="false">D155/P$3</f>
        <v>-11.65412164807</v>
      </c>
      <c r="Q155" s="112" t="n">
        <f aca="false">E155/P$3</f>
        <v>3.26279691286264</v>
      </c>
      <c r="R155" s="112" t="n">
        <f aca="false">F155/R$3</f>
        <v>0</v>
      </c>
      <c r="S155" s="114" t="n">
        <f aca="false">J155/$R$3</f>
        <v>-0.001</v>
      </c>
      <c r="T155" s="114" t="n">
        <f aca="false">L155/$R$3</f>
        <v>-0</v>
      </c>
      <c r="U155" s="114" t="n">
        <f aca="false">I155/$R$3</f>
        <v>2.07</v>
      </c>
      <c r="V155" s="114" t="n">
        <f aca="false">M155/$R$3</f>
        <v>437.317</v>
      </c>
      <c r="W155" s="114" t="n">
        <f aca="false">N155/$R$3</f>
        <v>425.614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Data'!$A$2:$B$8,MATCH(WEEKDAY('ARG Gas Firm'!A156,3),'Master Data'!$A$2:$A$8,0),2)</f>
        <v>Th</v>
      </c>
      <c r="D156" s="112" t="n">
        <v>-11680355.3878389</v>
      </c>
      <c r="E156" s="112" t="n">
        <v>3285095.71878079</v>
      </c>
      <c r="F156" s="112"/>
      <c r="G156" s="112" t="n">
        <v>17</v>
      </c>
      <c r="I156" s="112" t="n">
        <f aca="false">IF(MONTH($A156)=MONTH($A155),IF(G156=0,I155,G156),G156)</f>
        <v>17</v>
      </c>
      <c r="J156" s="112" t="n">
        <f aca="false">IF(MONTH($A156)=MONTH($A155),SUM(I156-I155),I156)</f>
        <v>-2053</v>
      </c>
      <c r="K156" s="112" t="n">
        <f aca="false">IF(WEEKDAY(A156,3)&gt;4,0,(IF(A156&lt;K$2,0,IF(A156&lt;=K$3,1,0))))</f>
        <v>0</v>
      </c>
      <c r="L156" s="112" t="n">
        <f aca="false">J156*K156</f>
        <v>-0</v>
      </c>
      <c r="M156" s="112" t="n">
        <f aca="false">SUM(J$97:J156)</f>
        <v>435264</v>
      </c>
      <c r="N156" s="112" t="n">
        <f aca="false">SUM(J$6:J156)</f>
        <v>423561</v>
      </c>
      <c r="P156" s="112" t="n">
        <f aca="false">D156/P$3</f>
        <v>-11.6803553878389</v>
      </c>
      <c r="Q156" s="112" t="n">
        <f aca="false">E156/P$3</f>
        <v>3.28509571878079</v>
      </c>
      <c r="R156" s="112" t="n">
        <f aca="false">F156/R$3</f>
        <v>0</v>
      </c>
      <c r="S156" s="114" t="n">
        <f aca="false">J156/$R$3</f>
        <v>-2.053</v>
      </c>
      <c r="T156" s="114" t="n">
        <f aca="false">L156/$R$3</f>
        <v>-0</v>
      </c>
      <c r="U156" s="114" t="n">
        <f aca="false">I156/$R$3</f>
        <v>0.017</v>
      </c>
      <c r="V156" s="114" t="n">
        <f aca="false">M156/$R$3</f>
        <v>435.264</v>
      </c>
      <c r="W156" s="114" t="n">
        <f aca="false">N156/$R$3</f>
        <v>423.561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Data'!$A$2:$B$8,MATCH(WEEKDAY('ARG Gas Firm'!A157,3),'Master Data'!$A$2:$A$8,0),2)</f>
        <v>F</v>
      </c>
      <c r="D157" s="112" t="n">
        <v>-11665874.4094987</v>
      </c>
      <c r="E157" s="112" t="n">
        <v>3278123.4982636</v>
      </c>
      <c r="F157" s="112"/>
      <c r="G157" s="112" t="n">
        <v>1</v>
      </c>
      <c r="I157" s="112" t="n">
        <f aca="false">IF(MONTH($A157)=MONTH($A156),IF(G157=0,I156,G157),G157)</f>
        <v>1</v>
      </c>
      <c r="J157" s="112" t="n">
        <f aca="false">IF(MONTH($A157)=MONTH($A156),SUM(I157-I156),I157)</f>
        <v>1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435265</v>
      </c>
      <c r="N157" s="112" t="n">
        <f aca="false">SUM(J$6:J157)</f>
        <v>423562</v>
      </c>
      <c r="P157" s="112" t="n">
        <f aca="false">D157/P$3</f>
        <v>-11.6658744094987</v>
      </c>
      <c r="Q157" s="112" t="n">
        <f aca="false">E157/P$3</f>
        <v>3.2781234982636</v>
      </c>
      <c r="R157" s="112" t="n">
        <f aca="false">F157/R$3</f>
        <v>0</v>
      </c>
      <c r="S157" s="114" t="n">
        <f aca="false">J157/$R$3</f>
        <v>0.001</v>
      </c>
      <c r="T157" s="114" t="n">
        <f aca="false">L157/$R$3</f>
        <v>0</v>
      </c>
      <c r="U157" s="114" t="n">
        <f aca="false">I157/$R$3</f>
        <v>0.001</v>
      </c>
      <c r="V157" s="114" t="n">
        <f aca="false">M157/$R$3</f>
        <v>435.265</v>
      </c>
      <c r="W157" s="114" t="n">
        <f aca="false">N157/$R$3</f>
        <v>423.562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Data'!$A$2:$B$8,MATCH(WEEKDAY('ARG Gas Firm'!A158,3),'Master Data'!$A$2:$A$8,0),2)</f>
        <v>Sa</v>
      </c>
      <c r="D158" s="112"/>
      <c r="E158" s="112"/>
      <c r="F158" s="112"/>
      <c r="G158" s="112"/>
      <c r="I158" s="112" t="n">
        <f aca="false">IF(MONTH($A158)=MONTH($A157),IF(G158=0,I157,G158),G158)</f>
        <v>1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435265</v>
      </c>
      <c r="N158" s="112" t="n">
        <f aca="false">SUM(J$6:J158)</f>
        <v>423562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0.001</v>
      </c>
      <c r="V158" s="114" t="n">
        <f aca="false">M158/$R$3</f>
        <v>435.265</v>
      </c>
      <c r="W158" s="114" t="n">
        <f aca="false">N158/$R$3</f>
        <v>423.562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Data'!$A$2:$B$8,MATCH(WEEKDAY('ARG Gas Firm'!A159,3),'Master Data'!$A$2:$A$8,0),2)</f>
        <v>Su</v>
      </c>
      <c r="D159" s="112"/>
      <c r="E159" s="112"/>
      <c r="F159" s="112"/>
      <c r="G159" s="112"/>
      <c r="I159" s="112" t="n">
        <f aca="false">IF(MONTH($A159)=MONTH($A158),IF(G159=0,I158,G159),G159)</f>
        <v>1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435265</v>
      </c>
      <c r="N159" s="112" t="n">
        <f aca="false">SUM(J$6:J159)</f>
        <v>423562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0.001</v>
      </c>
      <c r="V159" s="114" t="n">
        <f aca="false">M159/$R$3</f>
        <v>435.265</v>
      </c>
      <c r="W159" s="114" t="n">
        <f aca="false">N159/$R$3</f>
        <v>423.562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Data'!$A$2:$B$8,MATCH(WEEKDAY('ARG Gas Firm'!A160,3),'Master Data'!$A$2:$A$8,0),2)</f>
        <v>M</v>
      </c>
      <c r="D160" s="112" t="n">
        <v>-11685118.3142016</v>
      </c>
      <c r="E160" s="112" t="n">
        <v>3280462.48292571</v>
      </c>
      <c r="F160" s="112"/>
      <c r="G160" s="112" t="n">
        <v>0</v>
      </c>
      <c r="I160" s="112" t="n">
        <f aca="false">IF(MONTH($A160)=MONTH($A159),IF(G160=0,I159,G160),G160)</f>
        <v>1</v>
      </c>
      <c r="J160" s="112" t="n">
        <f aca="false">IF(MONTH($A160)=MONTH($A159),SUM(I160-I159),I160)</f>
        <v>0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435265</v>
      </c>
      <c r="N160" s="112" t="n">
        <f aca="false">SUM(J$6:J160)</f>
        <v>423562</v>
      </c>
      <c r="P160" s="112" t="n">
        <f aca="false">D160/P$3</f>
        <v>-11.6851183142016</v>
      </c>
      <c r="Q160" s="112" t="n">
        <f aca="false">E160/P$3</f>
        <v>3.28046248292571</v>
      </c>
      <c r="R160" s="112" t="n">
        <f aca="false">F160/R$3</f>
        <v>0</v>
      </c>
      <c r="S160" s="114" t="n">
        <f aca="false">J160/$R$3</f>
        <v>0</v>
      </c>
      <c r="T160" s="114" t="n">
        <f aca="false">L160/$R$3</f>
        <v>0</v>
      </c>
      <c r="U160" s="114" t="n">
        <f aca="false">I160/$R$3</f>
        <v>0.001</v>
      </c>
      <c r="V160" s="114" t="n">
        <f aca="false">M160/$R$3</f>
        <v>435.265</v>
      </c>
      <c r="W160" s="114" t="n">
        <f aca="false">N160/$R$3</f>
        <v>423.562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Data'!$A$2:$B$8,MATCH(WEEKDAY('ARG Gas Firm'!A161,3),'Master Data'!$A$2:$A$8,0),2)</f>
        <v>T</v>
      </c>
      <c r="D161" s="112" t="n">
        <v>-11719485.359097</v>
      </c>
      <c r="E161" s="112" t="n">
        <v>3287799.56772327</v>
      </c>
      <c r="F161" s="112"/>
      <c r="G161" s="112" t="n">
        <v>1</v>
      </c>
      <c r="I161" s="112" t="n">
        <f aca="false">IF(MONTH($A161)=MONTH($A160),IF(G161=0,I160,G161),G161)</f>
        <v>1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435265</v>
      </c>
      <c r="N161" s="112" t="n">
        <f aca="false">SUM(J$6:J161)</f>
        <v>423562</v>
      </c>
      <c r="P161" s="112" t="n">
        <f aca="false">D161/P$3</f>
        <v>-11.719485359097</v>
      </c>
      <c r="Q161" s="112" t="n">
        <f aca="false">E161/P$3</f>
        <v>3.28779956772327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0.001</v>
      </c>
      <c r="V161" s="114" t="n">
        <f aca="false">M161/$R$3</f>
        <v>435.265</v>
      </c>
      <c r="W161" s="114" t="n">
        <f aca="false">N161/$R$3</f>
        <v>423.562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Data'!$A$2:$B$8,MATCH(WEEKDAY('ARG Gas Firm'!A162,3),'Master Data'!$A$2:$A$8,0),2)</f>
        <v>W</v>
      </c>
      <c r="D162" s="112" t="n">
        <v>-11725496.979905</v>
      </c>
      <c r="E162" s="112" t="n">
        <v>3289389.54739946</v>
      </c>
      <c r="F162" s="112"/>
      <c r="G162" s="112" t="n">
        <v>2</v>
      </c>
      <c r="I162" s="112" t="n">
        <f aca="false">IF(MONTH($A162)=MONTH($A161),IF(G162=0,I161,G162),G162)</f>
        <v>2</v>
      </c>
      <c r="J162" s="112" t="n">
        <f aca="false">IF(MONTH($A162)=MONTH($A161),SUM(I162-I161),I162)</f>
        <v>1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435266</v>
      </c>
      <c r="N162" s="112" t="n">
        <f aca="false">SUM(J$6:J162)</f>
        <v>423563</v>
      </c>
      <c r="P162" s="112" t="n">
        <f aca="false">D162/P$3</f>
        <v>-11.725496979905</v>
      </c>
      <c r="Q162" s="112" t="n">
        <f aca="false">E162/P$3</f>
        <v>3.28938954739946</v>
      </c>
      <c r="R162" s="112" t="n">
        <f aca="false">F162/R$3</f>
        <v>0</v>
      </c>
      <c r="S162" s="114" t="n">
        <f aca="false">J162/$R$3</f>
        <v>0.001</v>
      </c>
      <c r="T162" s="114" t="n">
        <f aca="false">L162/$R$3</f>
        <v>0</v>
      </c>
      <c r="U162" s="114" t="n">
        <f aca="false">I162/$R$3</f>
        <v>0.002</v>
      </c>
      <c r="V162" s="114" t="n">
        <f aca="false">M162/$R$3</f>
        <v>435.266</v>
      </c>
      <c r="W162" s="114" t="n">
        <f aca="false">N162/$R$3</f>
        <v>423.563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Data'!$A$2:$B$8,MATCH(WEEKDAY('ARG Gas Firm'!A163,3),'Master Data'!$A$2:$A$8,0),2)</f>
        <v>Th</v>
      </c>
      <c r="D163" s="112" t="n">
        <v>-11709127.1012205</v>
      </c>
      <c r="E163" s="112" t="n">
        <v>3287981.45427974</v>
      </c>
      <c r="F163" s="112"/>
      <c r="G163" s="112" t="n">
        <v>2</v>
      </c>
      <c r="I163" s="112" t="n">
        <f aca="false">IF(MONTH($A163)=MONTH($A162),IF(G163=0,I162,G163),G163)</f>
        <v>2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435266</v>
      </c>
      <c r="N163" s="112" t="n">
        <f aca="false">SUM(J$6:J163)</f>
        <v>423563</v>
      </c>
      <c r="P163" s="112" t="n">
        <f aca="false">D163/P$3</f>
        <v>-11.7091271012205</v>
      </c>
      <c r="Q163" s="112" t="n">
        <f aca="false">E163/P$3</f>
        <v>3.28798145427974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0.002</v>
      </c>
      <c r="V163" s="114" t="n">
        <f aca="false">M163/$R$3</f>
        <v>435.266</v>
      </c>
      <c r="W163" s="114" t="n">
        <f aca="false">N163/$R$3</f>
        <v>423.563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Data'!$A$2:$B$8,MATCH(WEEKDAY('ARG Gas Firm'!A164,3),'Master Data'!$A$2:$A$8,0),2)</f>
        <v>F</v>
      </c>
      <c r="D164" s="112" t="n">
        <v>-11661940.9303853</v>
      </c>
      <c r="E164" s="112" t="n">
        <v>3277659.225743</v>
      </c>
      <c r="F164" s="112"/>
      <c r="G164" s="112" t="n">
        <v>1</v>
      </c>
      <c r="I164" s="112" t="n">
        <f aca="false">IF(MONTH($A164)=MONTH($A163),IF(G164=0,I163,G164),G164)</f>
        <v>1</v>
      </c>
      <c r="J164" s="112" t="n">
        <f aca="false">IF(MONTH($A164)=MONTH($A163),SUM(I164-I163),I164)</f>
        <v>-1</v>
      </c>
      <c r="K164" s="112" t="n">
        <f aca="false">IF(WEEKDAY(A164,3)&gt;4,0,(IF(A164&lt;K$2,0,IF(A164&lt;=K$3,1,0))))</f>
        <v>0</v>
      </c>
      <c r="L164" s="112" t="n">
        <f aca="false">J164*K164</f>
        <v>-0</v>
      </c>
      <c r="M164" s="112" t="n">
        <f aca="false">SUM(J$97:J164)</f>
        <v>435265</v>
      </c>
      <c r="N164" s="112" t="n">
        <f aca="false">SUM(J$6:J164)</f>
        <v>423562</v>
      </c>
      <c r="P164" s="112" t="n">
        <f aca="false">D164/P$3</f>
        <v>-11.6619409303853</v>
      </c>
      <c r="Q164" s="112" t="n">
        <f aca="false">E164/P$3</f>
        <v>3.277659225743</v>
      </c>
      <c r="R164" s="112" t="n">
        <f aca="false">F164/R$3</f>
        <v>0</v>
      </c>
      <c r="S164" s="114" t="n">
        <f aca="false">J164/$R$3</f>
        <v>-0.001</v>
      </c>
      <c r="T164" s="114" t="n">
        <f aca="false">L164/$R$3</f>
        <v>-0</v>
      </c>
      <c r="U164" s="114" t="n">
        <f aca="false">I164/$R$3</f>
        <v>0.001</v>
      </c>
      <c r="V164" s="114" t="n">
        <f aca="false">M164/$R$3</f>
        <v>435.265</v>
      </c>
      <c r="W164" s="114" t="n">
        <f aca="false">N164/$R$3</f>
        <v>423.562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Data'!$A$2:$B$8,MATCH(WEEKDAY('ARG Gas Firm'!A165,3),'Master Data'!$A$2:$A$8,0),2)</f>
        <v>Sa</v>
      </c>
      <c r="D165" s="112"/>
      <c r="E165" s="112"/>
      <c r="F165" s="112"/>
      <c r="G165" s="112"/>
      <c r="I165" s="112" t="n">
        <f aca="false">IF(MONTH($A165)=MONTH($A164),IF(G165=0,I164,G165),G165)</f>
        <v>1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435265</v>
      </c>
      <c r="N165" s="112" t="n">
        <f aca="false">SUM(J$6:J165)</f>
        <v>423562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0.001</v>
      </c>
      <c r="V165" s="114" t="n">
        <f aca="false">M165/$R$3</f>
        <v>435.265</v>
      </c>
      <c r="W165" s="114" t="n">
        <f aca="false">N165/$R$3</f>
        <v>423.562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Data'!$A$2:$B$8,MATCH(WEEKDAY('ARG Gas Firm'!A166,3),'Master Data'!$A$2:$A$8,0),2)</f>
        <v>Su</v>
      </c>
      <c r="D166" s="112"/>
      <c r="E166" s="112"/>
      <c r="F166" s="112"/>
      <c r="G166" s="112"/>
      <c r="I166" s="112" t="n">
        <f aca="false">IF(MONTH($A166)=MONTH($A165),IF(G166=0,I165,G166),G166)</f>
        <v>1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435265</v>
      </c>
      <c r="N166" s="112" t="n">
        <f aca="false">SUM(J$6:J166)</f>
        <v>423562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0.001</v>
      </c>
      <c r="V166" s="114" t="n">
        <f aca="false">M166/$R$3</f>
        <v>435.265</v>
      </c>
      <c r="W166" s="114" t="n">
        <f aca="false">N166/$R$3</f>
        <v>423.562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Data'!$A$2:$B$8,MATCH(WEEKDAY('ARG Gas Firm'!A167,3),'Master Data'!$A$2:$A$8,0),2)</f>
        <v>M</v>
      </c>
      <c r="D167" s="112" t="n">
        <v>-11696668.6282481</v>
      </c>
      <c r="E167" s="112" t="n">
        <v>3288816.24191495</v>
      </c>
      <c r="F167" s="112"/>
      <c r="G167" s="112" t="n">
        <v>2</v>
      </c>
      <c r="I167" s="112" t="n">
        <f aca="false">IF(MONTH($A167)=MONTH($A166),IF(G167=0,I166,G167),G167)</f>
        <v>2</v>
      </c>
      <c r="J167" s="112" t="n">
        <f aca="false">IF(MONTH($A167)=MONTH($A166),SUM(I167-I166),I167)</f>
        <v>1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435266</v>
      </c>
      <c r="N167" s="112" t="n">
        <f aca="false">SUM(J$6:J167)</f>
        <v>423563</v>
      </c>
      <c r="P167" s="112" t="n">
        <f aca="false">D167/P$3</f>
        <v>-11.6966686282481</v>
      </c>
      <c r="Q167" s="112" t="n">
        <f aca="false">E167/P$3</f>
        <v>3.28881624191495</v>
      </c>
      <c r="R167" s="112" t="n">
        <f aca="false">F167/R$3</f>
        <v>0</v>
      </c>
      <c r="S167" s="114" t="n">
        <f aca="false">J167/$R$3</f>
        <v>0.001</v>
      </c>
      <c r="T167" s="114" t="n">
        <f aca="false">L167/$R$3</f>
        <v>0</v>
      </c>
      <c r="U167" s="114" t="n">
        <f aca="false">I167/$R$3</f>
        <v>0.002</v>
      </c>
      <c r="V167" s="114" t="n">
        <f aca="false">M167/$R$3</f>
        <v>435.266</v>
      </c>
      <c r="W167" s="114" t="n">
        <f aca="false">N167/$R$3</f>
        <v>423.563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Data'!$A$2:$B$8,MATCH(WEEKDAY('ARG Gas Firm'!A168,3),'Master Data'!$A$2:$A$8,0),2)</f>
        <v>T</v>
      </c>
      <c r="D168" s="112" t="n">
        <v>-11740656.38537</v>
      </c>
      <c r="E168" s="112" t="n">
        <v>3295395.96206493</v>
      </c>
      <c r="F168" s="112"/>
      <c r="G168" s="112" t="n">
        <v>2</v>
      </c>
      <c r="I168" s="112" t="n">
        <f aca="false">IF(MONTH($A168)=MONTH($A167),IF(G168=0,I167,G168),G168)</f>
        <v>2</v>
      </c>
      <c r="J168" s="112" t="n">
        <f aca="false">IF(MONTH($A168)=MONTH($A167),SUM(I168-I167),I168)</f>
        <v>0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435266</v>
      </c>
      <c r="N168" s="112" t="n">
        <f aca="false">SUM(J$6:J168)</f>
        <v>423563</v>
      </c>
      <c r="P168" s="112" t="n">
        <f aca="false">D168/P$3</f>
        <v>-11.74065638537</v>
      </c>
      <c r="Q168" s="112" t="n">
        <f aca="false">E168/P$3</f>
        <v>3.29539596206493</v>
      </c>
      <c r="R168" s="112" t="n">
        <f aca="false">F168/R$3</f>
        <v>0</v>
      </c>
      <c r="S168" s="114" t="n">
        <f aca="false">J168/$R$3</f>
        <v>0</v>
      </c>
      <c r="T168" s="114" t="n">
        <f aca="false">L168/$R$3</f>
        <v>0</v>
      </c>
      <c r="U168" s="114" t="n">
        <f aca="false">I168/$R$3</f>
        <v>0.002</v>
      </c>
      <c r="V168" s="114" t="n">
        <f aca="false">M168/$R$3</f>
        <v>435.266</v>
      </c>
      <c r="W168" s="114" t="n">
        <f aca="false">N168/$R$3</f>
        <v>423.563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Data'!$A$2:$B$8,MATCH(WEEKDAY('ARG Gas Firm'!A169,3),'Master Data'!$A$2:$A$8,0),2)</f>
        <v>W</v>
      </c>
      <c r="D169" s="112" t="n">
        <v>-11748591.7457919</v>
      </c>
      <c r="E169" s="112" t="n">
        <v>3296925.89401505</v>
      </c>
      <c r="F169" s="112"/>
      <c r="G169" s="112" t="n">
        <v>2</v>
      </c>
      <c r="I169" s="112" t="n">
        <f aca="false">IF(MONTH($A169)=MONTH($A168),IF(G169=0,I168,G169),G169)</f>
        <v>2</v>
      </c>
      <c r="J169" s="112" t="n">
        <f aca="false">IF(MONTH($A169)=MONTH($A168),SUM(I169-I168),I169)</f>
        <v>0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435266</v>
      </c>
      <c r="N169" s="112" t="n">
        <f aca="false">SUM(J$6:J169)</f>
        <v>423563</v>
      </c>
      <c r="P169" s="112" t="n">
        <f aca="false">D169/P$3</f>
        <v>-11.7485917457919</v>
      </c>
      <c r="Q169" s="112" t="n">
        <f aca="false">E169/P$3</f>
        <v>3.29692589401505</v>
      </c>
      <c r="R169" s="112" t="n">
        <f aca="false">F169/R$3</f>
        <v>0</v>
      </c>
      <c r="S169" s="114" t="n">
        <f aca="false">J169/$R$3</f>
        <v>0</v>
      </c>
      <c r="T169" s="114" t="n">
        <f aca="false">L169/$R$3</f>
        <v>0</v>
      </c>
      <c r="U169" s="114" t="n">
        <f aca="false">I169/$R$3</f>
        <v>0.002</v>
      </c>
      <c r="V169" s="114" t="n">
        <f aca="false">M169/$R$3</f>
        <v>435.266</v>
      </c>
      <c r="W169" s="114" t="n">
        <f aca="false">N169/$R$3</f>
        <v>423.563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Data'!$A$2:$B$8,MATCH(WEEKDAY('ARG Gas Firm'!A170,3),'Master Data'!$A$2:$A$8,0),2)</f>
        <v>Th</v>
      </c>
      <c r="D170" s="112" t="n">
        <v>-14908425.9385488</v>
      </c>
      <c r="E170" s="112" t="n">
        <v>4259560.37100637</v>
      </c>
      <c r="F170" s="112"/>
      <c r="G170" s="112" t="n">
        <v>2</v>
      </c>
      <c r="I170" s="112" t="n">
        <f aca="false">IF(MONTH($A170)=MONTH($A169),IF(G170=0,I169,G170),G170)</f>
        <v>2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435266</v>
      </c>
      <c r="N170" s="112" t="n">
        <f aca="false">SUM(J$6:J170)</f>
        <v>423563</v>
      </c>
      <c r="P170" s="112" t="n">
        <f aca="false">D170/P$3</f>
        <v>-14.9084259385488</v>
      </c>
      <c r="Q170" s="112" t="n">
        <f aca="false">E170/P$3</f>
        <v>4.25956037100637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0.002</v>
      </c>
      <c r="V170" s="114" t="n">
        <f aca="false">M170/$R$3</f>
        <v>435.266</v>
      </c>
      <c r="W170" s="114" t="n">
        <f aca="false">N170/$R$3</f>
        <v>423.563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Data'!$A$2:$B$8,MATCH(WEEKDAY('ARG Gas Firm'!A171,3),'Master Data'!$A$2:$A$8,0),2)</f>
        <v>F</v>
      </c>
      <c r="D171" s="112" t="n">
        <v>-14899796.5934316</v>
      </c>
      <c r="E171" s="112" t="n">
        <v>4259684.79452914</v>
      </c>
      <c r="F171" s="112"/>
      <c r="G171" s="112" t="n">
        <v>2</v>
      </c>
      <c r="I171" s="112" t="n">
        <f aca="false">IF(MONTH($A171)=MONTH($A170),IF(G171=0,I170,G171),G171)</f>
        <v>2</v>
      </c>
      <c r="J171" s="112" t="n">
        <f aca="false">IF(MONTH($A171)=MONTH($A170),SUM(I171-I170),I171)</f>
        <v>0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435266</v>
      </c>
      <c r="N171" s="112" t="n">
        <f aca="false">SUM(J$6:J171)</f>
        <v>423563</v>
      </c>
      <c r="P171" s="112" t="n">
        <f aca="false">D171/P$3</f>
        <v>-14.8997965934316</v>
      </c>
      <c r="Q171" s="112" t="n">
        <f aca="false">E171/P$3</f>
        <v>4.25968479452914</v>
      </c>
      <c r="R171" s="112" t="n">
        <f aca="false">F171/R$3</f>
        <v>0</v>
      </c>
      <c r="S171" s="114" t="n">
        <f aca="false">J171/$R$3</f>
        <v>0</v>
      </c>
      <c r="T171" s="114" t="n">
        <f aca="false">L171/$R$3</f>
        <v>0</v>
      </c>
      <c r="U171" s="114" t="n">
        <f aca="false">I171/$R$3</f>
        <v>0.002</v>
      </c>
      <c r="V171" s="114" t="n">
        <f aca="false">M171/$R$3</f>
        <v>435.266</v>
      </c>
      <c r="W171" s="114" t="n">
        <f aca="false">N171/$R$3</f>
        <v>423.563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Data'!$A$2:$B$8,MATCH(WEEKDAY('ARG Gas Firm'!A172,3),'Master Data'!$A$2:$A$8,0),2)</f>
        <v>Sa</v>
      </c>
      <c r="D172" s="112"/>
      <c r="E172" s="112"/>
      <c r="F172" s="112"/>
      <c r="G172" s="112"/>
      <c r="I172" s="112" t="n">
        <f aca="false">IF(MONTH($A172)=MONTH($A171),IF(G172=0,I171,G172),G172)</f>
        <v>2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435266</v>
      </c>
      <c r="N172" s="112" t="n">
        <f aca="false">SUM(J$6:J172)</f>
        <v>423563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0.002</v>
      </c>
      <c r="V172" s="114" t="n">
        <f aca="false">M172/$R$3</f>
        <v>435.266</v>
      </c>
      <c r="W172" s="114" t="n">
        <f aca="false">N172/$R$3</f>
        <v>423.563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Data'!$A$2:$B$8,MATCH(WEEKDAY('ARG Gas Firm'!A173,3),'Master Data'!$A$2:$A$8,0),2)</f>
        <v>Su</v>
      </c>
      <c r="D173" s="112"/>
      <c r="E173" s="112"/>
      <c r="F173" s="112"/>
      <c r="G173" s="112"/>
      <c r="I173" s="112" t="n">
        <f aca="false">IF(MONTH($A173)=MONTH($A172),IF(G173=0,I172,G173),G173)</f>
        <v>2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435266</v>
      </c>
      <c r="N173" s="112" t="n">
        <f aca="false">SUM(J$6:J173)</f>
        <v>423563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0.002</v>
      </c>
      <c r="V173" s="114" t="n">
        <f aca="false">M173/$R$3</f>
        <v>435.266</v>
      </c>
      <c r="W173" s="114" t="n">
        <f aca="false">N173/$R$3</f>
        <v>423.563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Data'!$A$2:$B$8,MATCH(WEEKDAY('ARG Gas Firm'!A174,3),'Master Data'!$A$2:$A$8,0),2)</f>
        <v>M</v>
      </c>
      <c r="D174" s="112" t="n">
        <v>-14906034.1646461</v>
      </c>
      <c r="E174" s="112" t="n">
        <v>4263921.14419312</v>
      </c>
      <c r="F174" s="112"/>
      <c r="G174" s="112" t="n">
        <v>3</v>
      </c>
      <c r="I174" s="112" t="n">
        <f aca="false">IF(MONTH($A174)=MONTH($A173),IF(G174=0,I173,G174),G174)</f>
        <v>3</v>
      </c>
      <c r="J174" s="112" t="n">
        <f aca="false">IF(MONTH($A174)=MONTH($A173),SUM(I174-I173),I174)</f>
        <v>1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435267</v>
      </c>
      <c r="N174" s="112" t="n">
        <f aca="false">SUM(J$6:J174)</f>
        <v>423564</v>
      </c>
      <c r="P174" s="112" t="n">
        <f aca="false">D174/P$3</f>
        <v>-14.9060341646461</v>
      </c>
      <c r="Q174" s="112" t="n">
        <f aca="false">E174/P$3</f>
        <v>4.26392114419312</v>
      </c>
      <c r="R174" s="112" t="n">
        <f aca="false">F174/R$3</f>
        <v>0</v>
      </c>
      <c r="S174" s="114" t="n">
        <f aca="false">J174/$R$3</f>
        <v>0.001</v>
      </c>
      <c r="T174" s="114" t="n">
        <f aca="false">L174/$R$3</f>
        <v>0</v>
      </c>
      <c r="U174" s="114" t="n">
        <f aca="false">I174/$R$3</f>
        <v>0.003</v>
      </c>
      <c r="V174" s="114" t="n">
        <f aca="false">M174/$R$3</f>
        <v>435.267</v>
      </c>
      <c r="W174" s="114" t="n">
        <f aca="false">N174/$R$3</f>
        <v>423.564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Data'!$A$2:$B$8,MATCH(WEEKDAY('ARG Gas Firm'!A175,3),'Master Data'!$A$2:$A$8,0),2)</f>
        <v>T</v>
      </c>
      <c r="D175" s="112" t="n">
        <v>-14987044.5749346</v>
      </c>
      <c r="E175" s="112" t="n">
        <v>4293207.1267221</v>
      </c>
      <c r="F175" s="112"/>
      <c r="G175" s="112" t="n">
        <v>5</v>
      </c>
      <c r="I175" s="112" t="n">
        <f aca="false">IF(MONTH($A175)=MONTH($A174),IF(G175=0,I174,G175),G175)</f>
        <v>5</v>
      </c>
      <c r="J175" s="112" t="n">
        <f aca="false">IF(MONTH($A175)=MONTH($A174),SUM(I175-I174),I175)</f>
        <v>2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435269</v>
      </c>
      <c r="N175" s="112" t="n">
        <f aca="false">SUM(J$6:J175)</f>
        <v>423566</v>
      </c>
      <c r="P175" s="112" t="n">
        <f aca="false">D175/P$3</f>
        <v>-14.9870445749346</v>
      </c>
      <c r="Q175" s="112" t="n">
        <f aca="false">E175/P$3</f>
        <v>4.2932071267221</v>
      </c>
      <c r="R175" s="112" t="n">
        <f aca="false">F175/R$3</f>
        <v>0</v>
      </c>
      <c r="S175" s="114" t="n">
        <f aca="false">J175/$R$3</f>
        <v>0.002</v>
      </c>
      <c r="T175" s="114" t="n">
        <f aca="false">L175/$R$3</f>
        <v>0</v>
      </c>
      <c r="U175" s="114" t="n">
        <f aca="false">I175/$R$3</f>
        <v>0.005</v>
      </c>
      <c r="V175" s="114" t="n">
        <f aca="false">M175/$R$3</f>
        <v>435.269</v>
      </c>
      <c r="W175" s="114" t="n">
        <f aca="false">N175/$R$3</f>
        <v>423.566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Data'!$A$2:$B$8,MATCH(WEEKDAY('ARG Gas Firm'!A176,3),'Master Data'!$A$2:$A$8,0),2)</f>
        <v>W</v>
      </c>
      <c r="D176" s="112" t="n">
        <v>-14938948.4708687</v>
      </c>
      <c r="E176" s="112" t="n">
        <v>4271239.34159276</v>
      </c>
      <c r="F176" s="112"/>
      <c r="G176" s="112" t="n">
        <v>3</v>
      </c>
      <c r="I176" s="112" t="n">
        <f aca="false">IF(MONTH($A176)=MONTH($A175),IF(G176=0,I175,G176),G176)</f>
        <v>3</v>
      </c>
      <c r="J176" s="112" t="n">
        <f aca="false">IF(MONTH($A176)=MONTH($A175),SUM(I176-I175),I176)</f>
        <v>-2</v>
      </c>
      <c r="K176" s="112" t="n">
        <f aca="false">IF(WEEKDAY(A176,3)&gt;4,0,(IF(A176&lt;K$2,0,IF(A176&lt;=K$3,1,0))))</f>
        <v>0</v>
      </c>
      <c r="L176" s="112" t="n">
        <f aca="false">J176*K176</f>
        <v>-0</v>
      </c>
      <c r="M176" s="112" t="n">
        <f aca="false">SUM(J$97:J176)</f>
        <v>435267</v>
      </c>
      <c r="N176" s="112" t="n">
        <f aca="false">SUM(J$6:J176)</f>
        <v>423564</v>
      </c>
      <c r="P176" s="112" t="n">
        <f aca="false">D176/P$3</f>
        <v>-14.9389484708687</v>
      </c>
      <c r="Q176" s="112" t="n">
        <f aca="false">E176/P$3</f>
        <v>4.27123934159276</v>
      </c>
      <c r="R176" s="112" t="n">
        <f aca="false">F176/R$3</f>
        <v>0</v>
      </c>
      <c r="S176" s="114" t="n">
        <f aca="false">J176/$R$3</f>
        <v>-0.002</v>
      </c>
      <c r="T176" s="114" t="n">
        <f aca="false">L176/$R$3</f>
        <v>-0</v>
      </c>
      <c r="U176" s="114" t="n">
        <f aca="false">I176/$R$3</f>
        <v>0.003</v>
      </c>
      <c r="V176" s="114" t="n">
        <f aca="false">M176/$R$3</f>
        <v>435.267</v>
      </c>
      <c r="W176" s="114" t="n">
        <f aca="false">N176/$R$3</f>
        <v>423.564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Data'!$A$2:$B$8,MATCH(WEEKDAY('ARG Gas Firm'!A177,3),'Master Data'!$A$2:$A$8,0),2)</f>
        <v>Th</v>
      </c>
      <c r="D177" s="112" t="n">
        <v>-14940852.4402631</v>
      </c>
      <c r="E177" s="112" t="n">
        <v>4269146.04679975</v>
      </c>
      <c r="F177" s="112"/>
      <c r="G177" s="112" t="n">
        <v>3</v>
      </c>
      <c r="I177" s="112" t="n">
        <f aca="false">IF(MONTH($A177)=MONTH($A176),IF(G177=0,I176,G177),G177)</f>
        <v>3</v>
      </c>
      <c r="J177" s="112" t="n">
        <f aca="false">IF(MONTH($A177)=MONTH($A176),SUM(I177-I176),I177)</f>
        <v>0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435267</v>
      </c>
      <c r="N177" s="112" t="n">
        <f aca="false">SUM(J$6:J177)</f>
        <v>423564</v>
      </c>
      <c r="P177" s="112" t="n">
        <f aca="false">D177/P$3</f>
        <v>-14.9408524402631</v>
      </c>
      <c r="Q177" s="112" t="n">
        <f aca="false">E177/P$3</f>
        <v>4.26914604679975</v>
      </c>
      <c r="R177" s="112" t="n">
        <f aca="false">F177/R$3</f>
        <v>0</v>
      </c>
      <c r="S177" s="114" t="n">
        <f aca="false">J177/$R$3</f>
        <v>0</v>
      </c>
      <c r="T177" s="114" t="n">
        <f aca="false">L177/$R$3</f>
        <v>0</v>
      </c>
      <c r="U177" s="114" t="n">
        <f aca="false">I177/$R$3</f>
        <v>0.003</v>
      </c>
      <c r="V177" s="114" t="n">
        <f aca="false">M177/$R$3</f>
        <v>435.267</v>
      </c>
      <c r="W177" s="114" t="n">
        <f aca="false">N177/$R$3</f>
        <v>423.564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Data'!$A$2:$B$8,MATCH(WEEKDAY('ARG Gas Firm'!A178,3),'Master Data'!$A$2:$A$8,0),2)</f>
        <v>F</v>
      </c>
      <c r="D178" s="112" t="n">
        <v>-15014100.4100781</v>
      </c>
      <c r="E178" s="112" t="n">
        <v>4279436.80000591</v>
      </c>
      <c r="F178" s="112"/>
      <c r="G178" s="112" t="n">
        <v>93161</v>
      </c>
      <c r="I178" s="112" t="n">
        <f aca="false">IF(MONTH($A178)=MONTH($A177),IF(G178=0,I177,G178),G178)</f>
        <v>93161</v>
      </c>
      <c r="J178" s="112" t="n">
        <f aca="false">IF(MONTH($A178)=MONTH($A177),SUM(I178-I177),I178)</f>
        <v>93158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528425</v>
      </c>
      <c r="N178" s="112" t="n">
        <f aca="false">SUM(J$6:J178)</f>
        <v>516722</v>
      </c>
      <c r="P178" s="112" t="n">
        <f aca="false">D178/P$3</f>
        <v>-15.0141004100781</v>
      </c>
      <c r="Q178" s="112" t="n">
        <f aca="false">E178/P$3</f>
        <v>4.27943680000591</v>
      </c>
      <c r="R178" s="112" t="n">
        <f aca="false">F178/R$3</f>
        <v>0</v>
      </c>
      <c r="S178" s="114" t="n">
        <f aca="false">J178/$R$3</f>
        <v>93.158</v>
      </c>
      <c r="T178" s="114" t="n">
        <f aca="false">L178/$R$3</f>
        <v>0</v>
      </c>
      <c r="U178" s="114" t="n">
        <f aca="false">I178/$R$3</f>
        <v>93.161</v>
      </c>
      <c r="V178" s="114" t="n">
        <f aca="false">M178/$R$3</f>
        <v>528.425</v>
      </c>
      <c r="W178" s="114" t="n">
        <f aca="false">N178/$R$3</f>
        <v>516.722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Data'!$A$2:$B$8,MATCH(WEEKDAY('ARG Gas Firm'!A179,3),'Master Data'!$A$2:$A$8,0),2)</f>
        <v>Sa</v>
      </c>
      <c r="D179" s="112"/>
      <c r="E179" s="112"/>
      <c r="F179" s="112"/>
      <c r="G179" s="112"/>
      <c r="I179" s="112" t="n">
        <f aca="false">IF(MONTH($A179)=MONTH($A178),IF(G179=0,I178,G179),G179)</f>
        <v>93161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528425</v>
      </c>
      <c r="N179" s="112" t="n">
        <f aca="false">SUM(J$6:J179)</f>
        <v>516722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93.161</v>
      </c>
      <c r="V179" s="114" t="n">
        <f aca="false">M179/$R$3</f>
        <v>528.425</v>
      </c>
      <c r="W179" s="114" t="n">
        <f aca="false">N179/$R$3</f>
        <v>516.722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Data'!$A$2:$B$8,MATCH(WEEKDAY('ARG Gas Firm'!A180,3),'Master Data'!$A$2:$A$8,0),2)</f>
        <v>Su</v>
      </c>
      <c r="D180" s="112"/>
      <c r="E180" s="112"/>
      <c r="F180" s="112"/>
      <c r="G180" s="112"/>
      <c r="I180" s="112" t="n">
        <f aca="false">IF(MONTH($A180)=MONTH($A179),IF(G180=0,I179,G180),G180)</f>
        <v>93161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528425</v>
      </c>
      <c r="N180" s="112" t="n">
        <f aca="false">SUM(J$6:J180)</f>
        <v>516722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93.161</v>
      </c>
      <c r="V180" s="114" t="n">
        <f aca="false">M180/$R$3</f>
        <v>528.425</v>
      </c>
      <c r="W180" s="114" t="n">
        <f aca="false">N180/$R$3</f>
        <v>516.722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Data'!$A$2:$B$8,MATCH(WEEKDAY('ARG Gas Firm'!A181,3),'Master Data'!$A$2:$A$8,0),2)</f>
        <v>M</v>
      </c>
      <c r="D181" s="112" t="n">
        <v>-15015221.8936718</v>
      </c>
      <c r="E181" s="112" t="n">
        <v>4279326.64147134</v>
      </c>
      <c r="F181" s="112"/>
      <c r="G181" s="112" t="n">
        <v>93161</v>
      </c>
      <c r="I181" s="112" t="n">
        <f aca="false">IF(MONTH($A181)=MONTH($A180),IF(G181=0,I180,G181),G181)</f>
        <v>93161</v>
      </c>
      <c r="J181" s="112" t="n">
        <f aca="false">IF(MONTH($A181)=MONTH($A180),SUM(I181-I180),I181)</f>
        <v>0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528425</v>
      </c>
      <c r="N181" s="112" t="n">
        <f aca="false">SUM(J$6:J181)</f>
        <v>516722</v>
      </c>
      <c r="P181" s="112" t="n">
        <f aca="false">D181/P$3</f>
        <v>-15.0152218936718</v>
      </c>
      <c r="Q181" s="112" t="n">
        <f aca="false">E181/P$3</f>
        <v>4.27932664147134</v>
      </c>
      <c r="R181" s="112" t="n">
        <f aca="false">F181/R$3</f>
        <v>0</v>
      </c>
      <c r="S181" s="114" t="n">
        <f aca="false">J181/$R$3</f>
        <v>0</v>
      </c>
      <c r="T181" s="114" t="n">
        <f aca="false">L181/$R$3</f>
        <v>0</v>
      </c>
      <c r="U181" s="114" t="n">
        <f aca="false">I181/$R$3</f>
        <v>93.161</v>
      </c>
      <c r="V181" s="114" t="n">
        <f aca="false">M181/$R$3</f>
        <v>528.425</v>
      </c>
      <c r="W181" s="114" t="n">
        <f aca="false">N181/$R$3</f>
        <v>516.722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Data'!$A$2:$B$8,MATCH(WEEKDAY('ARG Gas Firm'!A182,3),'Master Data'!$A$2:$A$8,0),2)</f>
        <v>T</v>
      </c>
      <c r="D182" s="112" t="n">
        <v>-14965082.1078634</v>
      </c>
      <c r="E182" s="112" t="n">
        <v>4267841.39251854</v>
      </c>
      <c r="F182" s="112"/>
      <c r="G182" s="112" t="n">
        <v>93160</v>
      </c>
      <c r="I182" s="112" t="n">
        <f aca="false">IF(MONTH($A182)=MONTH($A181),IF(G182=0,I181,G182),G182)</f>
        <v>93160</v>
      </c>
      <c r="J182" s="112" t="n">
        <f aca="false">IF(MONTH($A182)=MONTH($A181),SUM(I182-I181),I182)</f>
        <v>-1</v>
      </c>
      <c r="K182" s="112" t="n">
        <f aca="false">IF(WEEKDAY(A182,3)&gt;4,0,(IF(A182&lt;K$2,0,IF(A182&lt;=K$3,1,0))))</f>
        <v>0</v>
      </c>
      <c r="L182" s="112" t="n">
        <f aca="false">J182*K182</f>
        <v>-0</v>
      </c>
      <c r="M182" s="112" t="n">
        <f aca="false">SUM(J$97:J182)</f>
        <v>528424</v>
      </c>
      <c r="N182" s="112" t="n">
        <f aca="false">SUM(J$6:J182)</f>
        <v>516721</v>
      </c>
      <c r="P182" s="112" t="n">
        <f aca="false">D182/P$3</f>
        <v>-14.9650821078634</v>
      </c>
      <c r="Q182" s="112" t="n">
        <f aca="false">E182/P$3</f>
        <v>4.26784139251854</v>
      </c>
      <c r="R182" s="112" t="n">
        <f aca="false">F182/R$3</f>
        <v>0</v>
      </c>
      <c r="S182" s="114" t="n">
        <f aca="false">J182/$R$3</f>
        <v>-0.001</v>
      </c>
      <c r="T182" s="114" t="n">
        <f aca="false">L182/$R$3</f>
        <v>-0</v>
      </c>
      <c r="U182" s="114" t="n">
        <f aca="false">I182/$R$3</f>
        <v>93.16</v>
      </c>
      <c r="V182" s="114" t="n">
        <f aca="false">M182/$R$3</f>
        <v>528.424</v>
      </c>
      <c r="W182" s="114" t="n">
        <f aca="false">N182/$R$3</f>
        <v>516.721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Data'!$A$2:$B$8,MATCH(WEEKDAY('ARG Gas Firm'!A183,3),'Master Data'!$A$2:$A$8,0),2)</f>
        <v>W</v>
      </c>
      <c r="D183" s="112" t="n">
        <v>-14924490.4902625</v>
      </c>
      <c r="E183" s="112" t="n">
        <v>4257276.44057676</v>
      </c>
      <c r="F183" s="112"/>
      <c r="G183" s="112" t="n">
        <v>93160</v>
      </c>
      <c r="I183" s="112" t="n">
        <f aca="false">IF(MONTH($A183)=MONTH($A182),IF(G183=0,I182,G183),G183)</f>
        <v>93160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528424</v>
      </c>
      <c r="N183" s="112" t="n">
        <f aca="false">SUM(J$6:J183)</f>
        <v>516721</v>
      </c>
      <c r="P183" s="112" t="n">
        <f aca="false">D183/P$3</f>
        <v>-14.9244904902625</v>
      </c>
      <c r="Q183" s="112" t="n">
        <f aca="false">E183/P$3</f>
        <v>4.25727644057676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93.16</v>
      </c>
      <c r="V183" s="114" t="n">
        <f aca="false">M183/$R$3</f>
        <v>528.424</v>
      </c>
      <c r="W183" s="114" t="n">
        <f aca="false">N183/$R$3</f>
        <v>516.721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Data'!$A$2:$B$8,MATCH(WEEKDAY('ARG Gas Firm'!A184,3),'Master Data'!$A$2:$A$8,0),2)</f>
        <v>Th</v>
      </c>
      <c r="D184" s="112" t="n">
        <v>-14844852.3660832</v>
      </c>
      <c r="E184" s="112" t="n">
        <v>4238165.63586541</v>
      </c>
      <c r="F184" s="112"/>
      <c r="G184" s="112" t="n">
        <v>92806</v>
      </c>
      <c r="I184" s="112" t="n">
        <f aca="false">IF(MONTH($A184)=MONTH($A183),IF(G184=0,I183,G184),G184)</f>
        <v>92806</v>
      </c>
      <c r="J184" s="112" t="n">
        <f aca="false">IF(MONTH($A184)=MONTH($A183),SUM(I184-I183),I184)</f>
        <v>-354</v>
      </c>
      <c r="K184" s="112" t="n">
        <f aca="false">IF(WEEKDAY(A184,3)&gt;4,0,(IF(A184&lt;K$2,0,IF(A184&lt;=K$3,1,0))))</f>
        <v>0</v>
      </c>
      <c r="L184" s="112" t="n">
        <f aca="false">J184*K184</f>
        <v>-0</v>
      </c>
      <c r="M184" s="112" t="n">
        <f aca="false">SUM(J$97:J184)</f>
        <v>528070</v>
      </c>
      <c r="N184" s="112" t="n">
        <f aca="false">SUM(J$6:J184)</f>
        <v>516367</v>
      </c>
      <c r="P184" s="112" t="n">
        <f aca="false">D184/P$3</f>
        <v>-14.8448523660832</v>
      </c>
      <c r="Q184" s="112" t="n">
        <f aca="false">E184/P$3</f>
        <v>4.23816563586541</v>
      </c>
      <c r="R184" s="112" t="n">
        <f aca="false">F184/R$3</f>
        <v>0</v>
      </c>
      <c r="S184" s="114" t="n">
        <f aca="false">J184/$R$3</f>
        <v>-0.354</v>
      </c>
      <c r="T184" s="114" t="n">
        <f aca="false">L184/$R$3</f>
        <v>-0</v>
      </c>
      <c r="U184" s="114" t="n">
        <f aca="false">I184/$R$3</f>
        <v>92.806</v>
      </c>
      <c r="V184" s="114" t="n">
        <f aca="false">M184/$R$3</f>
        <v>528.07</v>
      </c>
      <c r="W184" s="114" t="n">
        <f aca="false">N184/$R$3</f>
        <v>516.367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Data'!$A$2:$B$8,MATCH(WEEKDAY('ARG Gas Firm'!A185,3),'Master Data'!$A$2:$A$8,0),2)</f>
        <v>F</v>
      </c>
      <c r="D185" s="112" t="n">
        <v>-15818383.5916712</v>
      </c>
      <c r="E185" s="112" t="n">
        <v>4233572.83705155</v>
      </c>
      <c r="F185" s="112"/>
      <c r="G185" s="112" t="n">
        <v>1169374</v>
      </c>
      <c r="I185" s="112" t="n">
        <f aca="false">IF(MONTH($A185)=MONTH($A184),IF(G185=0,I184,G185),G185)</f>
        <v>1169374</v>
      </c>
      <c r="J185" s="112" t="n">
        <f aca="false">IF(MONTH($A185)=MONTH($A184),SUM(I185-I184),I185)</f>
        <v>1076568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1604638</v>
      </c>
      <c r="N185" s="112" t="n">
        <f aca="false">SUM(J$6:J185)</f>
        <v>1592935</v>
      </c>
      <c r="P185" s="112" t="n">
        <f aca="false">D185/P$3</f>
        <v>-15.8183835916712</v>
      </c>
      <c r="Q185" s="112" t="n">
        <f aca="false">E185/P$3</f>
        <v>4.23357283705155</v>
      </c>
      <c r="R185" s="112" t="n">
        <f aca="false">F185/R$3</f>
        <v>0</v>
      </c>
      <c r="S185" s="114" t="n">
        <f aca="false">J185/$R$3</f>
        <v>1076.568</v>
      </c>
      <c r="T185" s="114" t="n">
        <f aca="false">L185/$R$3</f>
        <v>0</v>
      </c>
      <c r="U185" s="114" t="n">
        <f aca="false">I185/$R$3</f>
        <v>1169.374</v>
      </c>
      <c r="V185" s="114" t="n">
        <f aca="false">M185/$R$3</f>
        <v>1604.638</v>
      </c>
      <c r="W185" s="114" t="n">
        <f aca="false">N185/$R$3</f>
        <v>1592.935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Data'!$A$2:$B$8,MATCH(WEEKDAY('ARG Gas Firm'!A186,3),'Master Data'!$A$2:$A$8,0),2)</f>
        <v>Sa</v>
      </c>
      <c r="D186" s="112"/>
      <c r="E186" s="112"/>
      <c r="F186" s="112"/>
      <c r="G186" s="112"/>
      <c r="I186" s="112" t="n">
        <f aca="false">IF(MONTH($A186)=MONTH($A185),IF(G186=0,I185,G186),G186)</f>
        <v>1169374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1604638</v>
      </c>
      <c r="N186" s="112" t="n">
        <f aca="false">SUM(J$6:J186)</f>
        <v>1592935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1169.374</v>
      </c>
      <c r="V186" s="114" t="n">
        <f aca="false">M186/$R$3</f>
        <v>1604.638</v>
      </c>
      <c r="W186" s="114" t="n">
        <f aca="false">N186/$R$3</f>
        <v>1592.935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Data'!$A$2:$B$8,MATCH(WEEKDAY('ARG Gas Firm'!A187,3),'Master Data'!$A$2:$A$8,0),2)</f>
        <v>Su</v>
      </c>
      <c r="D187" s="112"/>
      <c r="E187" s="112"/>
      <c r="F187" s="112"/>
      <c r="G187" s="112"/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1604638</v>
      </c>
      <c r="N187" s="112" t="n">
        <f aca="false">SUM(J$6:J187)</f>
        <v>1592935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1604.638</v>
      </c>
      <c r="W187" s="114" t="n">
        <f aca="false">N187/$R$3</f>
        <v>1592.935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Data'!$A$2:$B$8,MATCH(WEEKDAY('ARG Gas Firm'!A188,3),'Master Data'!$A$2:$A$8,0),2)</f>
        <v>M</v>
      </c>
      <c r="D188" s="112" t="n">
        <v>-15848833.2416935</v>
      </c>
      <c r="E188" s="112" t="n">
        <v>4243161.03076066</v>
      </c>
      <c r="F188" s="112"/>
      <c r="G188" s="112" t="n">
        <v>29</v>
      </c>
      <c r="I188" s="112" t="n">
        <f aca="false">IF(MONTH($A188)=MONTH($A187),IF(G188=0,I187,G188),G188)</f>
        <v>29</v>
      </c>
      <c r="J188" s="112" t="n">
        <f aca="false">IF(MONTH($A188)=MONTH($A187),SUM(I188-I187),I188)</f>
        <v>29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29</v>
      </c>
      <c r="N188" s="112" t="n">
        <f aca="false">SUM(J$6:J188)</f>
        <v>1592964</v>
      </c>
      <c r="P188" s="112" t="n">
        <f aca="false">D188/P$3</f>
        <v>-15.8488332416935</v>
      </c>
      <c r="Q188" s="112" t="n">
        <f aca="false">E188/P$3</f>
        <v>4.24316103076066</v>
      </c>
      <c r="R188" s="112" t="n">
        <f aca="false">F188/R$3</f>
        <v>0</v>
      </c>
      <c r="S188" s="114" t="n">
        <f aca="false">J188/$R$3</f>
        <v>0.029</v>
      </c>
      <c r="T188" s="114" t="n">
        <f aca="false">L188/$R$3</f>
        <v>0</v>
      </c>
      <c r="U188" s="114" t="n">
        <f aca="false">I188/$R$3</f>
        <v>0.029</v>
      </c>
      <c r="V188" s="114" t="n">
        <f aca="false">M188/$R$3</f>
        <v>0.029</v>
      </c>
      <c r="W188" s="114" t="n">
        <f aca="false">N188/$R$3</f>
        <v>1592.964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Data'!$A$2:$B$8,MATCH(WEEKDAY('ARG Gas Firm'!A189,3),'Master Data'!$A$2:$A$8,0),2)</f>
        <v>T</v>
      </c>
      <c r="D189" s="112" t="n">
        <v>-15831010.9297469</v>
      </c>
      <c r="E189" s="112" t="n">
        <v>4240018.25023712</v>
      </c>
      <c r="F189" s="112"/>
      <c r="G189" s="112" t="n">
        <v>29</v>
      </c>
      <c r="I189" s="112" t="n">
        <f aca="false">IF(MONTH($A189)=MONTH($A188),IF(G189=0,I188,G189),G189)</f>
        <v>29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29</v>
      </c>
      <c r="N189" s="112" t="n">
        <f aca="false">SUM(J$6:J189)</f>
        <v>1592964</v>
      </c>
      <c r="P189" s="112" t="n">
        <f aca="false">D189/P$3</f>
        <v>-15.8310109297469</v>
      </c>
      <c r="Q189" s="112" t="n">
        <f aca="false">E189/P$3</f>
        <v>4.24001825023712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0.029</v>
      </c>
      <c r="V189" s="114" t="n">
        <f aca="false">M189/$R$3</f>
        <v>0.029</v>
      </c>
      <c r="W189" s="114" t="n">
        <f aca="false">N189/$R$3</f>
        <v>1592.964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Data'!$A$2:$B$8,MATCH(WEEKDAY('ARG Gas Firm'!A190,3),'Master Data'!$A$2:$A$8,0),2)</f>
        <v>W</v>
      </c>
      <c r="D190" s="112"/>
      <c r="E190" s="112"/>
      <c r="F190" s="112"/>
      <c r="G190" s="112"/>
      <c r="I190" s="112" t="n">
        <f aca="false">IF(MONTH($A190)=MONTH($A189),IF(G190=0,I189,G190),G190)</f>
        <v>29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29</v>
      </c>
      <c r="N190" s="112" t="n">
        <f aca="false">SUM(J$6:J190)</f>
        <v>1592964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0.029</v>
      </c>
      <c r="V190" s="114" t="n">
        <f aca="false">M190/$R$3</f>
        <v>0.029</v>
      </c>
      <c r="W190" s="114" t="n">
        <f aca="false">N190/$R$3</f>
        <v>1592.964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Data'!$A$2:$B$8,MATCH(WEEKDAY('ARG Gas Firm'!A191,3),'Master Data'!$A$2:$A$8,0),2)</f>
        <v>Th</v>
      </c>
      <c r="D191" s="112" t="n">
        <v>-15820521.0470323</v>
      </c>
      <c r="E191" s="112" t="n">
        <v>4236923.83062632</v>
      </c>
      <c r="F191" s="112"/>
      <c r="G191" s="112" t="n">
        <v>30</v>
      </c>
      <c r="I191" s="112" t="n">
        <f aca="false">IF(MONTH($A191)=MONTH($A190),IF(G191=0,I190,G191),G191)</f>
        <v>30</v>
      </c>
      <c r="J191" s="112" t="n">
        <f aca="false">IF(MONTH($A191)=MONTH($A190),SUM(I191-I190),I191)</f>
        <v>1</v>
      </c>
      <c r="K191" s="112" t="n">
        <f aca="false">IF(WEEKDAY(A191,3)&gt;4,0,(IF(A191&lt;K$2,0,IF(A191&lt;=K$3,1,0))))</f>
        <v>1</v>
      </c>
      <c r="L191" s="112" t="n">
        <f aca="false">J191*K191</f>
        <v>1</v>
      </c>
      <c r="M191" s="112" t="n">
        <f aca="false">SUM(J$188:J191)</f>
        <v>30</v>
      </c>
      <c r="N191" s="112" t="n">
        <f aca="false">SUM(J$6:J191)</f>
        <v>1592965</v>
      </c>
      <c r="P191" s="112" t="n">
        <f aca="false">D191/P$3</f>
        <v>-15.8205210470323</v>
      </c>
      <c r="Q191" s="112" t="n">
        <f aca="false">E191/P$3</f>
        <v>4.23692383062632</v>
      </c>
      <c r="R191" s="112" t="n">
        <f aca="false">F191/R$3</f>
        <v>0</v>
      </c>
      <c r="S191" s="114" t="n">
        <f aca="false">J191/$R$3</f>
        <v>0.001</v>
      </c>
      <c r="T191" s="114" t="n">
        <f aca="false">L191/$R$3</f>
        <v>0.001</v>
      </c>
      <c r="U191" s="114" t="n">
        <f aca="false">I191/$R$3</f>
        <v>0.03</v>
      </c>
      <c r="V191" s="114" t="n">
        <f aca="false">M191/$R$3</f>
        <v>0.03</v>
      </c>
      <c r="W191" s="114" t="n">
        <f aca="false">N191/$R$3</f>
        <v>1592.965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Data'!$A$2:$B$8,MATCH(WEEKDAY('ARG Gas Firm'!A192,3),'Master Data'!$A$2:$A$8,0),2)</f>
        <v>F</v>
      </c>
      <c r="D192" s="112" t="n">
        <v>-15875936.0093002</v>
      </c>
      <c r="E192" s="112" t="n">
        <v>4251338.38524079</v>
      </c>
      <c r="F192" s="112"/>
      <c r="G192" s="112" t="n">
        <v>28</v>
      </c>
      <c r="I192" s="112" t="n">
        <f aca="false">IF(MONTH($A192)=MONTH($A191),IF(G192=0,I191,G192),G192)</f>
        <v>28</v>
      </c>
      <c r="J192" s="112" t="n">
        <f aca="false">IF(MONTH($A192)=MONTH($A191),SUM(I192-I191),I192)</f>
        <v>-2</v>
      </c>
      <c r="K192" s="112" t="n">
        <f aca="false">IF(WEEKDAY(A192,3)&gt;4,0,(IF(A192&lt;K$2,0,IF(A192&lt;=K$3,1,0))))</f>
        <v>1</v>
      </c>
      <c r="L192" s="112" t="n">
        <f aca="false">J192*K192</f>
        <v>-2</v>
      </c>
      <c r="M192" s="112" t="n">
        <f aca="false">SUM(J$188:J192)</f>
        <v>28</v>
      </c>
      <c r="N192" s="112" t="n">
        <f aca="false">SUM(J$6:J192)</f>
        <v>1592963</v>
      </c>
      <c r="P192" s="112" t="n">
        <f aca="false">D192/P$3</f>
        <v>-15.8759360093002</v>
      </c>
      <c r="Q192" s="112" t="n">
        <f aca="false">E192/P$3</f>
        <v>4.25133838524079</v>
      </c>
      <c r="R192" s="112" t="n">
        <f aca="false">F192/R$3</f>
        <v>0</v>
      </c>
      <c r="S192" s="114" t="n">
        <f aca="false">J192/$R$3</f>
        <v>-0.002</v>
      </c>
      <c r="T192" s="114" t="n">
        <f aca="false">L192/$R$3</f>
        <v>-0.002</v>
      </c>
      <c r="U192" s="114" t="n">
        <f aca="false">I192/$R$3</f>
        <v>0.028</v>
      </c>
      <c r="V192" s="114" t="n">
        <f aca="false">M192/$R$3</f>
        <v>0.028</v>
      </c>
      <c r="W192" s="114" t="n">
        <f aca="false">N192/$R$3</f>
        <v>1592.963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Data'!$A$2:$B$8,MATCH(WEEKDAY('ARG Gas Firm'!A193,3),'Master Data'!$A$2:$A$8,0),2)</f>
        <v>Sa</v>
      </c>
      <c r="D193" s="112"/>
      <c r="E193" s="112"/>
      <c r="F193" s="112"/>
      <c r="G193" s="112"/>
      <c r="I193" s="112" t="n">
        <f aca="false">IF(MONTH($A193)=MONTH($A192),IF(G193=0,I192,G193),G193)</f>
        <v>28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28</v>
      </c>
      <c r="N193" s="112" t="n">
        <f aca="false">SUM(J$6:J193)</f>
        <v>1592963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0.028</v>
      </c>
      <c r="V193" s="114" t="n">
        <f aca="false">M193/$R$3</f>
        <v>0.028</v>
      </c>
      <c r="W193" s="114" t="n">
        <f aca="false">N193/$R$3</f>
        <v>1592.963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Data'!$A$2:$B$8,MATCH(WEEKDAY('ARG Gas Firm'!A194,3),'Master Data'!$A$2:$A$8,0),2)</f>
        <v>Su</v>
      </c>
      <c r="D194" s="112"/>
      <c r="E194" s="112"/>
      <c r="F194" s="112"/>
      <c r="G194" s="112"/>
      <c r="I194" s="112" t="n">
        <f aca="false">IF(MONTH($A194)=MONTH($A193),IF(G194=0,I193,G194),G194)</f>
        <v>28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28</v>
      </c>
      <c r="N194" s="112" t="n">
        <f aca="false">SUM(J$6:J194)</f>
        <v>1592963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0.028</v>
      </c>
      <c r="V194" s="114" t="n">
        <f aca="false">M194/$R$3</f>
        <v>0.028</v>
      </c>
      <c r="W194" s="114" t="n">
        <f aca="false">N194/$R$3</f>
        <v>1592.963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Data'!$A$2:$B$8,MATCH(WEEKDAY('ARG Gas Firm'!A195,3),'Master Data'!$A$2:$A$8,0),2)</f>
        <v>M</v>
      </c>
      <c r="D195" s="112" t="n">
        <v>-15892115.938224</v>
      </c>
      <c r="E195" s="112" t="n">
        <v>4255486.82896927</v>
      </c>
      <c r="F195" s="112"/>
      <c r="G195" s="112" t="n">
        <v>27</v>
      </c>
      <c r="I195" s="112" t="n">
        <f aca="false">IF(MONTH($A195)=MONTH($A194),IF(G195=0,I194,G195),G195)</f>
        <v>27</v>
      </c>
      <c r="J195" s="112" t="n">
        <f aca="false">IF(MONTH($A195)=MONTH($A194),SUM(I195-I194),I195)</f>
        <v>-1</v>
      </c>
      <c r="K195" s="112" t="n">
        <f aca="false">IF(WEEKDAY(A195,3)&gt;4,0,(IF(A195&lt;K$2,0,IF(A195&lt;=K$3,1,0))))</f>
        <v>1</v>
      </c>
      <c r="L195" s="112" t="n">
        <f aca="false">J195*K195</f>
        <v>-1</v>
      </c>
      <c r="M195" s="112" t="n">
        <f aca="false">SUM(J$188:J195)</f>
        <v>27</v>
      </c>
      <c r="N195" s="112" t="n">
        <f aca="false">SUM(J$6:J195)</f>
        <v>1592962</v>
      </c>
      <c r="P195" s="112" t="n">
        <f aca="false">D195/P$3</f>
        <v>-15.892115938224</v>
      </c>
      <c r="Q195" s="112" t="n">
        <f aca="false">E195/P$3</f>
        <v>4.25548682896927</v>
      </c>
      <c r="R195" s="112" t="n">
        <f aca="false">F195/R$3</f>
        <v>0</v>
      </c>
      <c r="S195" s="114" t="n">
        <f aca="false">J195/$R$3</f>
        <v>-0.001</v>
      </c>
      <c r="T195" s="114" t="n">
        <f aca="false">L195/$R$3</f>
        <v>-0.001</v>
      </c>
      <c r="U195" s="114" t="n">
        <f aca="false">I195/$R$3</f>
        <v>0.027</v>
      </c>
      <c r="V195" s="114" t="n">
        <f aca="false">M195/$R$3</f>
        <v>0.027</v>
      </c>
      <c r="W195" s="114" t="n">
        <f aca="false">N195/$R$3</f>
        <v>1592.962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Data'!$A$2:$B$8,MATCH(WEEKDAY('ARG Gas Firm'!A196,3),'Master Data'!$A$2:$A$8,0),2)</f>
        <v>T</v>
      </c>
      <c r="D196" s="112"/>
      <c r="E196" s="112"/>
      <c r="F196" s="112"/>
      <c r="G196" s="112"/>
      <c r="I196" s="112" t="n">
        <f aca="false">IF(MONTH($A196)=MONTH($A195),IF(G196=0,I195,G196),G196)</f>
        <v>27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27</v>
      </c>
      <c r="N196" s="112" t="n">
        <f aca="false">SUM(J$6:J196)</f>
        <v>1592962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0.027</v>
      </c>
      <c r="V196" s="114" t="n">
        <f aca="false">M196/$R$3</f>
        <v>0.027</v>
      </c>
      <c r="W196" s="114" t="n">
        <f aca="false">N196/$R$3</f>
        <v>1592.962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Data'!$A$2:$B$8,MATCH(WEEKDAY('ARG Gas Firm'!A197,3),'Master Data'!$A$2:$A$8,0),2)</f>
        <v>W</v>
      </c>
      <c r="D197" s="112"/>
      <c r="E197" s="112"/>
      <c r="F197" s="112"/>
      <c r="G197" s="112"/>
      <c r="I197" s="112" t="n">
        <f aca="false">IF(MONTH($A197)=MONTH($A196),IF(G197=0,I196,G197),G197)</f>
        <v>27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27</v>
      </c>
      <c r="N197" s="112" t="n">
        <f aca="false">SUM(J$6:J197)</f>
        <v>1592962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0.027</v>
      </c>
      <c r="V197" s="114" t="n">
        <f aca="false">M197/$R$3</f>
        <v>0.027</v>
      </c>
      <c r="W197" s="114" t="n">
        <f aca="false">N197/$R$3</f>
        <v>1592.962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Data'!$A$2:$B$8,MATCH(WEEKDAY('ARG Gas Firm'!A198,3),'Master Data'!$A$2:$A$8,0),2)</f>
        <v>Th</v>
      </c>
      <c r="D198" s="112"/>
      <c r="E198" s="112"/>
      <c r="F198" s="112"/>
      <c r="G198" s="112"/>
      <c r="I198" s="112" t="n">
        <f aca="false">IF(MONTH($A198)=MONTH($A197),IF(G198=0,I197,G198),G198)</f>
        <v>27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27</v>
      </c>
      <c r="N198" s="112" t="n">
        <f aca="false">SUM(J$6:J198)</f>
        <v>1592962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0.027</v>
      </c>
      <c r="V198" s="114" t="n">
        <f aca="false">M198/$R$3</f>
        <v>0.027</v>
      </c>
      <c r="W198" s="114" t="n">
        <f aca="false">N198/$R$3</f>
        <v>1592.962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Data'!$A$2:$B$8,MATCH(WEEKDAY('ARG Gas Firm'!A199,3),'Master Data'!$A$2:$A$8,0),2)</f>
        <v>F</v>
      </c>
      <c r="D199" s="112"/>
      <c r="E199" s="112"/>
      <c r="F199" s="112"/>
      <c r="G199" s="112"/>
      <c r="I199" s="112" t="n">
        <f aca="false">IF(MONTH($A199)=MONTH($A198),IF(G199=0,I198,G199),G199)</f>
        <v>27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27</v>
      </c>
      <c r="N199" s="112" t="n">
        <f aca="false">SUM(J$6:J199)</f>
        <v>1592962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0.027</v>
      </c>
      <c r="V199" s="114" t="n">
        <f aca="false">M199/$R$3</f>
        <v>0.027</v>
      </c>
      <c r="W199" s="114" t="n">
        <f aca="false">N199/$R$3</f>
        <v>1592.962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Data'!$A$2:$B$8,MATCH(WEEKDAY('ARG Gas Firm'!A200,3),'Master Data'!$A$2:$A$8,0),2)</f>
        <v>Sa</v>
      </c>
      <c r="D200" s="112"/>
      <c r="E200" s="112"/>
      <c r="F200" s="112"/>
      <c r="G200" s="112"/>
      <c r="I200" s="112" t="n">
        <f aca="false">IF(MONTH($A200)=MONTH($A199),IF(G200=0,I199,G200),G200)</f>
        <v>27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27</v>
      </c>
      <c r="N200" s="112" t="n">
        <f aca="false">SUM(J$6:J200)</f>
        <v>1592962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0.027</v>
      </c>
      <c r="V200" s="114" t="n">
        <f aca="false">M200/$R$3</f>
        <v>0.027</v>
      </c>
      <c r="W200" s="114" t="n">
        <f aca="false">N200/$R$3</f>
        <v>1592.962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Data'!$A$2:$B$8,MATCH(WEEKDAY('ARG Gas Firm'!A201,3),'Master Data'!$A$2:$A$8,0),2)</f>
        <v>Su</v>
      </c>
      <c r="D201" s="112"/>
      <c r="E201" s="112"/>
      <c r="F201" s="112"/>
      <c r="G201" s="112"/>
      <c r="I201" s="112" t="n">
        <f aca="false">IF(MONTH($A201)=MONTH($A200),IF(G201=0,I200,G201),G201)</f>
        <v>27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27</v>
      </c>
      <c r="N201" s="112" t="n">
        <f aca="false">SUM(J$6:J201)</f>
        <v>1592962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0.027</v>
      </c>
      <c r="V201" s="114" t="n">
        <f aca="false">M201/$R$3</f>
        <v>0.027</v>
      </c>
      <c r="W201" s="114" t="n">
        <f aca="false">N201/$R$3</f>
        <v>1592.962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Data'!$A$2:$B$8,MATCH(WEEKDAY('ARG Gas Firm'!A202,3),'Master Data'!$A$2:$A$8,0),2)</f>
        <v>M</v>
      </c>
      <c r="D202" s="112"/>
      <c r="E202" s="112"/>
      <c r="F202" s="112"/>
      <c r="G202" s="112"/>
      <c r="I202" s="112" t="n">
        <f aca="false">IF(MONTH($A202)=MONTH($A201),IF(G202=0,I201,G202),G202)</f>
        <v>27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27</v>
      </c>
      <c r="N202" s="112" t="n">
        <f aca="false">SUM(J$6:J202)</f>
        <v>1592962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0.027</v>
      </c>
      <c r="V202" s="114" t="n">
        <f aca="false">M202/$R$3</f>
        <v>0.027</v>
      </c>
      <c r="W202" s="114" t="n">
        <f aca="false">N202/$R$3</f>
        <v>1592.962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Data'!$A$2:$B$8,MATCH(WEEKDAY('ARG Gas Firm'!A203,3),'Master Data'!$A$2:$A$8,0),2)</f>
        <v>T</v>
      </c>
      <c r="D203" s="112"/>
      <c r="E203" s="112"/>
      <c r="F203" s="112"/>
      <c r="G203" s="112"/>
      <c r="I203" s="112" t="n">
        <f aca="false">IF(MONTH($A203)=MONTH($A202),IF(G203=0,I202,G203),G203)</f>
        <v>27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27</v>
      </c>
      <c r="N203" s="112" t="n">
        <f aca="false">SUM(J$6:J203)</f>
        <v>1592962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0.027</v>
      </c>
      <c r="V203" s="114" t="n">
        <f aca="false">M203/$R$3</f>
        <v>0.027</v>
      </c>
      <c r="W203" s="114" t="n">
        <f aca="false">N203/$R$3</f>
        <v>1592.962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Data'!$A$2:$B$8,MATCH(WEEKDAY('ARG Gas Firm'!A204,3),'Master Data'!$A$2:$A$8,0),2)</f>
        <v>W</v>
      </c>
      <c r="D204" s="112"/>
      <c r="E204" s="112"/>
      <c r="F204" s="112"/>
      <c r="G204" s="112"/>
      <c r="I204" s="112" t="n">
        <f aca="false">IF(MONTH($A204)=MONTH($A203),IF(G204=0,I203,G204),G204)</f>
        <v>27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27</v>
      </c>
      <c r="N204" s="112" t="n">
        <f aca="false">SUM(J$6:J204)</f>
        <v>1592962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0.027</v>
      </c>
      <c r="V204" s="114" t="n">
        <f aca="false">M204/$R$3</f>
        <v>0.027</v>
      </c>
      <c r="W204" s="114" t="n">
        <f aca="false">N204/$R$3</f>
        <v>1592.962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Data'!$A$2:$B$8,MATCH(WEEKDAY('ARG Gas Firm'!A205,3),'Master Data'!$A$2:$A$8,0),2)</f>
        <v>Th</v>
      </c>
      <c r="D205" s="112"/>
      <c r="E205" s="112"/>
      <c r="F205" s="112"/>
      <c r="G205" s="112"/>
      <c r="I205" s="112" t="n">
        <f aca="false">IF(MONTH($A205)=MONTH($A204),IF(G205=0,I204,G205),G205)</f>
        <v>27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27</v>
      </c>
      <c r="N205" s="112" t="n">
        <f aca="false">SUM(J$6:J205)</f>
        <v>1592962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0.027</v>
      </c>
      <c r="V205" s="114" t="n">
        <f aca="false">M205/$R$3</f>
        <v>0.027</v>
      </c>
      <c r="W205" s="114" t="n">
        <f aca="false">N205/$R$3</f>
        <v>1592.962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Data'!$A$2:$B$8,MATCH(WEEKDAY('ARG Gas Firm'!A206,3),'Master Data'!$A$2:$A$8,0),2)</f>
        <v>F</v>
      </c>
      <c r="D206" s="112"/>
      <c r="E206" s="112"/>
      <c r="F206" s="112"/>
      <c r="G206" s="112"/>
      <c r="I206" s="112" t="n">
        <f aca="false">IF(MONTH($A206)=MONTH($A205),IF(G206=0,I205,G206),G206)</f>
        <v>27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27</v>
      </c>
      <c r="N206" s="112" t="n">
        <f aca="false">SUM(J$6:J206)</f>
        <v>1592962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0.027</v>
      </c>
      <c r="V206" s="114" t="n">
        <f aca="false">M206/$R$3</f>
        <v>0.027</v>
      </c>
      <c r="W206" s="114" t="n">
        <f aca="false">N206/$R$3</f>
        <v>1592.962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Data'!$A$2:$B$8,MATCH(WEEKDAY('ARG Gas Firm'!A207,3),'Master Data'!$A$2:$A$8,0),2)</f>
        <v>Sa</v>
      </c>
      <c r="D207" s="112"/>
      <c r="E207" s="112"/>
      <c r="F207" s="112"/>
      <c r="G207" s="112"/>
      <c r="I207" s="112" t="n">
        <f aca="false">IF(MONTH($A207)=MONTH($A206),IF(G207=0,I206,G207),G207)</f>
        <v>27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27</v>
      </c>
      <c r="N207" s="112" t="n">
        <f aca="false">SUM(J$6:J207)</f>
        <v>1592962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0.027</v>
      </c>
      <c r="V207" s="114" t="n">
        <f aca="false">M207/$R$3</f>
        <v>0.027</v>
      </c>
      <c r="W207" s="114" t="n">
        <f aca="false">N207/$R$3</f>
        <v>1592.962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Data'!$A$2:$B$8,MATCH(WEEKDAY('ARG Gas Firm'!A208,3),'Master Data'!$A$2:$A$8,0),2)</f>
        <v>Su</v>
      </c>
      <c r="D208" s="112"/>
      <c r="E208" s="112"/>
      <c r="F208" s="112"/>
      <c r="G208" s="112"/>
      <c r="I208" s="112" t="n">
        <f aca="false">IF(MONTH($A208)=MONTH($A207),IF(G208=0,I207,G208),G208)</f>
        <v>27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27</v>
      </c>
      <c r="N208" s="112" t="n">
        <f aca="false">SUM(J$6:J208)</f>
        <v>1592962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0.027</v>
      </c>
      <c r="V208" s="114" t="n">
        <f aca="false">M208/$R$3</f>
        <v>0.027</v>
      </c>
      <c r="W208" s="114" t="n">
        <f aca="false">N208/$R$3</f>
        <v>1592.962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Data'!$A$2:$B$8,MATCH(WEEKDAY('ARG Gas Firm'!A209,3),'Master Data'!$A$2:$A$8,0),2)</f>
        <v>M</v>
      </c>
      <c r="D209" s="112"/>
      <c r="E209" s="112"/>
      <c r="F209" s="112"/>
      <c r="G209" s="112"/>
      <c r="I209" s="112" t="n">
        <f aca="false">IF(MONTH($A209)=MONTH($A208),IF(G209=0,I208,G209),G209)</f>
        <v>27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27</v>
      </c>
      <c r="N209" s="112" t="n">
        <f aca="false">SUM(J$6:J209)</f>
        <v>1592962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0.027</v>
      </c>
      <c r="V209" s="114" t="n">
        <f aca="false">M209/$R$3</f>
        <v>0.027</v>
      </c>
      <c r="W209" s="114" t="n">
        <f aca="false">N209/$R$3</f>
        <v>1592.962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Data'!$A$2:$B$8,MATCH(WEEKDAY('ARG Gas Firm'!A210,3),'Master Data'!$A$2:$A$8,0),2)</f>
        <v>T</v>
      </c>
      <c r="D210" s="112"/>
      <c r="E210" s="112"/>
      <c r="F210" s="112"/>
      <c r="G210" s="112"/>
      <c r="I210" s="112" t="n">
        <f aca="false">IF(MONTH($A210)=MONTH($A209),IF(G210=0,I209,G210),G210)</f>
        <v>27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27</v>
      </c>
      <c r="N210" s="112" t="n">
        <f aca="false">SUM(J$6:J210)</f>
        <v>1592962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0.027</v>
      </c>
      <c r="V210" s="114" t="n">
        <f aca="false">M210/$R$3</f>
        <v>0.027</v>
      </c>
      <c r="W210" s="114" t="n">
        <f aca="false">N210/$R$3</f>
        <v>1592.962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Data'!$A$2:$B$8,MATCH(WEEKDAY('ARG Gas Firm'!A211,3),'Master Data'!$A$2:$A$8,0),2)</f>
        <v>W</v>
      </c>
      <c r="D211" s="112"/>
      <c r="E211" s="112"/>
      <c r="F211" s="112"/>
      <c r="G211" s="112"/>
      <c r="I211" s="112" t="n">
        <f aca="false">IF(MONTH($A211)=MONTH($A210),IF(G211=0,I210,G211),G211)</f>
        <v>27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27</v>
      </c>
      <c r="N211" s="112" t="n">
        <f aca="false">SUM(J$6:J211)</f>
        <v>1592962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0.027</v>
      </c>
      <c r="V211" s="114" t="n">
        <f aca="false">M211/$R$3</f>
        <v>0.027</v>
      </c>
      <c r="W211" s="114" t="n">
        <f aca="false">N211/$R$3</f>
        <v>1592.962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Data'!$A$2:$B$8,MATCH(WEEKDAY('ARG Gas Firm'!A212,3),'Master Data'!$A$2:$A$8,0),2)</f>
        <v>Th</v>
      </c>
      <c r="D212" s="112"/>
      <c r="E212" s="112"/>
      <c r="F212" s="112"/>
      <c r="G212" s="112"/>
      <c r="I212" s="112" t="n">
        <f aca="false">IF(MONTH($A212)=MONTH($A211),IF(G212=0,I211,G212),G212)</f>
        <v>27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27</v>
      </c>
      <c r="N212" s="112" t="n">
        <f aca="false">SUM(J$6:J212)</f>
        <v>1592962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0.027</v>
      </c>
      <c r="V212" s="114" t="n">
        <f aca="false">M212/$R$3</f>
        <v>0.027</v>
      </c>
      <c r="W212" s="114" t="n">
        <f aca="false">N212/$R$3</f>
        <v>1592.962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Data'!$A$2:$B$8,MATCH(WEEKDAY('ARG Gas Firm'!A213,3),'Master Data'!$A$2:$A$8,0),2)</f>
        <v>F</v>
      </c>
      <c r="D213" s="112"/>
      <c r="E213" s="112"/>
      <c r="F213" s="112"/>
      <c r="G213" s="112"/>
      <c r="I213" s="112" t="n">
        <f aca="false">IF(MONTH($A213)=MONTH($A212),IF(G213=0,I212,G213),G213)</f>
        <v>27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27</v>
      </c>
      <c r="N213" s="112" t="n">
        <f aca="false">SUM(J$6:J213)</f>
        <v>1592962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0.027</v>
      </c>
      <c r="V213" s="114" t="n">
        <f aca="false">M213/$R$3</f>
        <v>0.027</v>
      </c>
      <c r="W213" s="114" t="n">
        <f aca="false">N213/$R$3</f>
        <v>1592.962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Data'!$A$2:$B$8,MATCH(WEEKDAY('ARG Gas Firm'!A214,3),'Master Data'!$A$2:$A$8,0),2)</f>
        <v>Sa</v>
      </c>
      <c r="D214" s="112"/>
      <c r="E214" s="112"/>
      <c r="F214" s="112"/>
      <c r="G214" s="112"/>
      <c r="I214" s="112" t="n">
        <f aca="false">IF(MONTH($A214)=MONTH($A213),IF(G214=0,I213,G214),G214)</f>
        <v>27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27</v>
      </c>
      <c r="N214" s="112" t="n">
        <f aca="false">SUM(J$6:J214)</f>
        <v>1592962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0.027</v>
      </c>
      <c r="V214" s="114" t="n">
        <f aca="false">M214/$R$3</f>
        <v>0.027</v>
      </c>
      <c r="W214" s="114" t="n">
        <f aca="false">N214/$R$3</f>
        <v>1592.962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Data'!$A$2:$B$8,MATCH(WEEKDAY('ARG Gas Firm'!A215,3),'Master Data'!$A$2:$A$8,0),2)</f>
        <v>Su</v>
      </c>
      <c r="D215" s="112"/>
      <c r="E215" s="112"/>
      <c r="F215" s="112"/>
      <c r="G215" s="112"/>
      <c r="I215" s="112" t="n">
        <f aca="false">IF(MONTH($A215)=MONTH($A214),IF(G215=0,I214,G215),G215)</f>
        <v>27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27</v>
      </c>
      <c r="N215" s="112" t="n">
        <f aca="false">SUM(J$6:J215)</f>
        <v>1592962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0.027</v>
      </c>
      <c r="V215" s="114" t="n">
        <f aca="false">M215/$R$3</f>
        <v>0.027</v>
      </c>
      <c r="W215" s="114" t="n">
        <f aca="false">N215/$R$3</f>
        <v>1592.962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Data'!$A$2:$B$8,MATCH(WEEKDAY('ARG Gas Firm'!A216,3),'Master Data'!$A$2:$A$8,0),2)</f>
        <v>M</v>
      </c>
      <c r="D216" s="112"/>
      <c r="E216" s="112"/>
      <c r="F216" s="112"/>
      <c r="G216" s="112"/>
      <c r="I216" s="112" t="n">
        <f aca="false">IF(MONTH($A216)=MONTH($A215),IF(G216=0,I215,G216),G216)</f>
        <v>27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27</v>
      </c>
      <c r="N216" s="112" t="n">
        <f aca="false">SUM(J$6:J216)</f>
        <v>1592962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0.027</v>
      </c>
      <c r="V216" s="114" t="n">
        <f aca="false">M216/$R$3</f>
        <v>0.027</v>
      </c>
      <c r="W216" s="114" t="n">
        <f aca="false">N216/$R$3</f>
        <v>1592.962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Data'!$A$2:$B$8,MATCH(WEEKDAY('ARG Gas Firm'!A217,3),'Master Data'!$A$2:$A$8,0),2)</f>
        <v>T</v>
      </c>
      <c r="D217" s="112"/>
      <c r="E217" s="112"/>
      <c r="F217" s="112"/>
      <c r="G217" s="112"/>
      <c r="I217" s="112" t="n">
        <f aca="false">IF(MONTH($A217)=MONTH($A216),IF(G217=0,I216,G217),G217)</f>
        <v>27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27</v>
      </c>
      <c r="N217" s="112" t="n">
        <f aca="false">SUM(J$6:J217)</f>
        <v>1592962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0.027</v>
      </c>
      <c r="V217" s="114" t="n">
        <f aca="false">M217/$R$3</f>
        <v>0.027</v>
      </c>
      <c r="W217" s="114" t="n">
        <f aca="false">N217/$R$3</f>
        <v>1592.962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Data'!$A$2:$B$8,MATCH(WEEKDAY('ARG Gas Firm'!A218,3),'Master Data'!$A$2:$A$8,0),2)</f>
        <v>W</v>
      </c>
      <c r="D218" s="112"/>
      <c r="E218" s="112"/>
      <c r="F218" s="112"/>
      <c r="G218" s="112"/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27</v>
      </c>
      <c r="N218" s="112" t="n">
        <f aca="false">SUM(J$6:J218)</f>
        <v>1592962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0.027</v>
      </c>
      <c r="W218" s="114" t="n">
        <f aca="false">N218/$R$3</f>
        <v>1592.962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Data'!$A$2:$B$8,MATCH(WEEKDAY('ARG Gas Firm'!A219,3),'Master Data'!$A$2:$A$8,0),2)</f>
        <v>Th</v>
      </c>
      <c r="D219" s="112"/>
      <c r="E219" s="112"/>
      <c r="F219" s="112"/>
      <c r="G219" s="112"/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27</v>
      </c>
      <c r="N219" s="112" t="n">
        <f aca="false">SUM(J$6:J219)</f>
        <v>1592962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0.027</v>
      </c>
      <c r="W219" s="114" t="n">
        <f aca="false">N219/$R$3</f>
        <v>1592.962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Data'!$A$2:$B$8,MATCH(WEEKDAY('ARG Gas Firm'!A220,3),'Master Data'!$A$2:$A$8,0),2)</f>
        <v>F</v>
      </c>
      <c r="D220" s="112"/>
      <c r="E220" s="112"/>
      <c r="F220" s="112"/>
      <c r="G220" s="112"/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27</v>
      </c>
      <c r="N220" s="112" t="n">
        <f aca="false">SUM(J$6:J220)</f>
        <v>1592962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0.027</v>
      </c>
      <c r="W220" s="114" t="n">
        <f aca="false">N220/$R$3</f>
        <v>1592.962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Data'!$A$2:$B$8,MATCH(WEEKDAY('ARG Gas Firm'!A221,3),'Master Data'!$A$2:$A$8,0),2)</f>
        <v>Sa</v>
      </c>
      <c r="D221" s="112"/>
      <c r="E221" s="112"/>
      <c r="F221" s="112"/>
      <c r="G221" s="112"/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27</v>
      </c>
      <c r="N221" s="112" t="n">
        <f aca="false">SUM(J$6:J221)</f>
        <v>1592962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0.027</v>
      </c>
      <c r="W221" s="114" t="n">
        <f aca="false">N221/$R$3</f>
        <v>1592.962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Data'!$A$2:$B$8,MATCH(WEEKDAY('ARG Gas Firm'!A222,3),'Master Data'!$A$2:$A$8,0),2)</f>
        <v>Su</v>
      </c>
      <c r="D222" s="112"/>
      <c r="E222" s="112"/>
      <c r="F222" s="112"/>
      <c r="G222" s="112"/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27</v>
      </c>
      <c r="N222" s="112" t="n">
        <f aca="false">SUM(J$6:J222)</f>
        <v>1592962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0.027</v>
      </c>
      <c r="W222" s="114" t="n">
        <f aca="false">N222/$R$3</f>
        <v>1592.962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Data'!$A$2:$B$8,MATCH(WEEKDAY('ARG Gas Firm'!A223,3),'Master Data'!$A$2:$A$8,0),2)</f>
        <v>M</v>
      </c>
      <c r="D223" s="112"/>
      <c r="E223" s="112"/>
      <c r="F223" s="112"/>
      <c r="G223" s="112"/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27</v>
      </c>
      <c r="N223" s="112" t="n">
        <f aca="false">SUM(J$6:J223)</f>
        <v>1592962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0.027</v>
      </c>
      <c r="W223" s="114" t="n">
        <f aca="false">N223/$R$3</f>
        <v>1592.962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Data'!$A$2:$B$8,MATCH(WEEKDAY('ARG Gas Firm'!A224,3),'Master Data'!$A$2:$A$8,0),2)</f>
        <v>T</v>
      </c>
      <c r="D224" s="112"/>
      <c r="E224" s="112"/>
      <c r="F224" s="112"/>
      <c r="G224" s="112"/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27</v>
      </c>
      <c r="N224" s="112" t="n">
        <f aca="false">SUM(J$6:J224)</f>
        <v>1592962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0.027</v>
      </c>
      <c r="W224" s="114" t="n">
        <f aca="false">N224/$R$3</f>
        <v>1592.962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Data'!$A$2:$B$8,MATCH(WEEKDAY('ARG Gas Firm'!A225,3),'Master Data'!$A$2:$A$8,0),2)</f>
        <v>W</v>
      </c>
      <c r="D225" s="112"/>
      <c r="E225" s="112"/>
      <c r="F225" s="112"/>
      <c r="G225" s="112"/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27</v>
      </c>
      <c r="N225" s="112" t="n">
        <f aca="false">SUM(J$6:J225)</f>
        <v>1592962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0.027</v>
      </c>
      <c r="W225" s="114" t="n">
        <f aca="false">N225/$R$3</f>
        <v>1592.962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Data'!$A$2:$B$8,MATCH(WEEKDAY('ARG Gas Firm'!A226,3),'Master Data'!$A$2:$A$8,0),2)</f>
        <v>Th</v>
      </c>
      <c r="D226" s="112"/>
      <c r="E226" s="112"/>
      <c r="F226" s="112"/>
      <c r="G226" s="112"/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27</v>
      </c>
      <c r="N226" s="112" t="n">
        <f aca="false">SUM(J$6:J226)</f>
        <v>1592962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0.027</v>
      </c>
      <c r="W226" s="114" t="n">
        <f aca="false">N226/$R$3</f>
        <v>1592.962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Data'!$A$2:$B$8,MATCH(WEEKDAY('ARG Gas Firm'!A227,3),'Master Data'!$A$2:$A$8,0),2)</f>
        <v>F</v>
      </c>
      <c r="D227" s="112"/>
      <c r="E227" s="112"/>
      <c r="F227" s="112"/>
      <c r="G227" s="112"/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27</v>
      </c>
      <c r="N227" s="112" t="n">
        <f aca="false">SUM(J$6:J227)</f>
        <v>1592962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0.027</v>
      </c>
      <c r="W227" s="114" t="n">
        <f aca="false">N227/$R$3</f>
        <v>1592.962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Data'!$A$2:$B$8,MATCH(WEEKDAY('ARG Gas Firm'!A228,3),'Master Data'!$A$2:$A$8,0),2)</f>
        <v>Sa</v>
      </c>
      <c r="D228" s="112"/>
      <c r="E228" s="112"/>
      <c r="F228" s="112"/>
      <c r="G228" s="112"/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27</v>
      </c>
      <c r="N228" s="112" t="n">
        <f aca="false">SUM(J$6:J228)</f>
        <v>1592962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0.027</v>
      </c>
      <c r="W228" s="114" t="n">
        <f aca="false">N228/$R$3</f>
        <v>1592.962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Data'!$A$2:$B$8,MATCH(WEEKDAY('ARG Gas Firm'!A229,3),'Master Data'!$A$2:$A$8,0),2)</f>
        <v>Su</v>
      </c>
      <c r="D229" s="112"/>
      <c r="E229" s="112"/>
      <c r="F229" s="112"/>
      <c r="G229" s="112"/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27</v>
      </c>
      <c r="N229" s="112" t="n">
        <f aca="false">SUM(J$6:J229)</f>
        <v>1592962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0.027</v>
      </c>
      <c r="W229" s="114" t="n">
        <f aca="false">N229/$R$3</f>
        <v>1592.962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Data'!$A$2:$B$8,MATCH(WEEKDAY('ARG Gas Firm'!A230,3),'Master Data'!$A$2:$A$8,0),2)</f>
        <v>M</v>
      </c>
      <c r="D230" s="112"/>
      <c r="E230" s="112"/>
      <c r="F230" s="112"/>
      <c r="G230" s="112"/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27</v>
      </c>
      <c r="N230" s="112" t="n">
        <f aca="false">SUM(J$6:J230)</f>
        <v>1592962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0.027</v>
      </c>
      <c r="W230" s="114" t="n">
        <f aca="false">N230/$R$3</f>
        <v>1592.962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Data'!$A$2:$B$8,MATCH(WEEKDAY('ARG Gas Firm'!A231,3),'Master Data'!$A$2:$A$8,0),2)</f>
        <v>T</v>
      </c>
      <c r="D231" s="112"/>
      <c r="E231" s="112"/>
      <c r="F231" s="112"/>
      <c r="G231" s="112"/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27</v>
      </c>
      <c r="N231" s="112" t="n">
        <f aca="false">SUM(J$6:J231)</f>
        <v>1592962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0.027</v>
      </c>
      <c r="W231" s="114" t="n">
        <f aca="false">N231/$R$3</f>
        <v>1592.962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Data'!$A$2:$B$8,MATCH(WEEKDAY('ARG Gas Firm'!A232,3),'Master Data'!$A$2:$A$8,0),2)</f>
        <v>W</v>
      </c>
      <c r="D232" s="112"/>
      <c r="E232" s="112"/>
      <c r="F232" s="112"/>
      <c r="G232" s="112"/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27</v>
      </c>
      <c r="N232" s="112" t="n">
        <f aca="false">SUM(J$6:J232)</f>
        <v>1592962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0.027</v>
      </c>
      <c r="W232" s="114" t="n">
        <f aca="false">N232/$R$3</f>
        <v>1592.962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Data'!$A$2:$B$8,MATCH(WEEKDAY('ARG Gas Firm'!A233,3),'Master Data'!$A$2:$A$8,0),2)</f>
        <v>Th</v>
      </c>
      <c r="D233" s="112"/>
      <c r="E233" s="112"/>
      <c r="F233" s="112"/>
      <c r="G233" s="112"/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27</v>
      </c>
      <c r="N233" s="112" t="n">
        <f aca="false">SUM(J$6:J233)</f>
        <v>1592962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0.027</v>
      </c>
      <c r="W233" s="114" t="n">
        <f aca="false">N233/$R$3</f>
        <v>1592.962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Data'!$A$2:$B$8,MATCH(WEEKDAY('ARG Gas Firm'!A234,3),'Master Data'!$A$2:$A$8,0),2)</f>
        <v>F</v>
      </c>
      <c r="D234" s="112"/>
      <c r="E234" s="112"/>
      <c r="F234" s="112"/>
      <c r="G234" s="112"/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27</v>
      </c>
      <c r="N234" s="112" t="n">
        <f aca="false">SUM(J$6:J234)</f>
        <v>1592962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0.027</v>
      </c>
      <c r="W234" s="114" t="n">
        <f aca="false">N234/$R$3</f>
        <v>1592.962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Data'!$A$2:$B$8,MATCH(WEEKDAY('ARG Gas Firm'!A235,3),'Master Data'!$A$2:$A$8,0),2)</f>
        <v>Sa</v>
      </c>
      <c r="D235" s="112"/>
      <c r="E235" s="112"/>
      <c r="F235" s="112"/>
      <c r="G235" s="112"/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27</v>
      </c>
      <c r="N235" s="112" t="n">
        <f aca="false">SUM(J$6:J235)</f>
        <v>1592962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0.027</v>
      </c>
      <c r="W235" s="114" t="n">
        <f aca="false">N235/$R$3</f>
        <v>1592.962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Data'!$A$2:$B$8,MATCH(WEEKDAY('ARG Gas Firm'!A236,3),'Master Data'!$A$2:$A$8,0),2)</f>
        <v>Su</v>
      </c>
      <c r="D236" s="112"/>
      <c r="E236" s="112"/>
      <c r="F236" s="112"/>
      <c r="G236" s="112"/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27</v>
      </c>
      <c r="N236" s="112" t="n">
        <f aca="false">SUM(J$6:J236)</f>
        <v>1592962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0.027</v>
      </c>
      <c r="W236" s="114" t="n">
        <f aca="false">N236/$R$3</f>
        <v>1592.962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Data'!$A$2:$B$8,MATCH(WEEKDAY('ARG Gas Firm'!A237,3),'Master Data'!$A$2:$A$8,0),2)</f>
        <v>M</v>
      </c>
      <c r="D237" s="112"/>
      <c r="E237" s="112"/>
      <c r="F237" s="112"/>
      <c r="G237" s="112"/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27</v>
      </c>
      <c r="N237" s="112" t="n">
        <f aca="false">SUM(J$6:J237)</f>
        <v>1592962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0.027</v>
      </c>
      <c r="W237" s="114" t="n">
        <f aca="false">N237/$R$3</f>
        <v>1592.962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Data'!$A$2:$B$8,MATCH(WEEKDAY('ARG Gas Firm'!A238,3),'Master Data'!$A$2:$A$8,0),2)</f>
        <v>T</v>
      </c>
      <c r="D238" s="112"/>
      <c r="E238" s="112"/>
      <c r="F238" s="112"/>
      <c r="G238" s="112"/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27</v>
      </c>
      <c r="N238" s="112" t="n">
        <f aca="false">SUM(J$6:J238)</f>
        <v>1592962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0.027</v>
      </c>
      <c r="W238" s="114" t="n">
        <f aca="false">N238/$R$3</f>
        <v>1592.962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Data'!$A$2:$B$8,MATCH(WEEKDAY('ARG Gas Firm'!A239,3),'Master Data'!$A$2:$A$8,0),2)</f>
        <v>W</v>
      </c>
      <c r="D239" s="112"/>
      <c r="E239" s="112"/>
      <c r="F239" s="112"/>
      <c r="G239" s="112"/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27</v>
      </c>
      <c r="N239" s="112" t="n">
        <f aca="false">SUM(J$6:J239)</f>
        <v>1592962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0.027</v>
      </c>
      <c r="W239" s="114" t="n">
        <f aca="false">N239/$R$3</f>
        <v>1592.962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Data'!$A$2:$B$8,MATCH(WEEKDAY('ARG Gas Firm'!A240,3),'Master Data'!$A$2:$A$8,0),2)</f>
        <v>Th</v>
      </c>
      <c r="D240" s="112"/>
      <c r="E240" s="112"/>
      <c r="F240" s="112"/>
      <c r="G240" s="112"/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27</v>
      </c>
      <c r="N240" s="112" t="n">
        <f aca="false">SUM(J$6:J240)</f>
        <v>1592962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0.027</v>
      </c>
      <c r="W240" s="114" t="n">
        <f aca="false">N240/$R$3</f>
        <v>1592.962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Data'!$A$2:$B$8,MATCH(WEEKDAY('ARG Gas Firm'!A241,3),'Master Data'!$A$2:$A$8,0),2)</f>
        <v>F</v>
      </c>
      <c r="D241" s="112"/>
      <c r="E241" s="112"/>
      <c r="F241" s="112"/>
      <c r="G241" s="112"/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27</v>
      </c>
      <c r="N241" s="112" t="n">
        <f aca="false">SUM(J$6:J241)</f>
        <v>1592962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0.027</v>
      </c>
      <c r="W241" s="114" t="n">
        <f aca="false">N241/$R$3</f>
        <v>1592.962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Data'!$A$2:$B$8,MATCH(WEEKDAY('ARG Gas Firm'!A242,3),'Master Data'!$A$2:$A$8,0),2)</f>
        <v>Sa</v>
      </c>
      <c r="D242" s="112"/>
      <c r="E242" s="112"/>
      <c r="F242" s="112"/>
      <c r="G242" s="112"/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27</v>
      </c>
      <c r="N242" s="112" t="n">
        <f aca="false">SUM(J$6:J242)</f>
        <v>1592962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0.027</v>
      </c>
      <c r="W242" s="114" t="n">
        <f aca="false">N242/$R$3</f>
        <v>1592.962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Data'!$A$2:$B$8,MATCH(WEEKDAY('ARG Gas Firm'!A243,3),'Master Data'!$A$2:$A$8,0),2)</f>
        <v>Su</v>
      </c>
      <c r="D243" s="112"/>
      <c r="E243" s="112"/>
      <c r="F243" s="112"/>
      <c r="G243" s="112"/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27</v>
      </c>
      <c r="N243" s="112" t="n">
        <f aca="false">SUM(J$6:J243)</f>
        <v>1592962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0.027</v>
      </c>
      <c r="W243" s="114" t="n">
        <f aca="false">N243/$R$3</f>
        <v>1592.962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Data'!$A$2:$B$8,MATCH(WEEKDAY('ARG Gas Firm'!A244,3),'Master Data'!$A$2:$A$8,0),2)</f>
        <v>M</v>
      </c>
      <c r="D244" s="112"/>
      <c r="E244" s="112"/>
      <c r="F244" s="112"/>
      <c r="G244" s="112"/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27</v>
      </c>
      <c r="N244" s="112" t="n">
        <f aca="false">SUM(J$6:J244)</f>
        <v>1592962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0.027</v>
      </c>
      <c r="W244" s="114" t="n">
        <f aca="false">N244/$R$3</f>
        <v>1592.962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Data'!$A$2:$B$8,MATCH(WEEKDAY('ARG Gas Firm'!A245,3),'Master Data'!$A$2:$A$8,0),2)</f>
        <v>T</v>
      </c>
      <c r="D245" s="112"/>
      <c r="E245" s="112"/>
      <c r="F245" s="112"/>
      <c r="G245" s="112"/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27</v>
      </c>
      <c r="N245" s="112" t="n">
        <f aca="false">SUM(J$6:J245)</f>
        <v>1592962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0.027</v>
      </c>
      <c r="W245" s="114" t="n">
        <f aca="false">N245/$R$3</f>
        <v>1592.962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Data'!$A$2:$B$8,MATCH(WEEKDAY('ARG Gas Firm'!A246,3),'Master Data'!$A$2:$A$8,0),2)</f>
        <v>W</v>
      </c>
      <c r="D246" s="112"/>
      <c r="E246" s="112"/>
      <c r="F246" s="112"/>
      <c r="G246" s="112"/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27</v>
      </c>
      <c r="N246" s="112" t="n">
        <f aca="false">SUM(J$6:J246)</f>
        <v>1592962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0.027</v>
      </c>
      <c r="W246" s="114" t="n">
        <f aca="false">N246/$R$3</f>
        <v>1592.962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Data'!$A$2:$B$8,MATCH(WEEKDAY('ARG Gas Firm'!A247,3),'Master Data'!$A$2:$A$8,0),2)</f>
        <v>Th</v>
      </c>
      <c r="D247" s="112"/>
      <c r="E247" s="112"/>
      <c r="F247" s="112"/>
      <c r="G247" s="112"/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27</v>
      </c>
      <c r="N247" s="112" t="n">
        <f aca="false">SUM(J$6:J247)</f>
        <v>1592962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0.027</v>
      </c>
      <c r="W247" s="114" t="n">
        <f aca="false">N247/$R$3</f>
        <v>1592.962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Data'!$A$2:$B$8,MATCH(WEEKDAY('ARG Gas Firm'!A248,3),'Master Data'!$A$2:$A$8,0),2)</f>
        <v>F</v>
      </c>
      <c r="D248" s="112"/>
      <c r="E248" s="112"/>
      <c r="F248" s="112"/>
      <c r="G248" s="112"/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27</v>
      </c>
      <c r="N248" s="112" t="n">
        <f aca="false">SUM(J$6:J248)</f>
        <v>1592962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0.027</v>
      </c>
      <c r="W248" s="114" t="n">
        <f aca="false">N248/$R$3</f>
        <v>1592.962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Data'!$A$2:$B$8,MATCH(WEEKDAY('ARG Gas Firm'!A249,3),'Master Data'!$A$2:$A$8,0),2)</f>
        <v>Sa</v>
      </c>
      <c r="D249" s="112"/>
      <c r="E249" s="112"/>
      <c r="F249" s="112"/>
      <c r="G249" s="112"/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27</v>
      </c>
      <c r="N249" s="112" t="n">
        <f aca="false">SUM(J$6:J249)</f>
        <v>1592962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0.027</v>
      </c>
      <c r="W249" s="114" t="n">
        <f aca="false">N249/$R$3</f>
        <v>1592.962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Data'!$A$2:$B$8,MATCH(WEEKDAY('ARG Gas Firm'!A250,3),'Master Data'!$A$2:$A$8,0),2)</f>
        <v>Su</v>
      </c>
      <c r="D250" s="112"/>
      <c r="E250" s="112"/>
      <c r="F250" s="112"/>
      <c r="G250" s="112"/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27</v>
      </c>
      <c r="N250" s="112" t="n">
        <f aca="false">SUM(J$6:J250)</f>
        <v>1592962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0.027</v>
      </c>
      <c r="W250" s="114" t="n">
        <f aca="false">N250/$R$3</f>
        <v>1592.962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Data'!$A$2:$B$8,MATCH(WEEKDAY('ARG Gas Firm'!A251,3),'Master Data'!$A$2:$A$8,0),2)</f>
        <v>M</v>
      </c>
      <c r="D251" s="112"/>
      <c r="E251" s="112"/>
      <c r="F251" s="112"/>
      <c r="G251" s="112"/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27</v>
      </c>
      <c r="N251" s="112" t="n">
        <f aca="false">SUM(J$6:J251)</f>
        <v>1592962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0.027</v>
      </c>
      <c r="W251" s="114" t="n">
        <f aca="false">N251/$R$3</f>
        <v>1592.962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Data'!$A$2:$B$8,MATCH(WEEKDAY('ARG Gas Firm'!A252,3),'Master Data'!$A$2:$A$8,0),2)</f>
        <v>T</v>
      </c>
      <c r="D252" s="112"/>
      <c r="E252" s="112"/>
      <c r="F252" s="112"/>
      <c r="G252" s="112"/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27</v>
      </c>
      <c r="N252" s="112" t="n">
        <f aca="false">SUM(J$6:J252)</f>
        <v>1592962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0.027</v>
      </c>
      <c r="W252" s="114" t="n">
        <f aca="false">N252/$R$3</f>
        <v>1592.962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Data'!$A$2:$B$8,MATCH(WEEKDAY('ARG Gas Firm'!A253,3),'Master Data'!$A$2:$A$8,0),2)</f>
        <v>W</v>
      </c>
      <c r="D253" s="112"/>
      <c r="E253" s="112"/>
      <c r="F253" s="112"/>
      <c r="G253" s="112"/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27</v>
      </c>
      <c r="N253" s="112" t="n">
        <f aca="false">SUM(J$6:J253)</f>
        <v>1592962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0.027</v>
      </c>
      <c r="W253" s="114" t="n">
        <f aca="false">N253/$R$3</f>
        <v>1592.962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Data'!$A$2:$B$8,MATCH(WEEKDAY('ARG Gas Firm'!A254,3),'Master Data'!$A$2:$A$8,0),2)</f>
        <v>Th</v>
      </c>
      <c r="D254" s="112"/>
      <c r="E254" s="112"/>
      <c r="F254" s="112"/>
      <c r="G254" s="112"/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27</v>
      </c>
      <c r="N254" s="112" t="n">
        <f aca="false">SUM(J$6:J254)</f>
        <v>1592962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0.027</v>
      </c>
      <c r="W254" s="114" t="n">
        <f aca="false">N254/$R$3</f>
        <v>1592.962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Data'!$A$2:$B$8,MATCH(WEEKDAY('ARG Gas Firm'!A255,3),'Master Data'!$A$2:$A$8,0),2)</f>
        <v>F</v>
      </c>
      <c r="D255" s="112"/>
      <c r="E255" s="112"/>
      <c r="F255" s="112"/>
      <c r="G255" s="112"/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27</v>
      </c>
      <c r="N255" s="112" t="n">
        <f aca="false">SUM(J$6:J255)</f>
        <v>1592962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0.027</v>
      </c>
      <c r="W255" s="114" t="n">
        <f aca="false">N255/$R$3</f>
        <v>1592.962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Data'!$A$2:$B$8,MATCH(WEEKDAY('ARG Gas Firm'!A256,3),'Master Data'!$A$2:$A$8,0),2)</f>
        <v>Sa</v>
      </c>
      <c r="D256" s="112"/>
      <c r="E256" s="112"/>
      <c r="F256" s="112"/>
      <c r="G256" s="112"/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27</v>
      </c>
      <c r="N256" s="112" t="n">
        <f aca="false">SUM(J$6:J256)</f>
        <v>1592962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0.027</v>
      </c>
      <c r="W256" s="114" t="n">
        <f aca="false">N256/$R$3</f>
        <v>1592.962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Data'!$A$2:$B$8,MATCH(WEEKDAY('ARG Gas Firm'!A257,3),'Master Data'!$A$2:$A$8,0),2)</f>
        <v>Su</v>
      </c>
      <c r="D257" s="112"/>
      <c r="E257" s="112"/>
      <c r="F257" s="112"/>
      <c r="G257" s="112"/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27</v>
      </c>
      <c r="N257" s="112" t="n">
        <f aca="false">SUM(J$6:J257)</f>
        <v>1592962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0.027</v>
      </c>
      <c r="W257" s="114" t="n">
        <f aca="false">N257/$R$3</f>
        <v>1592.962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Data'!$A$2:$B$8,MATCH(WEEKDAY('ARG Gas Firm'!A258,3),'Master Data'!$A$2:$A$8,0),2)</f>
        <v>M</v>
      </c>
      <c r="D258" s="112"/>
      <c r="E258" s="112"/>
      <c r="F258" s="112"/>
      <c r="G258" s="112"/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27</v>
      </c>
      <c r="N258" s="112" t="n">
        <f aca="false">SUM(J$6:J258)</f>
        <v>1592962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0.027</v>
      </c>
      <c r="W258" s="114" t="n">
        <f aca="false">N258/$R$3</f>
        <v>1592.962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Data'!$A$2:$B$8,MATCH(WEEKDAY('ARG Gas Firm'!A259,3),'Master Data'!$A$2:$A$8,0),2)</f>
        <v>T</v>
      </c>
      <c r="D259" s="112"/>
      <c r="E259" s="112"/>
      <c r="F259" s="112"/>
      <c r="G259" s="112"/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27</v>
      </c>
      <c r="N259" s="112" t="n">
        <f aca="false">SUM(J$6:J259)</f>
        <v>1592962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0.027</v>
      </c>
      <c r="W259" s="114" t="n">
        <f aca="false">N259/$R$3</f>
        <v>1592.962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Data'!$A$2:$B$8,MATCH(WEEKDAY('ARG Gas Firm'!A260,3),'Master Data'!$A$2:$A$8,0),2)</f>
        <v>W</v>
      </c>
      <c r="D260" s="112"/>
      <c r="E260" s="112"/>
      <c r="F260" s="112"/>
      <c r="G260" s="112"/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27</v>
      </c>
      <c r="N260" s="112" t="n">
        <f aca="false">SUM(J$6:J260)</f>
        <v>1592962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0.027</v>
      </c>
      <c r="W260" s="114" t="n">
        <f aca="false">N260/$R$3</f>
        <v>1592.962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Data'!$A$2:$B$8,MATCH(WEEKDAY('ARG Gas Firm'!A261,3),'Master Data'!$A$2:$A$8,0),2)</f>
        <v>Th</v>
      </c>
      <c r="D261" s="112"/>
      <c r="E261" s="112"/>
      <c r="F261" s="112"/>
      <c r="G261" s="112"/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27</v>
      </c>
      <c r="N261" s="112" t="n">
        <f aca="false">SUM(J$6:J261)</f>
        <v>1592962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0.027</v>
      </c>
      <c r="W261" s="114" t="n">
        <f aca="false">N261/$R$3</f>
        <v>1592.962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Data'!$A$2:$B$8,MATCH(WEEKDAY('ARG Gas Firm'!A262,3),'Master Data'!$A$2:$A$8,0),2)</f>
        <v>F</v>
      </c>
      <c r="D262" s="112"/>
      <c r="E262" s="112"/>
      <c r="F262" s="112"/>
      <c r="G262" s="112"/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27</v>
      </c>
      <c r="N262" s="112" t="n">
        <f aca="false">SUM(J$6:J262)</f>
        <v>1592962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0.027</v>
      </c>
      <c r="W262" s="114" t="n">
        <f aca="false">N262/$R$3</f>
        <v>1592.962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Data'!$A$2:$B$8,MATCH(WEEKDAY('ARG Gas Firm'!A263,3),'Master Data'!$A$2:$A$8,0),2)</f>
        <v>Sa</v>
      </c>
      <c r="D263" s="112"/>
      <c r="E263" s="112"/>
      <c r="F263" s="112"/>
      <c r="G263" s="112"/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27</v>
      </c>
      <c r="N263" s="112" t="n">
        <f aca="false">SUM(J$6:J263)</f>
        <v>1592962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0.027</v>
      </c>
      <c r="W263" s="114" t="n">
        <f aca="false">N263/$R$3</f>
        <v>1592.962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Data'!$A$2:$B$8,MATCH(WEEKDAY('ARG Gas Firm'!A264,3),'Master Data'!$A$2:$A$8,0),2)</f>
        <v>Su</v>
      </c>
      <c r="D264" s="112"/>
      <c r="E264" s="112"/>
      <c r="F264" s="112"/>
      <c r="G264" s="112"/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27</v>
      </c>
      <c r="N264" s="112" t="n">
        <f aca="false">SUM(J$6:J264)</f>
        <v>1592962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0.027</v>
      </c>
      <c r="W264" s="114" t="n">
        <f aca="false">N264/$R$3</f>
        <v>1592.962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Data'!$A$2:$B$8,MATCH(WEEKDAY('ARG Gas Firm'!A265,3),'Master Data'!$A$2:$A$8,0),2)</f>
        <v>M</v>
      </c>
      <c r="D265" s="112"/>
      <c r="E265" s="112"/>
      <c r="F265" s="112"/>
      <c r="G265" s="112"/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27</v>
      </c>
      <c r="N265" s="112" t="n">
        <f aca="false">SUM(J$6:J265)</f>
        <v>1592962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0.027</v>
      </c>
      <c r="W265" s="114" t="n">
        <f aca="false">N265/$R$3</f>
        <v>1592.962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Data'!$A$2:$B$8,MATCH(WEEKDAY('ARG Gas Firm'!A266,3),'Master Data'!$A$2:$A$8,0),2)</f>
        <v>T</v>
      </c>
      <c r="D266" s="112"/>
      <c r="E266" s="112"/>
      <c r="F266" s="112"/>
      <c r="G266" s="112"/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27</v>
      </c>
      <c r="N266" s="112" t="n">
        <f aca="false">SUM(J$6:J266)</f>
        <v>1592962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0.027</v>
      </c>
      <c r="W266" s="114" t="n">
        <f aca="false">N266/$R$3</f>
        <v>1592.962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Data'!$A$2:$B$8,MATCH(WEEKDAY('ARG Gas Firm'!A267,3),'Master Data'!$A$2:$A$8,0),2)</f>
        <v>W</v>
      </c>
      <c r="D267" s="112"/>
      <c r="E267" s="112"/>
      <c r="F267" s="112"/>
      <c r="G267" s="112"/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27</v>
      </c>
      <c r="N267" s="112" t="n">
        <f aca="false">SUM(J$6:J267)</f>
        <v>1592962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0.027</v>
      </c>
      <c r="W267" s="114" t="n">
        <f aca="false">N267/$R$3</f>
        <v>1592.962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Data'!$A$2:$B$8,MATCH(WEEKDAY('ARG Gas Firm'!A268,3),'Master Data'!$A$2:$A$8,0),2)</f>
        <v>Th</v>
      </c>
      <c r="D268" s="112"/>
      <c r="E268" s="112"/>
      <c r="F268" s="112"/>
      <c r="G268" s="112"/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27</v>
      </c>
      <c r="N268" s="112" t="n">
        <f aca="false">SUM(J$6:J268)</f>
        <v>1592962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0.027</v>
      </c>
      <c r="W268" s="114" t="n">
        <f aca="false">N268/$R$3</f>
        <v>1592.962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Data'!$A$2:$B$8,MATCH(WEEKDAY('ARG Gas Firm'!A269,3),'Master Data'!$A$2:$A$8,0),2)</f>
        <v>F</v>
      </c>
      <c r="D269" s="112"/>
      <c r="E269" s="112"/>
      <c r="F269" s="112"/>
      <c r="G269" s="112"/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27</v>
      </c>
      <c r="N269" s="112" t="n">
        <f aca="false">SUM(J$6:J269)</f>
        <v>1592962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0.027</v>
      </c>
      <c r="W269" s="114" t="n">
        <f aca="false">N269/$R$3</f>
        <v>1592.962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Data'!$A$2:$B$8,MATCH(WEEKDAY('ARG Gas Firm'!A270,3),'Master Data'!$A$2:$A$8,0),2)</f>
        <v>Sa</v>
      </c>
      <c r="D270" s="112"/>
      <c r="E270" s="112"/>
      <c r="F270" s="112"/>
      <c r="G270" s="112"/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27</v>
      </c>
      <c r="N270" s="112" t="n">
        <f aca="false">SUM(J$6:J270)</f>
        <v>1592962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0.027</v>
      </c>
      <c r="W270" s="114" t="n">
        <f aca="false">N270/$R$3</f>
        <v>1592.962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Data'!$A$2:$B$8,MATCH(WEEKDAY('ARG Gas Firm'!A271,3),'Master Data'!$A$2:$A$8,0),2)</f>
        <v>Su</v>
      </c>
      <c r="D271" s="112"/>
      <c r="E271" s="112"/>
      <c r="F271" s="112"/>
      <c r="G271" s="112"/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27</v>
      </c>
      <c r="N271" s="112" t="n">
        <f aca="false">SUM(J$6:J271)</f>
        <v>1592962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0.027</v>
      </c>
      <c r="W271" s="114" t="n">
        <f aca="false">N271/$R$3</f>
        <v>1592.962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Data'!$A$2:$B$8,MATCH(WEEKDAY('ARG Gas Firm'!A272,3),'Master Data'!$A$2:$A$8,0),2)</f>
        <v>M</v>
      </c>
      <c r="D272" s="112"/>
      <c r="E272" s="112"/>
      <c r="F272" s="112"/>
      <c r="G272" s="112"/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27</v>
      </c>
      <c r="N272" s="112" t="n">
        <f aca="false">SUM(J$6:J272)</f>
        <v>1592962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0.027</v>
      </c>
      <c r="W272" s="114" t="n">
        <f aca="false">N272/$R$3</f>
        <v>1592.962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Data'!$A$2:$B$8,MATCH(WEEKDAY('ARG Gas Firm'!A273,3),'Master Data'!$A$2:$A$8,0),2)</f>
        <v>T</v>
      </c>
      <c r="D273" s="112"/>
      <c r="E273" s="112"/>
      <c r="F273" s="112"/>
      <c r="G273" s="112"/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27</v>
      </c>
      <c r="N273" s="112" t="n">
        <f aca="false">SUM(J$6:J273)</f>
        <v>1592962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0.027</v>
      </c>
      <c r="W273" s="114" t="n">
        <f aca="false">N273/$R$3</f>
        <v>1592.962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Data'!$A$2:$B$8,MATCH(WEEKDAY('ARG Gas Firm'!A274,3),'Master Data'!$A$2:$A$8,0),2)</f>
        <v>W</v>
      </c>
      <c r="D274" s="112"/>
      <c r="E274" s="112"/>
      <c r="F274" s="112"/>
      <c r="G274" s="112"/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27</v>
      </c>
      <c r="N274" s="112" t="n">
        <f aca="false">SUM(J$6:J274)</f>
        <v>1592962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0.027</v>
      </c>
      <c r="W274" s="114" t="n">
        <f aca="false">N274/$R$3</f>
        <v>1592.962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Data'!$A$2:$B$8,MATCH(WEEKDAY('ARG Gas Firm'!A275,3),'Master Data'!$A$2:$A$8,0),2)</f>
        <v>Th</v>
      </c>
      <c r="D275" s="112"/>
      <c r="E275" s="112"/>
      <c r="F275" s="112"/>
      <c r="G275" s="112"/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27</v>
      </c>
      <c r="N275" s="112" t="n">
        <f aca="false">SUM(J$6:J275)</f>
        <v>1592962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0.027</v>
      </c>
      <c r="W275" s="114" t="n">
        <f aca="false">N275/$R$3</f>
        <v>1592.962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Data'!$A$2:$B$8,MATCH(WEEKDAY('ARG Gas Firm'!A276,3),'Master Data'!$A$2:$A$8,0),2)</f>
        <v>F</v>
      </c>
      <c r="D276" s="112"/>
      <c r="E276" s="112"/>
      <c r="F276" s="112"/>
      <c r="G276" s="112"/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27</v>
      </c>
      <c r="N276" s="112" t="n">
        <f aca="false">SUM(J$6:J276)</f>
        <v>1592962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0.027</v>
      </c>
      <c r="W276" s="114" t="n">
        <f aca="false">N276/$R$3</f>
        <v>1592.962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Data'!$A$2:$B$8,MATCH(WEEKDAY('ARG Gas Firm'!A277,3),'Master Data'!$A$2:$A$8,0),2)</f>
        <v>Sa</v>
      </c>
      <c r="D277" s="112"/>
      <c r="E277" s="112"/>
      <c r="F277" s="112"/>
      <c r="G277" s="112"/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27</v>
      </c>
      <c r="N277" s="112" t="n">
        <f aca="false">SUM(J$6:J277)</f>
        <v>1592962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0.027</v>
      </c>
      <c r="W277" s="114" t="n">
        <f aca="false">N277/$R$3</f>
        <v>1592.962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Data'!$A$2:$B$8,MATCH(WEEKDAY('ARG Gas Firm'!A278,3),'Master Data'!$A$2:$A$8,0),2)</f>
        <v>Su</v>
      </c>
      <c r="D278" s="112"/>
      <c r="E278" s="112"/>
      <c r="F278" s="112"/>
      <c r="G278" s="112"/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27</v>
      </c>
      <c r="N278" s="112" t="n">
        <f aca="false">SUM(J$6:J278)</f>
        <v>1592962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0.027</v>
      </c>
      <c r="W278" s="114" t="n">
        <f aca="false">N278/$R$3</f>
        <v>1592.962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Data'!$A$2:$B$8,MATCH(WEEKDAY('ARG Gas Firm'!A279,3),'Master Data'!$A$2:$A$8,0),2)</f>
        <v>M</v>
      </c>
      <c r="D279" s="112"/>
      <c r="E279" s="112"/>
      <c r="F279" s="112"/>
      <c r="G279" s="112"/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27</v>
      </c>
      <c r="N279" s="112" t="n">
        <f aca="false">SUM(J$6:J279)</f>
        <v>1592962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0.027</v>
      </c>
      <c r="W279" s="114" t="n">
        <f aca="false">N279/$R$3</f>
        <v>1592.962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Data'!$A$2:$B$8,MATCH(WEEKDAY('ARG Gas Firm'!A280,3),'Master Data'!$A$2:$A$8,0),2)</f>
        <v>T</v>
      </c>
      <c r="D280" s="112"/>
      <c r="E280" s="112"/>
      <c r="F280" s="112"/>
      <c r="G280" s="112"/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SUM(J$188:J280)</f>
        <v>27</v>
      </c>
      <c r="N280" s="112" t="n">
        <f aca="false">SUM(J$6:J280)</f>
        <v>1592962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0.027</v>
      </c>
      <c r="W280" s="114" t="n">
        <f aca="false">N280/$R$3</f>
        <v>1592.962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Data'!$A$2:$B$8,MATCH(WEEKDAY('ARG Gas Firm'!A281,3),'Master Data'!$A$2:$A$8,0),2)</f>
        <v>W</v>
      </c>
      <c r="D281" s="112"/>
      <c r="E281" s="112"/>
      <c r="F281" s="112"/>
      <c r="G281" s="112"/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SUM(J$188:J281)</f>
        <v>27</v>
      </c>
      <c r="N281" s="112" t="n">
        <f aca="false">SUM(J$6:J281)</f>
        <v>1592962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0.027</v>
      </c>
      <c r="W281" s="114" t="n">
        <f aca="false">N281/$R$3</f>
        <v>1592.962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Data'!$A$2:$B$8,MATCH(WEEKDAY('ARG Gas Firm'!A282,3),'Master Data'!$A$2:$A$8,0),2)</f>
        <v>Th</v>
      </c>
      <c r="D282" s="112"/>
      <c r="E282" s="112"/>
      <c r="F282" s="112"/>
      <c r="G282" s="112"/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SUM(J$188:J282)</f>
        <v>27</v>
      </c>
      <c r="N282" s="112" t="n">
        <f aca="false">SUM(J$6:J282)</f>
        <v>1592962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0.027</v>
      </c>
      <c r="W282" s="114" t="n">
        <f aca="false">N282/$R$3</f>
        <v>1592.962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Data'!$A$2:$B$8,MATCH(WEEKDAY('ARG Gas Firm'!A283,3),'Master Data'!$A$2:$A$8,0),2)</f>
        <v>F</v>
      </c>
      <c r="D283" s="112"/>
      <c r="E283" s="112"/>
      <c r="F283" s="112"/>
      <c r="G283" s="112"/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SUM(J$188:J283)</f>
        <v>27</v>
      </c>
      <c r="N283" s="112" t="n">
        <f aca="false">SUM(J$6:J283)</f>
        <v>1592962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0.027</v>
      </c>
      <c r="W283" s="114" t="n">
        <f aca="false">N283/$R$3</f>
        <v>1592.962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Data'!$A$2:$B$8,MATCH(WEEKDAY('ARG Gas Firm'!A284,3),'Master Data'!$A$2:$A$8,0),2)</f>
        <v>Sa</v>
      </c>
      <c r="D284" s="112"/>
      <c r="E284" s="112"/>
      <c r="F284" s="112"/>
      <c r="G284" s="112"/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SUM(J$188:J284)</f>
        <v>27</v>
      </c>
      <c r="N284" s="112" t="n">
        <f aca="false">SUM(J$6:J284)</f>
        <v>1592962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0.027</v>
      </c>
      <c r="W284" s="114" t="n">
        <f aca="false">N284/$R$3</f>
        <v>1592.962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Data'!$A$2:$B$8,MATCH(WEEKDAY('ARG Gas Firm'!A285,3),'Master Data'!$A$2:$A$8,0),2)</f>
        <v>Su</v>
      </c>
      <c r="D285" s="112"/>
      <c r="E285" s="112"/>
      <c r="F285" s="112"/>
      <c r="G285" s="112"/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SUM(J$188:J285)</f>
        <v>27</v>
      </c>
      <c r="N285" s="112" t="n">
        <f aca="false">SUM(J$6:J285)</f>
        <v>1592962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0.027</v>
      </c>
      <c r="W285" s="114" t="n">
        <f aca="false">N285/$R$3</f>
        <v>1592.962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Data'!$A$2:$B$8,MATCH(WEEKDAY('ARG Gas Firm'!A286,3),'Master Data'!$A$2:$A$8,0),2)</f>
        <v>M</v>
      </c>
      <c r="D286" s="112"/>
      <c r="E286" s="112"/>
      <c r="F286" s="112"/>
      <c r="G286" s="112"/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SUM(J$188:J286)</f>
        <v>27</v>
      </c>
      <c r="N286" s="112" t="n">
        <f aca="false">SUM(J$6:J286)</f>
        <v>1592962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0.027</v>
      </c>
      <c r="W286" s="114" t="n">
        <f aca="false">N286/$R$3</f>
        <v>1592.962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Data'!$A$2:$B$8,MATCH(WEEKDAY('ARG Gas Firm'!A287,3),'Master Data'!$A$2:$A$8,0),2)</f>
        <v>T</v>
      </c>
      <c r="D287" s="112"/>
      <c r="E287" s="112"/>
      <c r="F287" s="112"/>
      <c r="G287" s="112"/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SUM(J$188:J287)</f>
        <v>27</v>
      </c>
      <c r="N287" s="112" t="n">
        <f aca="false">SUM(J$6:J287)</f>
        <v>1592962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0.027</v>
      </c>
      <c r="W287" s="114" t="n">
        <f aca="false">N287/$R$3</f>
        <v>1592.962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Data'!$A$2:$B$8,MATCH(WEEKDAY('ARG Gas Firm'!A288,3),'Master Data'!$A$2:$A$8,0),2)</f>
        <v>W</v>
      </c>
      <c r="D288" s="112"/>
      <c r="E288" s="112"/>
      <c r="F288" s="112"/>
      <c r="G288" s="112"/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SUM(J$188:J288)</f>
        <v>27</v>
      </c>
      <c r="N288" s="112" t="n">
        <f aca="false">SUM(J$6:J288)</f>
        <v>1592962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0.027</v>
      </c>
      <c r="W288" s="114" t="n">
        <f aca="false">N288/$R$3</f>
        <v>1592.962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Data'!$A$2:$B$8,MATCH(WEEKDAY('ARG Gas Firm'!A289,3),'Master Data'!$A$2:$A$8,0),2)</f>
        <v>Th</v>
      </c>
      <c r="D289" s="112"/>
      <c r="E289" s="112"/>
      <c r="F289" s="112"/>
      <c r="G289" s="112"/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SUM(J$188:J289)</f>
        <v>27</v>
      </c>
      <c r="N289" s="112" t="n">
        <f aca="false">SUM(J$6:J289)</f>
        <v>1592962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0.027</v>
      </c>
      <c r="W289" s="114" t="n">
        <f aca="false">N289/$R$3</f>
        <v>1592.962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Data'!$A$2:$B$8,MATCH(WEEKDAY('ARG Gas Firm'!A290,3),'Master Data'!$A$2:$A$8,0),2)</f>
        <v>F</v>
      </c>
      <c r="D290" s="112"/>
      <c r="E290" s="112"/>
      <c r="F290" s="112"/>
      <c r="G290" s="112"/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SUM(J$188:J290)</f>
        <v>27</v>
      </c>
      <c r="N290" s="112" t="n">
        <f aca="false">SUM(J$6:J290)</f>
        <v>1592962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0.027</v>
      </c>
      <c r="W290" s="114" t="n">
        <f aca="false">N290/$R$3</f>
        <v>1592.962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Data'!$A$2:$B$8,MATCH(WEEKDAY('ARG Gas Firm'!A291,3),'Master Data'!$A$2:$A$8,0),2)</f>
        <v>Sa</v>
      </c>
      <c r="D291" s="112"/>
      <c r="E291" s="112"/>
      <c r="F291" s="112"/>
      <c r="G291" s="112"/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SUM(J$188:J291)</f>
        <v>27</v>
      </c>
      <c r="N291" s="112" t="n">
        <f aca="false">SUM(J$6:J291)</f>
        <v>1592962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0.027</v>
      </c>
      <c r="W291" s="114" t="n">
        <f aca="false">N291/$R$3</f>
        <v>1592.962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Data'!$A$2:$B$8,MATCH(WEEKDAY('ARG Gas Firm'!A292,3),'Master Data'!$A$2:$A$8,0),2)</f>
        <v>Su</v>
      </c>
      <c r="D292" s="112"/>
      <c r="E292" s="112"/>
      <c r="F292" s="112"/>
      <c r="G292" s="112"/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SUM(J$188:J292)</f>
        <v>27</v>
      </c>
      <c r="N292" s="112" t="n">
        <f aca="false">SUM(J$6:J292)</f>
        <v>1592962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0.027</v>
      </c>
      <c r="W292" s="114" t="n">
        <f aca="false">N292/$R$3</f>
        <v>1592.962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Data'!$A$2:$B$8,MATCH(WEEKDAY('ARG Gas Firm'!A293,3),'Master Data'!$A$2:$A$8,0),2)</f>
        <v>M</v>
      </c>
      <c r="D293" s="112"/>
      <c r="E293" s="112"/>
      <c r="F293" s="112"/>
      <c r="G293" s="112"/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SUM(J$188:J293)</f>
        <v>27</v>
      </c>
      <c r="N293" s="112" t="n">
        <f aca="false">SUM(J$6:J293)</f>
        <v>1592962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0.027</v>
      </c>
      <c r="W293" s="114" t="n">
        <f aca="false">N293/$R$3</f>
        <v>1592.962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Data'!$A$2:$B$8,MATCH(WEEKDAY('ARG Gas Firm'!A294,3),'Master Data'!$A$2:$A$8,0),2)</f>
        <v>T</v>
      </c>
      <c r="D294" s="112"/>
      <c r="E294" s="112"/>
      <c r="F294" s="112"/>
      <c r="G294" s="112"/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SUM(J$188:J294)</f>
        <v>27</v>
      </c>
      <c r="N294" s="112" t="n">
        <f aca="false">SUM(J$6:J294)</f>
        <v>1592962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0.027</v>
      </c>
      <c r="W294" s="114" t="n">
        <f aca="false">N294/$R$3</f>
        <v>1592.962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Data'!$A$2:$B$8,MATCH(WEEKDAY('ARG Gas Firm'!A295,3),'Master Data'!$A$2:$A$8,0),2)</f>
        <v>W</v>
      </c>
      <c r="D295" s="112"/>
      <c r="E295" s="112"/>
      <c r="F295" s="112"/>
      <c r="G295" s="112"/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SUM(J$188:J295)</f>
        <v>27</v>
      </c>
      <c r="N295" s="112" t="n">
        <f aca="false">SUM(J$6:J295)</f>
        <v>1592962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0.027</v>
      </c>
      <c r="W295" s="114" t="n">
        <f aca="false">N295/$R$3</f>
        <v>1592.962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Data'!$A$2:$B$8,MATCH(WEEKDAY('ARG Gas Firm'!A296,3),'Master Data'!$A$2:$A$8,0),2)</f>
        <v>Th</v>
      </c>
      <c r="D296" s="112"/>
      <c r="E296" s="112"/>
      <c r="F296" s="112"/>
      <c r="G296" s="112"/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SUM(J$188:J296)</f>
        <v>27</v>
      </c>
      <c r="N296" s="112" t="n">
        <f aca="false">SUM(J$6:J296)</f>
        <v>1592962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0.027</v>
      </c>
      <c r="W296" s="114" t="n">
        <f aca="false">N296/$R$3</f>
        <v>1592.962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Data'!$A$2:$B$8,MATCH(WEEKDAY('ARG Gas Firm'!A297,3),'Master Data'!$A$2:$A$8,0),2)</f>
        <v>F</v>
      </c>
      <c r="D297" s="112"/>
      <c r="E297" s="112"/>
      <c r="F297" s="112"/>
      <c r="G297" s="112"/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SUM(J$188:J297)</f>
        <v>27</v>
      </c>
      <c r="N297" s="112" t="n">
        <f aca="false">SUM(J$6:J297)</f>
        <v>1592962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0.027</v>
      </c>
      <c r="W297" s="114" t="n">
        <f aca="false">N297/$R$3</f>
        <v>1592.962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Data'!$A$2:$B$8,MATCH(WEEKDAY('ARG Gas Firm'!A298,3),'Master Data'!$A$2:$A$8,0),2)</f>
        <v>Sa</v>
      </c>
      <c r="D298" s="112"/>
      <c r="E298" s="112"/>
      <c r="F298" s="112"/>
      <c r="G298" s="112"/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SUM(J$188:J298)</f>
        <v>27</v>
      </c>
      <c r="N298" s="112" t="n">
        <f aca="false">SUM(J$6:J298)</f>
        <v>1592962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0.027</v>
      </c>
      <c r="W298" s="114" t="n">
        <f aca="false">N298/$R$3</f>
        <v>1592.962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Data'!$A$2:$B$8,MATCH(WEEKDAY('ARG Gas Firm'!A299,3),'Master Data'!$A$2:$A$8,0),2)</f>
        <v>Su</v>
      </c>
      <c r="D299" s="112"/>
      <c r="E299" s="112"/>
      <c r="F299" s="112"/>
      <c r="G299" s="112"/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SUM(J$188:J299)</f>
        <v>27</v>
      </c>
      <c r="N299" s="112" t="n">
        <f aca="false">SUM(J$6:J299)</f>
        <v>1592962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0.027</v>
      </c>
      <c r="W299" s="114" t="n">
        <f aca="false">N299/$R$3</f>
        <v>1592.962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Data'!$A$2:$B$8,MATCH(WEEKDAY('ARG Gas Firm'!A300,3),'Master Data'!$A$2:$A$8,0),2)</f>
        <v>M</v>
      </c>
      <c r="D300" s="112"/>
      <c r="E300" s="112"/>
      <c r="F300" s="112"/>
      <c r="G300" s="112"/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SUM(J$188:J300)</f>
        <v>27</v>
      </c>
      <c r="N300" s="112" t="n">
        <f aca="false">SUM(J$6:J300)</f>
        <v>1592962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0.027</v>
      </c>
      <c r="W300" s="114" t="n">
        <f aca="false">N300/$R$3</f>
        <v>1592.962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Data'!$A$2:$B$8,MATCH(WEEKDAY('ARG Gas Firm'!A301,3),'Master Data'!$A$2:$A$8,0),2)</f>
        <v>T</v>
      </c>
      <c r="D301" s="112"/>
      <c r="E301" s="112"/>
      <c r="F301" s="112"/>
      <c r="G301" s="112"/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SUM(J$188:J301)</f>
        <v>27</v>
      </c>
      <c r="N301" s="112" t="n">
        <f aca="false">SUM(J$6:J301)</f>
        <v>1592962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0.027</v>
      </c>
      <c r="W301" s="114" t="n">
        <f aca="false">N301/$R$3</f>
        <v>1592.962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Data'!$A$2:$B$8,MATCH(WEEKDAY('ARG Gas Firm'!A302,3),'Master Data'!$A$2:$A$8,0),2)</f>
        <v>W</v>
      </c>
      <c r="D302" s="112"/>
      <c r="E302" s="112"/>
      <c r="F302" s="112"/>
      <c r="G302" s="112"/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SUM(J$188:J302)</f>
        <v>27</v>
      </c>
      <c r="N302" s="112" t="n">
        <f aca="false">SUM(J$6:J302)</f>
        <v>1592962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0.027</v>
      </c>
      <c r="W302" s="114" t="n">
        <f aca="false">N302/$R$3</f>
        <v>1592.962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Data'!$A$2:$B$8,MATCH(WEEKDAY('ARG Gas Firm'!A303,3),'Master Data'!$A$2:$A$8,0),2)</f>
        <v>Th</v>
      </c>
      <c r="D303" s="112"/>
      <c r="E303" s="112"/>
      <c r="F303" s="112"/>
      <c r="G303" s="112"/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SUM(J$188:J303)</f>
        <v>27</v>
      </c>
      <c r="N303" s="112" t="n">
        <f aca="false">SUM(J$6:J303)</f>
        <v>1592962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0.027</v>
      </c>
      <c r="W303" s="114" t="n">
        <f aca="false">N303/$R$3</f>
        <v>1592.962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Data'!$A$2:$B$8,MATCH(WEEKDAY('ARG Gas Firm'!A304,3),'Master Data'!$A$2:$A$8,0),2)</f>
        <v>F</v>
      </c>
      <c r="D304" s="112"/>
      <c r="E304" s="112"/>
      <c r="F304" s="112"/>
      <c r="G304" s="112"/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SUM(J$188:J304)</f>
        <v>27</v>
      </c>
      <c r="N304" s="112" t="n">
        <f aca="false">SUM(J$6:J304)</f>
        <v>1592962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0.027</v>
      </c>
      <c r="W304" s="114" t="n">
        <f aca="false">N304/$R$3</f>
        <v>1592.962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Data'!$A$2:$B$8,MATCH(WEEKDAY('ARG Gas Firm'!A305,3),'Master Data'!$A$2:$A$8,0),2)</f>
        <v>Sa</v>
      </c>
      <c r="D305" s="112"/>
      <c r="E305" s="112"/>
      <c r="F305" s="112"/>
      <c r="G305" s="112"/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SUM(J$188:J305)</f>
        <v>27</v>
      </c>
      <c r="N305" s="112" t="n">
        <f aca="false">SUM(J$6:J305)</f>
        <v>1592962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0.027</v>
      </c>
      <c r="W305" s="114" t="n">
        <f aca="false">N305/$R$3</f>
        <v>1592.962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Data'!$A$2:$B$8,MATCH(WEEKDAY('ARG Gas Firm'!A306,3),'Master Data'!$A$2:$A$8,0),2)</f>
        <v>Su</v>
      </c>
      <c r="D306" s="112"/>
      <c r="E306" s="112"/>
      <c r="F306" s="112"/>
      <c r="G306" s="112"/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SUM(J$188:J306)</f>
        <v>27</v>
      </c>
      <c r="N306" s="112" t="n">
        <f aca="false">SUM(J$6:J306)</f>
        <v>1592962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0.027</v>
      </c>
      <c r="W306" s="114" t="n">
        <f aca="false">N306/$R$3</f>
        <v>1592.962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Data'!$A$2:$B$8,MATCH(WEEKDAY('ARG Gas Firm'!A307,3),'Master Data'!$A$2:$A$8,0),2)</f>
        <v>M</v>
      </c>
      <c r="D307" s="112"/>
      <c r="E307" s="112"/>
      <c r="F307" s="112"/>
      <c r="G307" s="112"/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SUM(J$188:J307)</f>
        <v>27</v>
      </c>
      <c r="N307" s="112" t="n">
        <f aca="false">SUM(J$6:J307)</f>
        <v>1592962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0.027</v>
      </c>
      <c r="W307" s="114" t="n">
        <f aca="false">N307/$R$3</f>
        <v>1592.962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Data'!$A$2:$B$8,MATCH(WEEKDAY('ARG Gas Firm'!A308,3),'Master Data'!$A$2:$A$8,0),2)</f>
        <v>T</v>
      </c>
      <c r="D308" s="112"/>
      <c r="E308" s="112"/>
      <c r="F308" s="112"/>
      <c r="G308" s="112"/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SUM(J$188:J308)</f>
        <v>27</v>
      </c>
      <c r="N308" s="112" t="n">
        <f aca="false">SUM(J$6:J308)</f>
        <v>1592962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0.027</v>
      </c>
      <c r="W308" s="114" t="n">
        <f aca="false">N308/$R$3</f>
        <v>1592.962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Data'!$A$2:$B$8,MATCH(WEEKDAY('ARG Gas Firm'!A309,3),'Master Data'!$A$2:$A$8,0),2)</f>
        <v>W</v>
      </c>
      <c r="D309" s="112"/>
      <c r="E309" s="112"/>
      <c r="F309" s="112"/>
      <c r="G309" s="112"/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SUM(J$188:J309)</f>
        <v>27</v>
      </c>
      <c r="N309" s="112" t="n">
        <f aca="false">SUM(J$6:J309)</f>
        <v>1592962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0.027</v>
      </c>
      <c r="W309" s="114" t="n">
        <f aca="false">N309/$R$3</f>
        <v>1592.962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Data'!$A$2:$B$8,MATCH(WEEKDAY('ARG Gas Firm'!A310,3),'Master Data'!$A$2:$A$8,0),2)</f>
        <v>Th</v>
      </c>
      <c r="D310" s="112"/>
      <c r="E310" s="112"/>
      <c r="F310" s="112"/>
      <c r="G310" s="112"/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SUM(J$188:J310)</f>
        <v>27</v>
      </c>
      <c r="N310" s="112" t="n">
        <f aca="false">SUM(J$6:J310)</f>
        <v>1592962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0.027</v>
      </c>
      <c r="W310" s="114" t="n">
        <f aca="false">N310/$R$3</f>
        <v>1592.962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Data'!$A$2:$B$8,MATCH(WEEKDAY('ARG Gas Firm'!A311,3),'Master Data'!$A$2:$A$8,0),2)</f>
        <v>F</v>
      </c>
      <c r="D311" s="112"/>
      <c r="E311" s="112"/>
      <c r="F311" s="112"/>
      <c r="G311" s="112"/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SUM(J$188:J311)</f>
        <v>27</v>
      </c>
      <c r="N311" s="112" t="n">
        <f aca="false">SUM(J$6:J311)</f>
        <v>1592962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0.027</v>
      </c>
      <c r="W311" s="114" t="n">
        <f aca="false">N311/$R$3</f>
        <v>1592.962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Data'!$A$2:$B$8,MATCH(WEEKDAY('ARG Gas Firm'!A312,3),'Master Data'!$A$2:$A$8,0),2)</f>
        <v>Sa</v>
      </c>
      <c r="D312" s="112"/>
      <c r="E312" s="112"/>
      <c r="F312" s="112"/>
      <c r="G312" s="112"/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SUM(J$188:J312)</f>
        <v>27</v>
      </c>
      <c r="N312" s="112" t="n">
        <f aca="false">SUM(J$6:J312)</f>
        <v>1592962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0.027</v>
      </c>
      <c r="W312" s="114" t="n">
        <f aca="false">N312/$R$3</f>
        <v>1592.962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Data'!$A$2:$B$8,MATCH(WEEKDAY('ARG Gas Firm'!A313,3),'Master Data'!$A$2:$A$8,0),2)</f>
        <v>Su</v>
      </c>
      <c r="D313" s="112"/>
      <c r="E313" s="112"/>
      <c r="F313" s="112"/>
      <c r="G313" s="112"/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SUM(J$188:J313)</f>
        <v>27</v>
      </c>
      <c r="N313" s="112" t="n">
        <f aca="false">SUM(J$6:J313)</f>
        <v>1592962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0.027</v>
      </c>
      <c r="W313" s="114" t="n">
        <f aca="false">N313/$R$3</f>
        <v>1592.962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Data'!$A$2:$B$8,MATCH(WEEKDAY('ARG Gas Firm'!A314,3),'Master Data'!$A$2:$A$8,0),2)</f>
        <v>M</v>
      </c>
      <c r="D314" s="112"/>
      <c r="E314" s="112"/>
      <c r="F314" s="112"/>
      <c r="G314" s="112"/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SUM(J$188:J314)</f>
        <v>27</v>
      </c>
      <c r="N314" s="112" t="n">
        <f aca="false">SUM(J$6:J314)</f>
        <v>1592962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0.027</v>
      </c>
      <c r="W314" s="114" t="n">
        <f aca="false">N314/$R$3</f>
        <v>1592.962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Data'!$A$2:$B$8,MATCH(WEEKDAY('ARG Gas Firm'!A315,3),'Master Data'!$A$2:$A$8,0),2)</f>
        <v>T</v>
      </c>
      <c r="D315" s="112"/>
      <c r="E315" s="112"/>
      <c r="F315" s="112"/>
      <c r="G315" s="112"/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SUM(J$188:J315)</f>
        <v>27</v>
      </c>
      <c r="N315" s="112" t="n">
        <f aca="false">SUM(J$6:J315)</f>
        <v>1592962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0.027</v>
      </c>
      <c r="W315" s="114" t="n">
        <f aca="false">N315/$R$3</f>
        <v>1592.962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Data'!$A$2:$B$8,MATCH(WEEKDAY('ARG Gas Firm'!A316,3),'Master Data'!$A$2:$A$8,0),2)</f>
        <v>W</v>
      </c>
      <c r="D316" s="112"/>
      <c r="E316" s="112"/>
      <c r="F316" s="112"/>
      <c r="G316" s="112"/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SUM(J$188:J316)</f>
        <v>27</v>
      </c>
      <c r="N316" s="112" t="n">
        <f aca="false">SUM(J$6:J316)</f>
        <v>1592962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0.027</v>
      </c>
      <c r="W316" s="114" t="n">
        <f aca="false">N316/$R$3</f>
        <v>1592.962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Data'!$A$2:$B$8,MATCH(WEEKDAY('ARG Gas Firm'!A317,3),'Master Data'!$A$2:$A$8,0),2)</f>
        <v>Th</v>
      </c>
      <c r="D317" s="112"/>
      <c r="E317" s="112"/>
      <c r="F317" s="112"/>
      <c r="G317" s="112"/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SUM(J$188:J317)</f>
        <v>27</v>
      </c>
      <c r="N317" s="112" t="n">
        <f aca="false">SUM(J$6:J317)</f>
        <v>1592962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0.027</v>
      </c>
      <c r="W317" s="114" t="n">
        <f aca="false">N317/$R$3</f>
        <v>1592.962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Data'!$A$2:$B$8,MATCH(WEEKDAY('ARG Gas Firm'!A318,3),'Master Data'!$A$2:$A$8,0),2)</f>
        <v>F</v>
      </c>
      <c r="D318" s="112"/>
      <c r="E318" s="112"/>
      <c r="F318" s="112"/>
      <c r="G318" s="112"/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SUM(J$188:J318)</f>
        <v>27</v>
      </c>
      <c r="N318" s="112" t="n">
        <f aca="false">SUM(J$6:J318)</f>
        <v>1592962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0.027</v>
      </c>
      <c r="W318" s="114" t="n">
        <f aca="false">N318/$R$3</f>
        <v>1592.962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Data'!$A$2:$B$8,MATCH(WEEKDAY('ARG Gas Firm'!A319,3),'Master Data'!$A$2:$A$8,0),2)</f>
        <v>Sa</v>
      </c>
      <c r="D319" s="112"/>
      <c r="E319" s="112"/>
      <c r="F319" s="112"/>
      <c r="G319" s="112"/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SUM(J$188:J319)</f>
        <v>27</v>
      </c>
      <c r="N319" s="112" t="n">
        <f aca="false">SUM(J$6:J319)</f>
        <v>1592962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0.027</v>
      </c>
      <c r="W319" s="114" t="n">
        <f aca="false">N319/$R$3</f>
        <v>1592.962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Data'!$A$2:$B$8,MATCH(WEEKDAY('ARG Gas Firm'!A320,3),'Master Data'!$A$2:$A$8,0),2)</f>
        <v>Su</v>
      </c>
      <c r="D320" s="112"/>
      <c r="E320" s="112"/>
      <c r="F320" s="112"/>
      <c r="G320" s="112"/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SUM(J$188:J320)</f>
        <v>27</v>
      </c>
      <c r="N320" s="112" t="n">
        <f aca="false">SUM(J$6:J320)</f>
        <v>1592962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0.027</v>
      </c>
      <c r="W320" s="114" t="n">
        <f aca="false">N320/$R$3</f>
        <v>1592.962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Data'!$A$2:$B$8,MATCH(WEEKDAY('ARG Gas Firm'!A321,3),'Master Data'!$A$2:$A$8,0),2)</f>
        <v>M</v>
      </c>
      <c r="D321" s="112"/>
      <c r="E321" s="112"/>
      <c r="F321" s="112"/>
      <c r="G321" s="112"/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SUM(J$188:J321)</f>
        <v>27</v>
      </c>
      <c r="N321" s="112" t="n">
        <f aca="false">SUM(J$6:J321)</f>
        <v>1592962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0.027</v>
      </c>
      <c r="W321" s="114" t="n">
        <f aca="false">N321/$R$3</f>
        <v>1592.962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Data'!$A$2:$B$8,MATCH(WEEKDAY('ARG Gas Firm'!A322,3),'Master Data'!$A$2:$A$8,0),2)</f>
        <v>T</v>
      </c>
      <c r="D322" s="112"/>
      <c r="E322" s="112"/>
      <c r="F322" s="112"/>
      <c r="G322" s="112"/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SUM(J$188:J322)</f>
        <v>27</v>
      </c>
      <c r="N322" s="112" t="n">
        <f aca="false">SUM(J$6:J322)</f>
        <v>1592962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0.027</v>
      </c>
      <c r="W322" s="114" t="n">
        <f aca="false">N322/$R$3</f>
        <v>1592.962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Data'!$A$2:$B$8,MATCH(WEEKDAY('ARG Gas Firm'!A323,3),'Master Data'!$A$2:$A$8,0),2)</f>
        <v>W</v>
      </c>
      <c r="D323" s="112"/>
      <c r="E323" s="112"/>
      <c r="F323" s="112"/>
      <c r="G323" s="112"/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SUM(J$188:J323)</f>
        <v>27</v>
      </c>
      <c r="N323" s="112" t="n">
        <f aca="false">SUM(J$6:J323)</f>
        <v>1592962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0.027</v>
      </c>
      <c r="W323" s="114" t="n">
        <f aca="false">N323/$R$3</f>
        <v>1592.962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Data'!$A$2:$B$8,MATCH(WEEKDAY('ARG Gas Firm'!A324,3),'Master Data'!$A$2:$A$8,0),2)</f>
        <v>Th</v>
      </c>
      <c r="D324" s="112"/>
      <c r="E324" s="112"/>
      <c r="F324" s="112"/>
      <c r="G324" s="112"/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SUM(J$188:J324)</f>
        <v>27</v>
      </c>
      <c r="N324" s="112" t="n">
        <f aca="false">SUM(J$6:J324)</f>
        <v>1592962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0.027</v>
      </c>
      <c r="W324" s="114" t="n">
        <f aca="false">N324/$R$3</f>
        <v>1592.962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Data'!$A$2:$B$8,MATCH(WEEKDAY('ARG Gas Firm'!A325,3),'Master Data'!$A$2:$A$8,0),2)</f>
        <v>F</v>
      </c>
      <c r="D325" s="112"/>
      <c r="E325" s="112"/>
      <c r="F325" s="112"/>
      <c r="G325" s="112"/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SUM(J$188:J325)</f>
        <v>27</v>
      </c>
      <c r="N325" s="112" t="n">
        <f aca="false">SUM(J$6:J325)</f>
        <v>1592962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0.027</v>
      </c>
      <c r="W325" s="114" t="n">
        <f aca="false">N325/$R$3</f>
        <v>1592.962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Data'!$A$2:$B$8,MATCH(WEEKDAY('ARG Gas Firm'!A326,3),'Master Data'!$A$2:$A$8,0),2)</f>
        <v>Sa</v>
      </c>
      <c r="D326" s="112"/>
      <c r="E326" s="112"/>
      <c r="F326" s="112"/>
      <c r="G326" s="112"/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SUM(J$188:J326)</f>
        <v>27</v>
      </c>
      <c r="N326" s="112" t="n">
        <f aca="false">SUM(J$6:J326)</f>
        <v>1592962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0.027</v>
      </c>
      <c r="W326" s="114" t="n">
        <f aca="false">N326/$R$3</f>
        <v>1592.962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Data'!$A$2:$B$8,MATCH(WEEKDAY('ARG Gas Firm'!A327,3),'Master Data'!$A$2:$A$8,0),2)</f>
        <v>Su</v>
      </c>
      <c r="D327" s="112"/>
      <c r="E327" s="112"/>
      <c r="F327" s="112"/>
      <c r="G327" s="112"/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SUM(J$188:J327)</f>
        <v>27</v>
      </c>
      <c r="N327" s="112" t="n">
        <f aca="false">SUM(J$6:J327)</f>
        <v>1592962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0.027</v>
      </c>
      <c r="W327" s="114" t="n">
        <f aca="false">N327/$R$3</f>
        <v>1592.962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Data'!$A$2:$B$8,MATCH(WEEKDAY('ARG Gas Firm'!A328,3),'Master Data'!$A$2:$A$8,0),2)</f>
        <v>M</v>
      </c>
      <c r="D328" s="112"/>
      <c r="E328" s="112"/>
      <c r="F328" s="112"/>
      <c r="G328" s="112"/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SUM(J$188:J328)</f>
        <v>27</v>
      </c>
      <c r="N328" s="112" t="n">
        <f aca="false">SUM(J$6:J328)</f>
        <v>1592962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0.027</v>
      </c>
      <c r="W328" s="114" t="n">
        <f aca="false">N328/$R$3</f>
        <v>1592.962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Data'!$A$2:$B$8,MATCH(WEEKDAY('ARG Gas Firm'!A329,3),'Master Data'!$A$2:$A$8,0),2)</f>
        <v>T</v>
      </c>
      <c r="D329" s="112"/>
      <c r="E329" s="112"/>
      <c r="F329" s="112"/>
      <c r="G329" s="112"/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SUM(J$188:J329)</f>
        <v>27</v>
      </c>
      <c r="N329" s="112" t="n">
        <f aca="false">SUM(J$6:J329)</f>
        <v>1592962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0.027</v>
      </c>
      <c r="W329" s="114" t="n">
        <f aca="false">N329/$R$3</f>
        <v>1592.962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Data'!$A$2:$B$8,MATCH(WEEKDAY('ARG Gas Firm'!A330,3),'Master Data'!$A$2:$A$8,0),2)</f>
        <v>W</v>
      </c>
      <c r="D330" s="112"/>
      <c r="E330" s="112"/>
      <c r="F330" s="112"/>
      <c r="G330" s="112"/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SUM(J$188:J330)</f>
        <v>27</v>
      </c>
      <c r="N330" s="112" t="n">
        <f aca="false">SUM(J$6:J330)</f>
        <v>1592962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0.027</v>
      </c>
      <c r="W330" s="114" t="n">
        <f aca="false">N330/$R$3</f>
        <v>1592.962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Data'!$A$2:$B$8,MATCH(WEEKDAY('ARG Gas Firm'!A331,3),'Master Data'!$A$2:$A$8,0),2)</f>
        <v>Th</v>
      </c>
      <c r="D331" s="112"/>
      <c r="E331" s="112"/>
      <c r="F331" s="112"/>
      <c r="G331" s="112"/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SUM(J$188:J331)</f>
        <v>27</v>
      </c>
      <c r="N331" s="112" t="n">
        <f aca="false">SUM(J$6:J331)</f>
        <v>1592962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0.027</v>
      </c>
      <c r="W331" s="114" t="n">
        <f aca="false">N331/$R$3</f>
        <v>1592.962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Data'!$A$2:$B$8,MATCH(WEEKDAY('ARG Gas Firm'!A332,3),'Master Data'!$A$2:$A$8,0),2)</f>
        <v>F</v>
      </c>
      <c r="D332" s="112"/>
      <c r="E332" s="112"/>
      <c r="F332" s="112"/>
      <c r="G332" s="112"/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SUM(J$188:J332)</f>
        <v>27</v>
      </c>
      <c r="N332" s="112" t="n">
        <f aca="false">SUM(J$6:J332)</f>
        <v>1592962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0.027</v>
      </c>
      <c r="W332" s="114" t="n">
        <f aca="false">N332/$R$3</f>
        <v>1592.962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Data'!$A$2:$B$8,MATCH(WEEKDAY('ARG Gas Firm'!A333,3),'Master Data'!$A$2:$A$8,0),2)</f>
        <v>Sa</v>
      </c>
      <c r="D333" s="112"/>
      <c r="E333" s="112"/>
      <c r="F333" s="112"/>
      <c r="G333" s="112"/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SUM(J$188:J333)</f>
        <v>27</v>
      </c>
      <c r="N333" s="112" t="n">
        <f aca="false">SUM(J$6:J333)</f>
        <v>1592962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0.027</v>
      </c>
      <c r="W333" s="114" t="n">
        <f aca="false">N333/$R$3</f>
        <v>1592.962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Data'!$A$2:$B$8,MATCH(WEEKDAY('ARG Gas Firm'!A334,3),'Master Data'!$A$2:$A$8,0),2)</f>
        <v>Su</v>
      </c>
      <c r="D334" s="112"/>
      <c r="E334" s="112"/>
      <c r="F334" s="112"/>
      <c r="G334" s="112"/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SUM(J$188:J334)</f>
        <v>27</v>
      </c>
      <c r="N334" s="112" t="n">
        <f aca="false">SUM(J$6:J334)</f>
        <v>1592962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0.027</v>
      </c>
      <c r="W334" s="114" t="n">
        <f aca="false">N334/$R$3</f>
        <v>1592.962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Data'!$A$2:$B$8,MATCH(WEEKDAY('ARG Gas Firm'!A335,3),'Master Data'!$A$2:$A$8,0),2)</f>
        <v>M</v>
      </c>
      <c r="D335" s="112"/>
      <c r="E335" s="112"/>
      <c r="F335" s="112"/>
      <c r="G335" s="112"/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SUM(J$188:J335)</f>
        <v>27</v>
      </c>
      <c r="N335" s="112" t="n">
        <f aca="false">SUM(J$6:J335)</f>
        <v>1592962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0.027</v>
      </c>
      <c r="W335" s="114" t="n">
        <f aca="false">N335/$R$3</f>
        <v>1592.962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Data'!$A$2:$B$8,MATCH(WEEKDAY('ARG Gas Firm'!A336,3),'Master Data'!$A$2:$A$8,0),2)</f>
        <v>T</v>
      </c>
      <c r="D336" s="112"/>
      <c r="E336" s="112"/>
      <c r="F336" s="112"/>
      <c r="G336" s="112"/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SUM(J$188:J336)</f>
        <v>27</v>
      </c>
      <c r="N336" s="112" t="n">
        <f aca="false">SUM(J$6:J336)</f>
        <v>1592962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0.027</v>
      </c>
      <c r="W336" s="114" t="n">
        <f aca="false">N336/$R$3</f>
        <v>1592.962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Data'!$A$2:$B$8,MATCH(WEEKDAY('ARG Gas Firm'!A337,3),'Master Data'!$A$2:$A$8,0),2)</f>
        <v>W</v>
      </c>
      <c r="D337" s="112"/>
      <c r="E337" s="112"/>
      <c r="F337" s="112"/>
      <c r="G337" s="112"/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SUM(J$188:J337)</f>
        <v>27</v>
      </c>
      <c r="N337" s="112" t="n">
        <f aca="false">SUM(J$6:J337)</f>
        <v>1592962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0.027</v>
      </c>
      <c r="W337" s="114" t="n">
        <f aca="false">N337/$R$3</f>
        <v>1592.962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Data'!$A$2:$B$8,MATCH(WEEKDAY('ARG Gas Firm'!A338,3),'Master Data'!$A$2:$A$8,0),2)</f>
        <v>Th</v>
      </c>
      <c r="D338" s="112"/>
      <c r="E338" s="112"/>
      <c r="F338" s="112"/>
      <c r="G338" s="112"/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SUM(J$188:J338)</f>
        <v>27</v>
      </c>
      <c r="N338" s="112" t="n">
        <f aca="false">SUM(J$6:J338)</f>
        <v>1592962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0.027</v>
      </c>
      <c r="W338" s="114" t="n">
        <f aca="false">N338/$R$3</f>
        <v>1592.962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Data'!$A$2:$B$8,MATCH(WEEKDAY('ARG Gas Firm'!A339,3),'Master Data'!$A$2:$A$8,0),2)</f>
        <v>F</v>
      </c>
      <c r="D339" s="112"/>
      <c r="E339" s="112"/>
      <c r="F339" s="112"/>
      <c r="G339" s="112"/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SUM(J$188:J339)</f>
        <v>27</v>
      </c>
      <c r="N339" s="112" t="n">
        <f aca="false">SUM(J$6:J339)</f>
        <v>1592962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0.027</v>
      </c>
      <c r="W339" s="114" t="n">
        <f aca="false">N339/$R$3</f>
        <v>1592.962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Data'!$A$2:$B$8,MATCH(WEEKDAY('ARG Gas Firm'!A340,3),'Master Data'!$A$2:$A$8,0),2)</f>
        <v>Sa</v>
      </c>
      <c r="D340" s="112"/>
      <c r="E340" s="112"/>
      <c r="F340" s="112"/>
      <c r="G340" s="112"/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SUM(J$188:J340)</f>
        <v>27</v>
      </c>
      <c r="N340" s="112" t="n">
        <f aca="false">SUM(J$6:J340)</f>
        <v>1592962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0.027</v>
      </c>
      <c r="W340" s="114" t="n">
        <f aca="false">N340/$R$3</f>
        <v>1592.962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Data'!$A$2:$B$8,MATCH(WEEKDAY('ARG Gas Firm'!A341,3),'Master Data'!$A$2:$A$8,0),2)</f>
        <v>Su</v>
      </c>
      <c r="D341" s="112"/>
      <c r="E341" s="112"/>
      <c r="F341" s="112"/>
      <c r="G341" s="112"/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SUM(J$188:J341)</f>
        <v>27</v>
      </c>
      <c r="N341" s="112" t="n">
        <f aca="false">SUM(J$6:J341)</f>
        <v>1592962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0.027</v>
      </c>
      <c r="W341" s="114" t="n">
        <f aca="false">N341/$R$3</f>
        <v>1592.962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Data'!$A$2:$B$8,MATCH(WEEKDAY('ARG Gas Firm'!A342,3),'Master Data'!$A$2:$A$8,0),2)</f>
        <v>M</v>
      </c>
      <c r="D342" s="112"/>
      <c r="E342" s="112"/>
      <c r="F342" s="112"/>
      <c r="G342" s="112"/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SUM(J$188:J342)</f>
        <v>27</v>
      </c>
      <c r="N342" s="112" t="n">
        <f aca="false">SUM(J$6:J342)</f>
        <v>1592962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0.027</v>
      </c>
      <c r="W342" s="114" t="n">
        <f aca="false">N342/$R$3</f>
        <v>1592.962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Data'!$A$2:$B$8,MATCH(WEEKDAY('ARG Gas Firm'!A343,3),'Master Data'!$A$2:$A$8,0),2)</f>
        <v>T</v>
      </c>
      <c r="D343" s="112"/>
      <c r="E343" s="112"/>
      <c r="F343" s="112"/>
      <c r="G343" s="112"/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SUM(J$188:J343)</f>
        <v>27</v>
      </c>
      <c r="N343" s="112" t="n">
        <f aca="false">SUM(J$6:J343)</f>
        <v>1592962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0.027</v>
      </c>
      <c r="W343" s="114" t="n">
        <f aca="false">N343/$R$3</f>
        <v>1592.962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Data'!$A$2:$B$8,MATCH(WEEKDAY('ARG Gas Firm'!A344,3),'Master Data'!$A$2:$A$8,0),2)</f>
        <v>W</v>
      </c>
      <c r="D344" s="112"/>
      <c r="E344" s="112"/>
      <c r="F344" s="112"/>
      <c r="G344" s="112"/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SUM(J$188:J344)</f>
        <v>27</v>
      </c>
      <c r="N344" s="112" t="n">
        <f aca="false">SUM(J$6:J344)</f>
        <v>1592962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0.027</v>
      </c>
      <c r="W344" s="114" t="n">
        <f aca="false">N344/$R$3</f>
        <v>1592.962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Data'!$A$2:$B$8,MATCH(WEEKDAY('ARG Gas Firm'!A345,3),'Master Data'!$A$2:$A$8,0),2)</f>
        <v>Th</v>
      </c>
      <c r="D345" s="112"/>
      <c r="E345" s="112"/>
      <c r="F345" s="112"/>
      <c r="G345" s="112"/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SUM(J$188:J345)</f>
        <v>27</v>
      </c>
      <c r="N345" s="112" t="n">
        <f aca="false">SUM(J$6:J345)</f>
        <v>1592962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0.027</v>
      </c>
      <c r="W345" s="114" t="n">
        <f aca="false">N345/$R$3</f>
        <v>1592.962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Data'!$A$2:$B$8,MATCH(WEEKDAY('ARG Gas Firm'!A346,3),'Master Data'!$A$2:$A$8,0),2)</f>
        <v>F</v>
      </c>
      <c r="D346" s="112"/>
      <c r="E346" s="112"/>
      <c r="F346" s="112"/>
      <c r="G346" s="112"/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SUM(J$188:J346)</f>
        <v>27</v>
      </c>
      <c r="N346" s="112" t="n">
        <f aca="false">SUM(J$6:J346)</f>
        <v>1592962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0.027</v>
      </c>
      <c r="W346" s="114" t="n">
        <f aca="false">N346/$R$3</f>
        <v>1592.962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Data'!$A$2:$B$8,MATCH(WEEKDAY('ARG Gas Firm'!A347,3),'Master Data'!$A$2:$A$8,0),2)</f>
        <v>Sa</v>
      </c>
      <c r="D347" s="112"/>
      <c r="E347" s="112"/>
      <c r="F347" s="112"/>
      <c r="G347" s="112"/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SUM(J$188:J347)</f>
        <v>27</v>
      </c>
      <c r="N347" s="112" t="n">
        <f aca="false">SUM(J$6:J347)</f>
        <v>1592962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0.027</v>
      </c>
      <c r="W347" s="114" t="n">
        <f aca="false">N347/$R$3</f>
        <v>1592.962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Data'!$A$2:$B$8,MATCH(WEEKDAY('ARG Gas Firm'!A348,3),'Master Data'!$A$2:$A$8,0),2)</f>
        <v>Su</v>
      </c>
      <c r="D348" s="112"/>
      <c r="E348" s="112"/>
      <c r="F348" s="112"/>
      <c r="G348" s="112"/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SUM(J$188:J348)</f>
        <v>27</v>
      </c>
      <c r="N348" s="112" t="n">
        <f aca="false">SUM(J$6:J348)</f>
        <v>1592962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0.027</v>
      </c>
      <c r="W348" s="114" t="n">
        <f aca="false">N348/$R$3</f>
        <v>1592.962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Data'!$A$2:$B$8,MATCH(WEEKDAY('ARG Gas Firm'!A349,3),'Master Data'!$A$2:$A$8,0),2)</f>
        <v>M</v>
      </c>
      <c r="D349" s="112"/>
      <c r="E349" s="112"/>
      <c r="F349" s="112"/>
      <c r="G349" s="112"/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SUM(J$188:J349)</f>
        <v>27</v>
      </c>
      <c r="N349" s="112" t="n">
        <f aca="false">SUM(J$6:J349)</f>
        <v>1592962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0.027</v>
      </c>
      <c r="W349" s="114" t="n">
        <f aca="false">N349/$R$3</f>
        <v>1592.962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Data'!$A$2:$B$8,MATCH(WEEKDAY('ARG Gas Firm'!A350,3),'Master Data'!$A$2:$A$8,0),2)</f>
        <v>T</v>
      </c>
      <c r="D350" s="112"/>
      <c r="E350" s="112"/>
      <c r="F350" s="112"/>
      <c r="G350" s="112"/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SUM(J$188:J350)</f>
        <v>27</v>
      </c>
      <c r="N350" s="112" t="n">
        <f aca="false">SUM(J$6:J350)</f>
        <v>1592962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0.027</v>
      </c>
      <c r="W350" s="114" t="n">
        <f aca="false">N350/$R$3</f>
        <v>1592.962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Data'!$A$2:$B$8,MATCH(WEEKDAY('ARG Gas Firm'!A351,3),'Master Data'!$A$2:$A$8,0),2)</f>
        <v>W</v>
      </c>
      <c r="D351" s="112"/>
      <c r="E351" s="112"/>
      <c r="F351" s="112"/>
      <c r="G351" s="112"/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SUM(J$188:J351)</f>
        <v>27</v>
      </c>
      <c r="N351" s="112" t="n">
        <f aca="false">SUM(J$6:J351)</f>
        <v>1592962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0.027</v>
      </c>
      <c r="W351" s="114" t="n">
        <f aca="false">N351/$R$3</f>
        <v>1592.962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Data'!$A$2:$B$8,MATCH(WEEKDAY('ARG Gas Firm'!A352,3),'Master Data'!$A$2:$A$8,0),2)</f>
        <v>Th</v>
      </c>
      <c r="D352" s="112"/>
      <c r="E352" s="112"/>
      <c r="F352" s="112"/>
      <c r="G352" s="112"/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SUM(J$188:J352)</f>
        <v>27</v>
      </c>
      <c r="N352" s="112" t="n">
        <f aca="false">SUM(J$6:J352)</f>
        <v>1592962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0.027</v>
      </c>
      <c r="W352" s="114" t="n">
        <f aca="false">N352/$R$3</f>
        <v>1592.962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Data'!$A$2:$B$8,MATCH(WEEKDAY('ARG Gas Firm'!A353,3),'Master Data'!$A$2:$A$8,0),2)</f>
        <v>F</v>
      </c>
      <c r="D353" s="112"/>
      <c r="E353" s="112"/>
      <c r="F353" s="112"/>
      <c r="G353" s="112"/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SUM(J$188:J353)</f>
        <v>27</v>
      </c>
      <c r="N353" s="112" t="n">
        <f aca="false">SUM(J$6:J353)</f>
        <v>1592962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0.027</v>
      </c>
      <c r="W353" s="114" t="n">
        <f aca="false">N353/$R$3</f>
        <v>1592.962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Data'!$A$2:$B$8,MATCH(WEEKDAY('ARG Gas Firm'!A354,3),'Master Data'!$A$2:$A$8,0),2)</f>
        <v>Sa</v>
      </c>
      <c r="D354" s="112"/>
      <c r="E354" s="112"/>
      <c r="F354" s="112"/>
      <c r="G354" s="112"/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SUM(J$188:J354)</f>
        <v>27</v>
      </c>
      <c r="N354" s="112" t="n">
        <f aca="false">SUM(J$6:J354)</f>
        <v>1592962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0.027</v>
      </c>
      <c r="W354" s="114" t="n">
        <f aca="false">N354/$R$3</f>
        <v>1592.962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Data'!$A$2:$B$8,MATCH(WEEKDAY('ARG Gas Firm'!A355,3),'Master Data'!$A$2:$A$8,0),2)</f>
        <v>Su</v>
      </c>
      <c r="D355" s="112"/>
      <c r="E355" s="112"/>
      <c r="F355" s="112"/>
      <c r="G355" s="112"/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SUM(J$188:J355)</f>
        <v>27</v>
      </c>
      <c r="N355" s="112" t="n">
        <f aca="false">SUM(J$6:J355)</f>
        <v>1592962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0.027</v>
      </c>
      <c r="W355" s="114" t="n">
        <f aca="false">N355/$R$3</f>
        <v>1592.962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Data'!$A$2:$B$8,MATCH(WEEKDAY('ARG Gas Firm'!A356,3),'Master Data'!$A$2:$A$8,0),2)</f>
        <v>M</v>
      </c>
      <c r="D356" s="112"/>
      <c r="E356" s="112"/>
      <c r="F356" s="112"/>
      <c r="G356" s="112"/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SUM(J$188:J356)</f>
        <v>27</v>
      </c>
      <c r="N356" s="112" t="n">
        <f aca="false">SUM(J$6:J356)</f>
        <v>1592962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0.027</v>
      </c>
      <c r="W356" s="114" t="n">
        <f aca="false">N356/$R$3</f>
        <v>1592.962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Data'!$A$2:$B$8,MATCH(WEEKDAY('ARG Gas Firm'!A357,3),'Master Data'!$A$2:$A$8,0),2)</f>
        <v>T</v>
      </c>
      <c r="D357" s="112"/>
      <c r="E357" s="112"/>
      <c r="F357" s="112"/>
      <c r="G357" s="112"/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SUM(J$188:J357)</f>
        <v>27</v>
      </c>
      <c r="N357" s="112" t="n">
        <f aca="false">SUM(J$6:J357)</f>
        <v>1592962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0.027</v>
      </c>
      <c r="W357" s="114" t="n">
        <f aca="false">N357/$R$3</f>
        <v>1592.962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Data'!$A$2:$B$8,MATCH(WEEKDAY('ARG Gas Firm'!A358,3),'Master Data'!$A$2:$A$8,0),2)</f>
        <v>W</v>
      </c>
      <c r="D358" s="112"/>
      <c r="E358" s="112"/>
      <c r="F358" s="112"/>
      <c r="G358" s="112"/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SUM(J$188:J358)</f>
        <v>27</v>
      </c>
      <c r="N358" s="112" t="n">
        <f aca="false">SUM(J$6:J358)</f>
        <v>1592962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0.027</v>
      </c>
      <c r="W358" s="114" t="n">
        <f aca="false">N358/$R$3</f>
        <v>1592.962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Data'!$A$2:$B$8,MATCH(WEEKDAY('ARG Gas Firm'!A359,3),'Master Data'!$A$2:$A$8,0),2)</f>
        <v>Th</v>
      </c>
      <c r="D359" s="112"/>
      <c r="E359" s="112"/>
      <c r="F359" s="112"/>
      <c r="G359" s="112"/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SUM(J$188:J359)</f>
        <v>27</v>
      </c>
      <c r="N359" s="112" t="n">
        <f aca="false">SUM(J$6:J359)</f>
        <v>1592962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0.027</v>
      </c>
      <c r="W359" s="114" t="n">
        <f aca="false">N359/$R$3</f>
        <v>1592.962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Data'!$A$2:$B$8,MATCH(WEEKDAY('ARG Gas Firm'!A360,3),'Master Data'!$A$2:$A$8,0),2)</f>
        <v>F</v>
      </c>
      <c r="D360" s="112"/>
      <c r="E360" s="112"/>
      <c r="F360" s="112"/>
      <c r="G360" s="112"/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SUM(J$188:J360)</f>
        <v>27</v>
      </c>
      <c r="N360" s="112" t="n">
        <f aca="false">SUM(J$6:J360)</f>
        <v>1592962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0.027</v>
      </c>
      <c r="W360" s="114" t="n">
        <f aca="false">N360/$R$3</f>
        <v>1592.962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Data'!$A$2:$B$8,MATCH(WEEKDAY('ARG Gas Firm'!A361,3),'Master Data'!$A$2:$A$8,0),2)</f>
        <v>Sa</v>
      </c>
      <c r="D361" s="112"/>
      <c r="E361" s="112"/>
      <c r="F361" s="112"/>
      <c r="G361" s="112"/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SUM(J$188:J361)</f>
        <v>27</v>
      </c>
      <c r="N361" s="112" t="n">
        <f aca="false">SUM(J$6:J361)</f>
        <v>1592962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0.027</v>
      </c>
      <c r="W361" s="114" t="n">
        <f aca="false">N361/$R$3</f>
        <v>1592.962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Data'!$A$2:$B$8,MATCH(WEEKDAY('ARG Gas Firm'!A362,3),'Master Data'!$A$2:$A$8,0),2)</f>
        <v>Su</v>
      </c>
      <c r="D362" s="112"/>
      <c r="E362" s="112"/>
      <c r="F362" s="112"/>
      <c r="G362" s="112"/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SUM(J$188:J362)</f>
        <v>27</v>
      </c>
      <c r="N362" s="112" t="n">
        <f aca="false">SUM(J$6:J362)</f>
        <v>1592962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0.027</v>
      </c>
      <c r="W362" s="114" t="n">
        <f aca="false">N362/$R$3</f>
        <v>1592.962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Data'!$A$2:$B$8,MATCH(WEEKDAY('ARG Gas Firm'!A363,3),'Master Data'!$A$2:$A$8,0),2)</f>
        <v>M</v>
      </c>
      <c r="D363" s="112"/>
      <c r="E363" s="112"/>
      <c r="F363" s="112"/>
      <c r="G363" s="112"/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SUM(J$188:J363)</f>
        <v>27</v>
      </c>
      <c r="N363" s="112" t="n">
        <f aca="false">SUM(J$6:J363)</f>
        <v>1592962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0.027</v>
      </c>
      <c r="W363" s="114" t="n">
        <f aca="false">N363/$R$3</f>
        <v>1592.962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Data'!$A$2:$B$8,MATCH(WEEKDAY('ARG Gas Firm'!A364,3),'Master Data'!$A$2:$A$8,0),2)</f>
        <v>T</v>
      </c>
      <c r="D364" s="112"/>
      <c r="E364" s="112"/>
      <c r="F364" s="112"/>
      <c r="G364" s="112"/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SUM(J$188:J364)</f>
        <v>27</v>
      </c>
      <c r="N364" s="112" t="n">
        <f aca="false">SUM(J$6:J364)</f>
        <v>1592962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0.027</v>
      </c>
      <c r="W364" s="114" t="n">
        <f aca="false">N364/$R$3</f>
        <v>1592.962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Data'!$A$2:$B$8,MATCH(WEEKDAY('ARG Gas Firm'!A365,3),'Master Data'!$A$2:$A$8,0),2)</f>
        <v>W</v>
      </c>
      <c r="D365" s="112"/>
      <c r="E365" s="112"/>
      <c r="F365" s="112"/>
      <c r="G365" s="112"/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SUM(J$188:J365)</f>
        <v>27</v>
      </c>
      <c r="N365" s="112" t="n">
        <f aca="false">SUM(J$6:J365)</f>
        <v>1592962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0.027</v>
      </c>
      <c r="W365" s="114" t="n">
        <f aca="false">N365/$R$3</f>
        <v>1592.962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Data'!$A$2:$B$8,MATCH(WEEKDAY('ARG Gas Firm'!A366,3),'Master Data'!$A$2:$A$8,0),2)</f>
        <v>Th</v>
      </c>
      <c r="D366" s="112"/>
      <c r="E366" s="112"/>
      <c r="F366" s="112"/>
      <c r="G366" s="112"/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SUM(J$188:J366)</f>
        <v>27</v>
      </c>
      <c r="N366" s="112" t="n">
        <f aca="false">SUM(J$6:J366)</f>
        <v>1592962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0.027</v>
      </c>
      <c r="W366" s="114" t="n">
        <f aca="false">N366/$R$3</f>
        <v>1592.962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Data'!$A$2:$B$8,MATCH(WEEKDAY('ARG Gas Firm'!A367,3),'Master Data'!$A$2:$A$8,0),2)</f>
        <v>F</v>
      </c>
      <c r="D367" s="112"/>
      <c r="E367" s="112"/>
      <c r="F367" s="112"/>
      <c r="G367" s="112"/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SUM(J$188:J367)</f>
        <v>27</v>
      </c>
      <c r="N367" s="112" t="n">
        <f aca="false">SUM(J$6:J367)</f>
        <v>1592962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0.027</v>
      </c>
      <c r="W367" s="114" t="n">
        <f aca="false">N367/$R$3</f>
        <v>1592.962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Data'!$A$2:$B$8,MATCH(WEEKDAY('ARG Gas Firm'!A368,3),'Master Data'!$A$2:$A$8,0),2)</f>
        <v>Sa</v>
      </c>
      <c r="D368" s="112"/>
      <c r="E368" s="112"/>
      <c r="F368" s="112"/>
      <c r="G368" s="112"/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SUM(J$188:J368)</f>
        <v>27</v>
      </c>
      <c r="N368" s="112" t="n">
        <f aca="false">SUM(J$6:J368)</f>
        <v>1592962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0.027</v>
      </c>
      <c r="W368" s="114" t="n">
        <f aca="false">N368/$R$3</f>
        <v>1592.962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Data'!$A$2:$B$8,MATCH(WEEKDAY('ARG Gas Firm'!A369,3),'Master Data'!$A$2:$A$8,0),2)</f>
        <v>Su</v>
      </c>
      <c r="D369" s="112"/>
      <c r="E369" s="112"/>
      <c r="F369" s="112"/>
      <c r="G369" s="112"/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SUM(J$188:J369)</f>
        <v>27</v>
      </c>
      <c r="N369" s="112" t="n">
        <f aca="false">SUM(J$6:J369)</f>
        <v>1592962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0.027</v>
      </c>
      <c r="W369" s="114" t="n">
        <f aca="false">N369/$R$3</f>
        <v>1592.962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Data'!$A$2:$B$8,MATCH(WEEKDAY('ARG Gas Firm'!A370,3),'Master Data'!$A$2:$A$8,0),2)</f>
        <v>M</v>
      </c>
      <c r="D370" s="112"/>
      <c r="E370" s="112"/>
      <c r="F370" s="112"/>
      <c r="G370" s="112"/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SUM(J$188:J370)</f>
        <v>27</v>
      </c>
      <c r="N370" s="112" t="n">
        <f aca="false">SUM(J$6:J370)</f>
        <v>1592962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0.027</v>
      </c>
      <c r="W370" s="114" t="n">
        <f aca="false">N370/$R$3</f>
        <v>1592.962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Data'!$A$2:$B$8,MATCH(WEEKDAY('ARG Gas Firm'!A371,3),'Master Data'!$A$2:$A$8,0),2)</f>
        <v>T</v>
      </c>
      <c r="D371" s="112"/>
      <c r="E371" s="112"/>
      <c r="F371" s="112"/>
      <c r="G371" s="112"/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SUM(J$188:J371)</f>
        <v>27</v>
      </c>
      <c r="N371" s="112" t="n">
        <f aca="false">SUM(J$6:J371)</f>
        <v>1592962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0.027</v>
      </c>
      <c r="W371" s="114" t="n">
        <f aca="false">N371/$R$3</f>
        <v>1592.962</v>
      </c>
    </row>
    <row r="372" customFormat="false" ht="12.75" hidden="false" customHeight="false" outlineLevel="0" collapsed="false">
      <c r="B372" s="119"/>
      <c r="D372" s="112"/>
      <c r="E372" s="112"/>
      <c r="F372" s="112"/>
      <c r="G372" s="112"/>
      <c r="I372" s="112"/>
      <c r="P372" s="112"/>
      <c r="Q372" s="112"/>
      <c r="R372" s="112"/>
    </row>
    <row r="373" customFormat="false" ht="12.75" hidden="false" customHeight="false" outlineLevel="0" collapsed="false">
      <c r="B373" s="119"/>
      <c r="D373" s="112"/>
      <c r="E373" s="112"/>
      <c r="F373" s="112"/>
      <c r="G373" s="112"/>
      <c r="I373" s="112"/>
      <c r="P373" s="112"/>
      <c r="Q373" s="112"/>
      <c r="R373" s="112"/>
    </row>
    <row r="374" customFormat="false" ht="12.75" hidden="false" customHeight="false" outlineLevel="0" collapsed="false">
      <c r="B374" s="119"/>
      <c r="D374" s="112"/>
      <c r="E374" s="112"/>
      <c r="F374" s="112"/>
      <c r="G374" s="112"/>
      <c r="I374" s="112"/>
      <c r="P374" s="112"/>
      <c r="Q374" s="112"/>
      <c r="R374" s="112"/>
    </row>
    <row r="375" customFormat="false" ht="12.75" hidden="false" customHeight="false" outlineLevel="0" collapsed="false">
      <c r="B375" s="119"/>
      <c r="D375" s="112"/>
      <c r="E375" s="112"/>
      <c r="F375" s="112"/>
      <c r="G375" s="112"/>
      <c r="I375" s="112"/>
      <c r="P375" s="112"/>
      <c r="Q375" s="112"/>
      <c r="R375" s="112"/>
    </row>
    <row r="376" customFormat="false" ht="12.75" hidden="false" customHeight="false" outlineLevel="0" collapsed="false">
      <c r="B376" s="119"/>
      <c r="D376" s="112"/>
      <c r="E376" s="112"/>
      <c r="F376" s="112"/>
      <c r="G376" s="112"/>
      <c r="I376" s="112"/>
      <c r="P376" s="112"/>
      <c r="Q376" s="112"/>
      <c r="R376" s="112"/>
    </row>
    <row r="377" customFormat="false" ht="12.75" hidden="false" customHeight="false" outlineLevel="0" collapsed="false">
      <c r="B377" s="119"/>
      <c r="D377" s="112"/>
      <c r="E377" s="112"/>
      <c r="F377" s="112"/>
      <c r="G377" s="112"/>
      <c r="I377" s="112"/>
      <c r="P377" s="112"/>
      <c r="Q377" s="112"/>
      <c r="R377" s="112"/>
    </row>
    <row r="378" customFormat="false" ht="12.75" hidden="false" customHeight="false" outlineLevel="0" collapsed="false">
      <c r="B378" s="119"/>
      <c r="D378" s="112"/>
      <c r="E378" s="112"/>
      <c r="F378" s="112"/>
      <c r="G378" s="112"/>
      <c r="I378" s="112"/>
      <c r="P378" s="112"/>
      <c r="Q378" s="112"/>
      <c r="R378" s="112"/>
    </row>
    <row r="379" customFormat="false" ht="12.75" hidden="false" customHeight="false" outlineLevel="0" collapsed="false">
      <c r="B379" s="119"/>
      <c r="D379" s="112"/>
      <c r="E379" s="112"/>
      <c r="F379" s="112"/>
      <c r="G379" s="112"/>
      <c r="I379" s="112"/>
      <c r="P379" s="112"/>
      <c r="Q379" s="112"/>
      <c r="R379" s="112"/>
    </row>
    <row r="380" customFormat="false" ht="12.75" hidden="false" customHeight="false" outlineLevel="0" collapsed="false">
      <c r="B380" s="119"/>
      <c r="D380" s="112"/>
      <c r="E380" s="112"/>
      <c r="F380" s="112"/>
      <c r="G380" s="112"/>
      <c r="I380" s="112"/>
      <c r="P380" s="112"/>
      <c r="Q380" s="112"/>
      <c r="R380" s="112"/>
    </row>
    <row r="381" customFormat="false" ht="12.75" hidden="false" customHeight="false" outlineLevel="0" collapsed="false">
      <c r="B381" s="119"/>
      <c r="D381" s="112"/>
      <c r="E381" s="112"/>
      <c r="F381" s="112"/>
      <c r="G381" s="112"/>
      <c r="I381" s="112"/>
      <c r="P381" s="112"/>
      <c r="Q381" s="112"/>
      <c r="R381" s="112"/>
    </row>
    <row r="382" customFormat="false" ht="12.75" hidden="false" customHeight="false" outlineLevel="0" collapsed="false">
      <c r="B382" s="119"/>
      <c r="D382" s="112"/>
      <c r="E382" s="112"/>
      <c r="F382" s="112"/>
      <c r="G382" s="112"/>
      <c r="I382" s="112"/>
      <c r="P382" s="112"/>
      <c r="Q382" s="112"/>
      <c r="R382" s="112"/>
    </row>
    <row r="383" customFormat="false" ht="12.75" hidden="false" customHeight="false" outlineLevel="0" collapsed="false">
      <c r="B383" s="119"/>
      <c r="D383" s="112"/>
      <c r="E383" s="112"/>
      <c r="F383" s="112"/>
      <c r="G383" s="112"/>
      <c r="I383" s="112"/>
      <c r="P383" s="112"/>
      <c r="Q383" s="112"/>
      <c r="R383" s="112"/>
    </row>
    <row r="384" customFormat="false" ht="12.75" hidden="false" customHeight="false" outlineLevel="0" collapsed="false">
      <c r="B384" s="119"/>
      <c r="D384" s="112"/>
      <c r="E384" s="112"/>
      <c r="F384" s="112"/>
      <c r="G384" s="112"/>
      <c r="I384" s="112"/>
      <c r="P384" s="112"/>
      <c r="Q384" s="112"/>
      <c r="R384" s="112"/>
    </row>
    <row r="385" customFormat="false" ht="12.75" hidden="false" customHeight="false" outlineLevel="0" collapsed="false">
      <c r="B385" s="119"/>
      <c r="D385" s="112"/>
      <c r="E385" s="112"/>
      <c r="F385" s="112"/>
      <c r="G385" s="112"/>
      <c r="I385" s="112"/>
      <c r="P385" s="112"/>
      <c r="Q385" s="112"/>
      <c r="R385" s="112"/>
    </row>
    <row r="386" customFormat="false" ht="12.75" hidden="false" customHeight="false" outlineLevel="0" collapsed="false">
      <c r="B386" s="119"/>
      <c r="D386" s="112"/>
      <c r="E386" s="112"/>
      <c r="F386" s="112"/>
      <c r="G386" s="112"/>
      <c r="I386" s="112"/>
      <c r="P386" s="112"/>
      <c r="Q386" s="112"/>
      <c r="R386" s="112"/>
    </row>
    <row r="387" customFormat="false" ht="12.75" hidden="false" customHeight="false" outlineLevel="0" collapsed="false">
      <c r="B387" s="119"/>
      <c r="D387" s="112"/>
      <c r="E387" s="112"/>
      <c r="F387" s="112"/>
      <c r="G387" s="112"/>
      <c r="I387" s="112"/>
      <c r="P387" s="112"/>
      <c r="Q387" s="112"/>
      <c r="R387" s="112"/>
    </row>
    <row r="388" customFormat="false" ht="12.75" hidden="false" customHeight="false" outlineLevel="0" collapsed="false">
      <c r="B388" s="119"/>
      <c r="D388" s="112"/>
      <c r="E388" s="112"/>
      <c r="F388" s="112"/>
      <c r="G388" s="112"/>
      <c r="I388" s="112"/>
      <c r="P388" s="112"/>
      <c r="Q388" s="112"/>
      <c r="R388" s="112"/>
    </row>
    <row r="389" customFormat="false" ht="12.75" hidden="false" customHeight="false" outlineLevel="0" collapsed="false">
      <c r="B389" s="119"/>
      <c r="D389" s="112"/>
      <c r="E389" s="112"/>
      <c r="F389" s="112"/>
      <c r="G389" s="112"/>
      <c r="I389" s="112"/>
      <c r="P389" s="112"/>
      <c r="Q389" s="112"/>
      <c r="R389" s="112"/>
    </row>
    <row r="390" customFormat="false" ht="12.75" hidden="false" customHeight="false" outlineLevel="0" collapsed="false">
      <c r="B390" s="119"/>
      <c r="D390" s="112"/>
      <c r="E390" s="112"/>
      <c r="F390" s="112"/>
      <c r="G390" s="112"/>
      <c r="I390" s="112"/>
      <c r="P390" s="112"/>
      <c r="Q390" s="112"/>
      <c r="R390" s="112"/>
    </row>
    <row r="391" customFormat="false" ht="12.75" hidden="false" customHeight="false" outlineLevel="0" collapsed="false">
      <c r="B391" s="119"/>
      <c r="D391" s="112"/>
      <c r="E391" s="112"/>
      <c r="F391" s="112"/>
      <c r="G391" s="112"/>
      <c r="I391" s="112"/>
      <c r="P391" s="112"/>
      <c r="Q391" s="112"/>
      <c r="R391" s="112"/>
    </row>
    <row r="392" customFormat="false" ht="12.75" hidden="false" customHeight="false" outlineLevel="0" collapsed="false">
      <c r="B392" s="119"/>
      <c r="D392" s="112"/>
      <c r="E392" s="112"/>
      <c r="F392" s="112"/>
      <c r="G392" s="112"/>
      <c r="I392" s="112"/>
      <c r="P392" s="112"/>
      <c r="Q392" s="112"/>
      <c r="R392" s="112"/>
    </row>
    <row r="393" customFormat="false" ht="12.75" hidden="false" customHeight="false" outlineLevel="0" collapsed="false">
      <c r="B393" s="119"/>
      <c r="D393" s="112"/>
      <c r="E393" s="112"/>
      <c r="F393" s="112"/>
      <c r="G393" s="112"/>
      <c r="I393" s="112"/>
      <c r="P393" s="112"/>
      <c r="Q393" s="112"/>
      <c r="R393" s="112"/>
    </row>
    <row r="394" customFormat="false" ht="12.75" hidden="false" customHeight="false" outlineLevel="0" collapsed="false">
      <c r="B394" s="119"/>
      <c r="D394" s="112"/>
      <c r="E394" s="112"/>
      <c r="F394" s="112"/>
      <c r="G394" s="112"/>
      <c r="I394" s="112"/>
      <c r="P394" s="112"/>
      <c r="Q394" s="112"/>
      <c r="R394" s="112"/>
    </row>
    <row r="395" customFormat="false" ht="12.75" hidden="false" customHeight="false" outlineLevel="0" collapsed="false">
      <c r="B395" s="119"/>
      <c r="D395" s="112"/>
      <c r="E395" s="112"/>
      <c r="F395" s="112"/>
      <c r="G395" s="112"/>
      <c r="I395" s="112"/>
      <c r="P395" s="112"/>
      <c r="Q395" s="112"/>
      <c r="R395" s="112"/>
    </row>
    <row r="396" customFormat="false" ht="12.75" hidden="false" customHeight="false" outlineLevel="0" collapsed="false">
      <c r="B396" s="119"/>
      <c r="D396" s="112"/>
      <c r="E396" s="112"/>
      <c r="F396" s="112"/>
      <c r="G396" s="112"/>
      <c r="I396" s="112"/>
      <c r="P396" s="112"/>
      <c r="Q396" s="112"/>
      <c r="R396" s="112"/>
    </row>
    <row r="397" customFormat="false" ht="12.75" hidden="false" customHeight="false" outlineLevel="0" collapsed="false">
      <c r="B397" s="119"/>
      <c r="D397" s="112"/>
      <c r="E397" s="112"/>
      <c r="F397" s="112"/>
      <c r="G397" s="112"/>
      <c r="I397" s="112"/>
      <c r="P397" s="112"/>
      <c r="Q397" s="112"/>
      <c r="R397" s="112"/>
    </row>
    <row r="398" customFormat="false" ht="12.75" hidden="false" customHeight="false" outlineLevel="0" collapsed="false">
      <c r="B398" s="119"/>
      <c r="D398" s="112"/>
      <c r="E398" s="112"/>
      <c r="F398" s="112"/>
      <c r="G398" s="112"/>
      <c r="I398" s="112"/>
      <c r="P398" s="112"/>
      <c r="Q398" s="112"/>
      <c r="R398" s="112"/>
    </row>
    <row r="399" customFormat="false" ht="12.75" hidden="false" customHeight="false" outlineLevel="0" collapsed="false">
      <c r="B399" s="119"/>
      <c r="D399" s="112"/>
      <c r="E399" s="112"/>
      <c r="F399" s="112"/>
      <c r="G399" s="112"/>
      <c r="I399" s="112"/>
      <c r="P399" s="112"/>
      <c r="Q399" s="112"/>
      <c r="R399" s="112"/>
    </row>
    <row r="400" customFormat="false" ht="12.75" hidden="false" customHeight="false" outlineLevel="0" collapsed="false">
      <c r="B400" s="119"/>
      <c r="D400" s="112"/>
      <c r="E400" s="112"/>
      <c r="F400" s="112"/>
      <c r="G400" s="112"/>
      <c r="I400" s="112"/>
      <c r="P400" s="112"/>
      <c r="Q400" s="112"/>
      <c r="R400" s="112"/>
    </row>
    <row r="401" customFormat="false" ht="12.75" hidden="false" customHeight="false" outlineLevel="0" collapsed="false">
      <c r="B401" s="119"/>
      <c r="D401" s="112"/>
      <c r="E401" s="112"/>
      <c r="F401" s="112"/>
      <c r="G401" s="112"/>
      <c r="I401" s="112"/>
      <c r="P401" s="112"/>
      <c r="Q401" s="112"/>
      <c r="R401" s="112"/>
    </row>
    <row r="402" customFormat="false" ht="12.75" hidden="false" customHeight="false" outlineLevel="0" collapsed="false">
      <c r="B402" s="119"/>
      <c r="D402" s="112"/>
      <c r="E402" s="112"/>
      <c r="F402" s="112"/>
      <c r="G402" s="112"/>
      <c r="I402" s="112"/>
      <c r="P402" s="112"/>
      <c r="Q402" s="112"/>
      <c r="R402" s="112"/>
    </row>
    <row r="403" customFormat="false" ht="12.75" hidden="false" customHeight="false" outlineLevel="0" collapsed="false">
      <c r="B403" s="119"/>
      <c r="D403" s="112"/>
      <c r="E403" s="112"/>
      <c r="F403" s="112"/>
      <c r="G403" s="112"/>
      <c r="I403" s="112"/>
      <c r="P403" s="112"/>
      <c r="Q403" s="112"/>
      <c r="R403" s="112"/>
    </row>
    <row r="404" customFormat="false" ht="12.75" hidden="false" customHeight="false" outlineLevel="0" collapsed="false">
      <c r="B404" s="119"/>
      <c r="D404" s="112"/>
      <c r="E404" s="112"/>
      <c r="F404" s="112"/>
      <c r="G404" s="112"/>
      <c r="I404" s="112"/>
      <c r="P404" s="112"/>
      <c r="Q404" s="112"/>
      <c r="R404" s="112"/>
    </row>
    <row r="405" customFormat="false" ht="12.75" hidden="false" customHeight="false" outlineLevel="0" collapsed="false">
      <c r="B405" s="119"/>
      <c r="D405" s="112"/>
      <c r="E405" s="112"/>
      <c r="F405" s="112"/>
      <c r="G405" s="112"/>
      <c r="I405" s="112"/>
      <c r="P405" s="112"/>
      <c r="Q405" s="112"/>
      <c r="R405" s="112"/>
    </row>
    <row r="406" customFormat="false" ht="12.75" hidden="false" customHeight="false" outlineLevel="0" collapsed="false">
      <c r="B406" s="119"/>
      <c r="D406" s="112"/>
      <c r="E406" s="112"/>
      <c r="F406" s="112"/>
      <c r="G406" s="112"/>
      <c r="I406" s="112"/>
      <c r="P406" s="112"/>
      <c r="Q406" s="112"/>
      <c r="R406" s="112"/>
    </row>
    <row r="407" customFormat="false" ht="12.75" hidden="false" customHeight="false" outlineLevel="0" collapsed="false">
      <c r="B407" s="119"/>
      <c r="D407" s="112"/>
      <c r="E407" s="112"/>
      <c r="F407" s="112"/>
      <c r="G407" s="112"/>
      <c r="I407" s="112"/>
      <c r="P407" s="112"/>
      <c r="Q407" s="112"/>
      <c r="R407" s="112"/>
    </row>
    <row r="408" customFormat="false" ht="12.75" hidden="false" customHeight="false" outlineLevel="0" collapsed="false">
      <c r="B408" s="119"/>
      <c r="D408" s="112"/>
      <c r="E408" s="112"/>
      <c r="F408" s="112"/>
      <c r="G408" s="112"/>
      <c r="I408" s="112"/>
      <c r="P408" s="112"/>
      <c r="Q408" s="112"/>
      <c r="R408" s="112"/>
    </row>
    <row r="409" customFormat="false" ht="12.75" hidden="false" customHeight="false" outlineLevel="0" collapsed="false">
      <c r="B409" s="119"/>
      <c r="D409" s="112"/>
      <c r="E409" s="112"/>
      <c r="F409" s="112"/>
      <c r="G409" s="112"/>
      <c r="I409" s="112"/>
      <c r="P409" s="112"/>
      <c r="Q409" s="112"/>
      <c r="R409" s="112"/>
    </row>
    <row r="410" customFormat="false" ht="12.75" hidden="false" customHeight="false" outlineLevel="0" collapsed="false">
      <c r="B410" s="119"/>
      <c r="D410" s="112"/>
      <c r="E410" s="112"/>
      <c r="F410" s="112"/>
      <c r="G410" s="112"/>
      <c r="I410" s="112"/>
      <c r="P410" s="112"/>
      <c r="Q410" s="112"/>
      <c r="R410" s="112"/>
    </row>
    <row r="411" customFormat="false" ht="12.75" hidden="false" customHeight="false" outlineLevel="0" collapsed="false">
      <c r="B411" s="119"/>
      <c r="D411" s="112"/>
      <c r="E411" s="112"/>
      <c r="F411" s="112"/>
      <c r="G411" s="112"/>
      <c r="I411" s="112"/>
      <c r="P411" s="112"/>
      <c r="Q411" s="112"/>
      <c r="R411" s="112"/>
    </row>
    <row r="412" customFormat="false" ht="12.75" hidden="false" customHeight="false" outlineLevel="0" collapsed="false">
      <c r="B412" s="119"/>
      <c r="D412" s="112"/>
      <c r="E412" s="112"/>
      <c r="F412" s="112"/>
      <c r="G412" s="112"/>
      <c r="I412" s="112"/>
      <c r="P412" s="112"/>
      <c r="Q412" s="112"/>
      <c r="R412" s="112"/>
    </row>
    <row r="413" customFormat="false" ht="12.75" hidden="false" customHeight="false" outlineLevel="0" collapsed="false">
      <c r="B413" s="119"/>
      <c r="D413" s="112"/>
      <c r="E413" s="112"/>
      <c r="F413" s="112"/>
      <c r="G413" s="112"/>
      <c r="I413" s="112"/>
      <c r="P413" s="112"/>
      <c r="Q413" s="112"/>
      <c r="R413" s="112"/>
    </row>
    <row r="414" customFormat="false" ht="12.75" hidden="false" customHeight="false" outlineLevel="0" collapsed="false">
      <c r="B414" s="119"/>
      <c r="D414" s="112"/>
      <c r="E414" s="112"/>
      <c r="F414" s="112"/>
      <c r="G414" s="112"/>
      <c r="I414" s="112"/>
      <c r="P414" s="112"/>
      <c r="Q414" s="112"/>
      <c r="R414" s="112"/>
    </row>
    <row r="415" customFormat="false" ht="12.75" hidden="false" customHeight="false" outlineLevel="0" collapsed="false">
      <c r="B415" s="119"/>
      <c r="D415" s="112"/>
      <c r="E415" s="112"/>
      <c r="F415" s="112"/>
      <c r="G415" s="112"/>
      <c r="I415" s="112"/>
      <c r="P415" s="112"/>
      <c r="Q415" s="112"/>
      <c r="R415" s="112"/>
    </row>
    <row r="416" customFormat="false" ht="12.75" hidden="false" customHeight="false" outlineLevel="0" collapsed="false">
      <c r="B416" s="119"/>
      <c r="D416" s="112"/>
      <c r="E416" s="112"/>
      <c r="F416" s="112"/>
      <c r="G416" s="112"/>
      <c r="I416" s="112"/>
      <c r="P416" s="112"/>
      <c r="Q416" s="112"/>
      <c r="R416" s="112"/>
    </row>
    <row r="417" customFormat="false" ht="12.75" hidden="false" customHeight="false" outlineLevel="0" collapsed="false">
      <c r="B417" s="119"/>
      <c r="D417" s="112"/>
      <c r="E417" s="112"/>
      <c r="F417" s="112"/>
      <c r="G417" s="112"/>
      <c r="I417" s="112"/>
      <c r="P417" s="112"/>
      <c r="Q417" s="112"/>
      <c r="R417" s="112"/>
    </row>
    <row r="418" customFormat="false" ht="12.75" hidden="false" customHeight="false" outlineLevel="0" collapsed="false">
      <c r="B418" s="119"/>
      <c r="D418" s="112"/>
      <c r="E418" s="112"/>
      <c r="F418" s="112"/>
      <c r="G418" s="112"/>
      <c r="I418" s="112"/>
      <c r="P418" s="112"/>
      <c r="Q418" s="112"/>
      <c r="R418" s="112"/>
    </row>
    <row r="419" customFormat="false" ht="12.75" hidden="false" customHeight="false" outlineLevel="0" collapsed="false">
      <c r="B419" s="119"/>
      <c r="D419" s="112"/>
      <c r="E419" s="112"/>
      <c r="F419" s="112"/>
      <c r="G419" s="112"/>
      <c r="I419" s="112"/>
      <c r="P419" s="112"/>
      <c r="Q419" s="112"/>
      <c r="R419" s="112"/>
    </row>
    <row r="420" customFormat="false" ht="12.75" hidden="false" customHeight="false" outlineLevel="0" collapsed="false">
      <c r="B420" s="119"/>
      <c r="D420" s="112"/>
      <c r="E420" s="112"/>
      <c r="F420" s="112"/>
      <c r="G420" s="112"/>
      <c r="I420" s="112"/>
      <c r="P420" s="112"/>
      <c r="Q420" s="112"/>
      <c r="R420" s="112"/>
    </row>
    <row r="421" customFormat="false" ht="12.75" hidden="false" customHeight="false" outlineLevel="0" collapsed="false">
      <c r="B421" s="119"/>
      <c r="D421" s="112"/>
      <c r="E421" s="112"/>
      <c r="F421" s="112"/>
      <c r="G421" s="112"/>
      <c r="I421" s="112"/>
      <c r="P421" s="112"/>
      <c r="Q421" s="112"/>
      <c r="R421" s="112"/>
    </row>
    <row r="422" customFormat="false" ht="12.75" hidden="false" customHeight="false" outlineLevel="0" collapsed="false">
      <c r="B422" s="119"/>
      <c r="D422" s="112"/>
      <c r="E422" s="112"/>
      <c r="F422" s="112"/>
      <c r="G422" s="112"/>
      <c r="I422" s="112"/>
      <c r="P422" s="112"/>
      <c r="Q422" s="112"/>
      <c r="R422" s="112"/>
    </row>
    <row r="423" customFormat="false" ht="12.75" hidden="false" customHeight="false" outlineLevel="0" collapsed="false">
      <c r="B423" s="119"/>
      <c r="D423" s="112"/>
      <c r="E423" s="112"/>
      <c r="F423" s="112"/>
      <c r="G423" s="112"/>
      <c r="I423" s="112"/>
      <c r="P423" s="112"/>
      <c r="Q423" s="112"/>
      <c r="R423" s="112"/>
    </row>
    <row r="424" customFormat="false" ht="12.75" hidden="false" customHeight="false" outlineLevel="0" collapsed="false">
      <c r="B424" s="119"/>
      <c r="D424" s="112"/>
      <c r="E424" s="112"/>
      <c r="F424" s="112"/>
      <c r="G424" s="112"/>
      <c r="I424" s="112"/>
      <c r="P424" s="112"/>
      <c r="Q424" s="112"/>
      <c r="R424" s="112"/>
    </row>
    <row r="425" customFormat="false" ht="12.75" hidden="false" customHeight="false" outlineLevel="0" collapsed="false">
      <c r="B425" s="119"/>
      <c r="D425" s="112"/>
      <c r="E425" s="112"/>
      <c r="F425" s="112"/>
      <c r="G425" s="112"/>
      <c r="I425" s="112"/>
      <c r="P425" s="112"/>
      <c r="Q425" s="112"/>
      <c r="R425" s="112"/>
    </row>
    <row r="426" customFormat="false" ht="12.75" hidden="false" customHeight="false" outlineLevel="0" collapsed="false">
      <c r="B426" s="119"/>
      <c r="D426" s="112"/>
      <c r="E426" s="112"/>
      <c r="F426" s="112"/>
      <c r="G426" s="112"/>
      <c r="I426" s="112"/>
      <c r="P426" s="112"/>
      <c r="Q426" s="112"/>
      <c r="R426" s="112"/>
    </row>
    <row r="427" customFormat="false" ht="12.75" hidden="false" customHeight="false" outlineLevel="0" collapsed="false">
      <c r="B427" s="119"/>
      <c r="D427" s="112"/>
      <c r="E427" s="112"/>
      <c r="F427" s="112"/>
      <c r="G427" s="112"/>
      <c r="I427" s="112"/>
      <c r="P427" s="112"/>
      <c r="Q427" s="112"/>
      <c r="R427" s="112"/>
    </row>
    <row r="428" customFormat="false" ht="12.75" hidden="false" customHeight="false" outlineLevel="0" collapsed="false">
      <c r="B428" s="119"/>
      <c r="D428" s="112"/>
      <c r="E428" s="112"/>
      <c r="F428" s="112"/>
      <c r="G428" s="112"/>
      <c r="I428" s="112"/>
      <c r="P428" s="112"/>
      <c r="Q428" s="112"/>
      <c r="R428" s="112"/>
    </row>
    <row r="429" customFormat="false" ht="12.75" hidden="false" customHeight="false" outlineLevel="0" collapsed="false">
      <c r="B429" s="119"/>
      <c r="D429" s="112"/>
      <c r="E429" s="112"/>
      <c r="F429" s="112"/>
      <c r="G429" s="112"/>
      <c r="I429" s="112"/>
      <c r="P429" s="112"/>
      <c r="Q429" s="112"/>
      <c r="R429" s="112"/>
    </row>
    <row r="430" customFormat="false" ht="12.75" hidden="false" customHeight="false" outlineLevel="0" collapsed="false">
      <c r="B430" s="119"/>
      <c r="D430" s="112"/>
      <c r="E430" s="112"/>
      <c r="F430" s="112"/>
      <c r="G430" s="112"/>
      <c r="I430" s="112"/>
      <c r="P430" s="112"/>
      <c r="Q430" s="112"/>
      <c r="R430" s="112"/>
    </row>
    <row r="431" customFormat="false" ht="12.75" hidden="false" customHeight="false" outlineLevel="0" collapsed="false">
      <c r="B431" s="119"/>
      <c r="D431" s="112"/>
      <c r="E431" s="112"/>
      <c r="F431" s="112"/>
      <c r="G431" s="112"/>
      <c r="I431" s="112"/>
      <c r="P431" s="112"/>
      <c r="Q431" s="112"/>
      <c r="R431" s="112"/>
    </row>
    <row r="432" customFormat="false" ht="12.75" hidden="false" customHeight="false" outlineLevel="0" collapsed="false">
      <c r="B432" s="119"/>
      <c r="D432" s="112"/>
      <c r="E432" s="112"/>
      <c r="F432" s="112"/>
      <c r="G432" s="112"/>
      <c r="I432" s="112"/>
      <c r="P432" s="112"/>
      <c r="Q432" s="112"/>
      <c r="R432" s="112"/>
    </row>
    <row r="433" customFormat="false" ht="12.75" hidden="false" customHeight="false" outlineLevel="0" collapsed="false">
      <c r="B433" s="119"/>
      <c r="D433" s="112"/>
      <c r="E433" s="112"/>
      <c r="F433" s="112"/>
      <c r="G433" s="112"/>
      <c r="I433" s="112"/>
      <c r="P433" s="112"/>
      <c r="Q433" s="112"/>
      <c r="R433" s="112"/>
    </row>
    <row r="434" customFormat="false" ht="12.75" hidden="false" customHeight="false" outlineLevel="0" collapsed="false">
      <c r="B434" s="119"/>
      <c r="D434" s="112"/>
      <c r="E434" s="112"/>
      <c r="F434" s="112"/>
      <c r="G434" s="112"/>
      <c r="I434" s="112"/>
      <c r="P434" s="112"/>
      <c r="Q434" s="112"/>
      <c r="R434" s="112"/>
    </row>
    <row r="435" customFormat="false" ht="12.75" hidden="false" customHeight="false" outlineLevel="0" collapsed="false">
      <c r="B435" s="119"/>
      <c r="D435" s="112"/>
      <c r="E435" s="112"/>
      <c r="F435" s="112"/>
      <c r="G435" s="112"/>
      <c r="I435" s="112"/>
      <c r="P435" s="112"/>
      <c r="Q435" s="112"/>
      <c r="R435" s="112"/>
    </row>
    <row r="436" customFormat="false" ht="12.75" hidden="false" customHeight="false" outlineLevel="0" collapsed="false">
      <c r="B436" s="119"/>
      <c r="D436" s="112"/>
      <c r="E436" s="112"/>
      <c r="F436" s="112"/>
      <c r="G436" s="112"/>
      <c r="I436" s="112"/>
      <c r="P436" s="112"/>
      <c r="Q436" s="112"/>
      <c r="R436" s="112"/>
    </row>
    <row r="437" customFormat="false" ht="12.75" hidden="false" customHeight="false" outlineLevel="0" collapsed="false">
      <c r="B437" s="119"/>
      <c r="D437" s="112"/>
      <c r="E437" s="112"/>
      <c r="F437" s="112"/>
      <c r="G437" s="112"/>
      <c r="I437" s="112"/>
      <c r="P437" s="112"/>
      <c r="Q437" s="112"/>
      <c r="R437" s="112"/>
    </row>
    <row r="438" customFormat="false" ht="12.75" hidden="false" customHeight="false" outlineLevel="0" collapsed="false">
      <c r="B438" s="119"/>
      <c r="D438" s="112"/>
      <c r="E438" s="112"/>
      <c r="F438" s="112"/>
      <c r="G438" s="112"/>
      <c r="I438" s="112"/>
      <c r="P438" s="112"/>
      <c r="Q438" s="112"/>
      <c r="R438" s="112"/>
    </row>
    <row r="439" customFormat="false" ht="12.75" hidden="false" customHeight="false" outlineLevel="0" collapsed="false">
      <c r="B439" s="119"/>
      <c r="D439" s="112"/>
      <c r="E439" s="112"/>
      <c r="F439" s="112"/>
      <c r="G439" s="112"/>
      <c r="I439" s="112"/>
      <c r="P439" s="112"/>
      <c r="Q439" s="112"/>
      <c r="R439" s="112"/>
    </row>
    <row r="440" customFormat="false" ht="12.75" hidden="false" customHeight="false" outlineLevel="0" collapsed="false">
      <c r="B440" s="119"/>
      <c r="D440" s="112"/>
      <c r="E440" s="112"/>
      <c r="F440" s="112"/>
      <c r="G440" s="112"/>
      <c r="I440" s="112"/>
      <c r="P440" s="112"/>
      <c r="Q440" s="112"/>
      <c r="R440" s="112"/>
    </row>
    <row r="441" customFormat="false" ht="12.75" hidden="false" customHeight="false" outlineLevel="0" collapsed="false">
      <c r="B441" s="119"/>
      <c r="D441" s="112"/>
      <c r="E441" s="112"/>
      <c r="F441" s="112"/>
      <c r="G441" s="112"/>
      <c r="I441" s="112"/>
      <c r="P441" s="112"/>
      <c r="Q441" s="112"/>
      <c r="R441" s="112"/>
    </row>
    <row r="442" customFormat="false" ht="12.75" hidden="false" customHeight="false" outlineLevel="0" collapsed="false">
      <c r="B442" s="119"/>
      <c r="D442" s="112"/>
      <c r="E442" s="112"/>
      <c r="F442" s="112"/>
      <c r="G442" s="112"/>
      <c r="I442" s="112"/>
      <c r="P442" s="112"/>
      <c r="Q442" s="112"/>
      <c r="R442" s="112"/>
    </row>
    <row r="443" customFormat="false" ht="12.75" hidden="false" customHeight="false" outlineLevel="0" collapsed="false">
      <c r="B443" s="119"/>
      <c r="D443" s="112"/>
      <c r="E443" s="112"/>
      <c r="F443" s="112"/>
      <c r="G443" s="112"/>
      <c r="I443" s="112"/>
      <c r="P443" s="112"/>
      <c r="Q443" s="112"/>
      <c r="R443" s="112"/>
    </row>
    <row r="444" customFormat="false" ht="12.75" hidden="false" customHeight="false" outlineLevel="0" collapsed="false">
      <c r="B444" s="119"/>
      <c r="D444" s="112"/>
      <c r="E444" s="112"/>
      <c r="F444" s="112"/>
      <c r="G444" s="112"/>
      <c r="I444" s="112"/>
      <c r="P444" s="112"/>
      <c r="Q444" s="112"/>
      <c r="R444" s="112"/>
    </row>
    <row r="445" customFormat="false" ht="12.75" hidden="false" customHeight="false" outlineLevel="0" collapsed="false">
      <c r="B445" s="119"/>
      <c r="D445" s="112"/>
      <c r="E445" s="112"/>
      <c r="F445" s="112"/>
      <c r="G445" s="112"/>
      <c r="I445" s="112"/>
      <c r="P445" s="112"/>
      <c r="Q445" s="112"/>
      <c r="R445" s="112"/>
    </row>
    <row r="446" customFormat="false" ht="12.75" hidden="false" customHeight="false" outlineLevel="0" collapsed="false">
      <c r="B446" s="119"/>
      <c r="D446" s="112"/>
      <c r="E446" s="112"/>
      <c r="F446" s="112"/>
      <c r="G446" s="112"/>
      <c r="I446" s="112"/>
      <c r="P446" s="112"/>
      <c r="Q446" s="112"/>
      <c r="R446" s="112"/>
    </row>
    <row r="447" customFormat="false" ht="12.75" hidden="false" customHeight="false" outlineLevel="0" collapsed="false">
      <c r="B447" s="119"/>
      <c r="D447" s="112"/>
      <c r="E447" s="112"/>
      <c r="F447" s="112"/>
      <c r="G447" s="112"/>
      <c r="I447" s="112"/>
      <c r="P447" s="112"/>
      <c r="Q447" s="112"/>
      <c r="R447" s="112"/>
    </row>
    <row r="448" customFormat="false" ht="12.75" hidden="false" customHeight="false" outlineLevel="0" collapsed="false">
      <c r="B448" s="119"/>
      <c r="D448" s="112"/>
      <c r="E448" s="112"/>
      <c r="F448" s="112"/>
      <c r="G448" s="112"/>
      <c r="I448" s="112"/>
      <c r="P448" s="112"/>
      <c r="Q448" s="112"/>
      <c r="R448" s="112"/>
    </row>
    <row r="449" customFormat="false" ht="12.75" hidden="false" customHeight="false" outlineLevel="0" collapsed="false">
      <c r="B449" s="119"/>
      <c r="D449" s="112"/>
      <c r="E449" s="112"/>
      <c r="F449" s="112"/>
      <c r="G449" s="112"/>
      <c r="I449" s="112"/>
      <c r="P449" s="112"/>
      <c r="Q449" s="112"/>
      <c r="R449" s="112"/>
    </row>
    <row r="450" customFormat="false" ht="12.75" hidden="false" customHeight="false" outlineLevel="0" collapsed="false">
      <c r="B450" s="119"/>
      <c r="D450" s="112"/>
      <c r="E450" s="112"/>
      <c r="F450" s="112"/>
      <c r="G450" s="112"/>
      <c r="I450" s="112"/>
      <c r="P450" s="112"/>
      <c r="Q450" s="112"/>
      <c r="R450" s="112"/>
    </row>
    <row r="451" customFormat="false" ht="12.75" hidden="false" customHeight="false" outlineLevel="0" collapsed="false">
      <c r="B451" s="119"/>
      <c r="D451" s="112"/>
      <c r="E451" s="112"/>
      <c r="F451" s="112"/>
      <c r="G451" s="112"/>
      <c r="I451" s="112"/>
      <c r="P451" s="112"/>
      <c r="Q451" s="112"/>
      <c r="R451" s="112"/>
    </row>
    <row r="452" customFormat="false" ht="12.75" hidden="false" customHeight="false" outlineLevel="0" collapsed="false">
      <c r="B452" s="119"/>
      <c r="D452" s="112"/>
      <c r="E452" s="112"/>
      <c r="F452" s="112"/>
      <c r="G452" s="112"/>
      <c r="I452" s="112"/>
      <c r="P452" s="112"/>
      <c r="Q452" s="112"/>
      <c r="R452" s="112"/>
    </row>
    <row r="453" customFormat="false" ht="12.75" hidden="false" customHeight="false" outlineLevel="0" collapsed="false">
      <c r="B453" s="119"/>
      <c r="D453" s="112"/>
      <c r="E453" s="112"/>
      <c r="F453" s="112"/>
      <c r="G453" s="112"/>
      <c r="I453" s="112"/>
      <c r="P453" s="112"/>
      <c r="Q453" s="112"/>
      <c r="R453" s="112"/>
    </row>
    <row r="454" customFormat="false" ht="12.75" hidden="false" customHeight="false" outlineLevel="0" collapsed="false">
      <c r="B454" s="119"/>
      <c r="D454" s="112"/>
      <c r="E454" s="112"/>
      <c r="F454" s="112"/>
      <c r="G454" s="112"/>
      <c r="I454" s="112"/>
      <c r="P454" s="112"/>
      <c r="Q454" s="112"/>
      <c r="R454" s="112"/>
    </row>
    <row r="455" customFormat="false" ht="12.75" hidden="false" customHeight="false" outlineLevel="0" collapsed="false">
      <c r="B455" s="119"/>
      <c r="D455" s="112"/>
      <c r="E455" s="112"/>
      <c r="F455" s="112"/>
      <c r="G455" s="112"/>
      <c r="I455" s="112"/>
      <c r="P455" s="112"/>
      <c r="Q455" s="112"/>
      <c r="R455" s="112"/>
    </row>
    <row r="456" customFormat="false" ht="12.75" hidden="false" customHeight="false" outlineLevel="0" collapsed="false">
      <c r="B456" s="119"/>
      <c r="D456" s="112"/>
      <c r="E456" s="112"/>
      <c r="F456" s="112"/>
      <c r="G456" s="112"/>
      <c r="I456" s="112"/>
      <c r="P456" s="112"/>
      <c r="Q456" s="112"/>
      <c r="R456" s="112"/>
    </row>
    <row r="457" customFormat="false" ht="12.75" hidden="false" customHeight="false" outlineLevel="0" collapsed="false">
      <c r="B457" s="119"/>
      <c r="D457" s="112"/>
      <c r="E457" s="112"/>
      <c r="F457" s="112"/>
      <c r="G457" s="112"/>
      <c r="I457" s="112"/>
      <c r="P457" s="112"/>
      <c r="Q457" s="112"/>
      <c r="R457" s="112"/>
    </row>
    <row r="458" customFormat="false" ht="12.75" hidden="false" customHeight="false" outlineLevel="0" collapsed="false">
      <c r="B458" s="119"/>
      <c r="D458" s="112"/>
      <c r="E458" s="112"/>
      <c r="F458" s="112"/>
      <c r="G458" s="112"/>
      <c r="I458" s="112"/>
      <c r="P458" s="112"/>
      <c r="Q458" s="112"/>
      <c r="R458" s="112"/>
    </row>
    <row r="459" customFormat="false" ht="12.75" hidden="false" customHeight="false" outlineLevel="0" collapsed="false">
      <c r="B459" s="119"/>
      <c r="D459" s="112"/>
      <c r="E459" s="112"/>
      <c r="F459" s="112"/>
      <c r="G459" s="112"/>
      <c r="I459" s="112"/>
      <c r="P459" s="112"/>
      <c r="Q459" s="112"/>
      <c r="R459" s="112"/>
    </row>
    <row r="460" customFormat="false" ht="12.75" hidden="false" customHeight="false" outlineLevel="0" collapsed="false">
      <c r="B460" s="119"/>
      <c r="D460" s="112"/>
      <c r="E460" s="112"/>
      <c r="F460" s="112"/>
      <c r="G460" s="112"/>
      <c r="I460" s="112"/>
      <c r="P460" s="112"/>
      <c r="Q460" s="112"/>
      <c r="R460" s="112"/>
    </row>
    <row r="461" customFormat="false" ht="12.75" hidden="false" customHeight="false" outlineLevel="0" collapsed="false">
      <c r="B461" s="119"/>
      <c r="D461" s="112"/>
      <c r="E461" s="112"/>
      <c r="F461" s="112"/>
      <c r="G461" s="112"/>
      <c r="I461" s="112"/>
      <c r="P461" s="112"/>
      <c r="Q461" s="112"/>
      <c r="R461" s="112"/>
    </row>
    <row r="462" customFormat="false" ht="12.75" hidden="false" customHeight="false" outlineLevel="0" collapsed="false">
      <c r="B462" s="119"/>
      <c r="D462" s="112"/>
      <c r="E462" s="112"/>
      <c r="F462" s="112"/>
      <c r="G462" s="112"/>
      <c r="I462" s="112"/>
      <c r="P462" s="112"/>
      <c r="Q462" s="112"/>
      <c r="R462" s="112"/>
    </row>
    <row r="463" customFormat="false" ht="12.75" hidden="false" customHeight="false" outlineLevel="0" collapsed="false">
      <c r="B463" s="119"/>
      <c r="D463" s="112"/>
      <c r="E463" s="112"/>
      <c r="F463" s="112"/>
      <c r="G463" s="112"/>
      <c r="I463" s="112"/>
      <c r="P463" s="112"/>
      <c r="Q463" s="112"/>
      <c r="R463" s="112"/>
    </row>
    <row r="464" customFormat="false" ht="12.75" hidden="false" customHeight="false" outlineLevel="0" collapsed="false">
      <c r="B464" s="119"/>
      <c r="D464" s="112"/>
      <c r="E464" s="112"/>
      <c r="F464" s="112"/>
      <c r="G464" s="112"/>
      <c r="I464" s="112"/>
      <c r="P464" s="112"/>
      <c r="Q464" s="112"/>
      <c r="R464" s="112"/>
    </row>
    <row r="465" customFormat="false" ht="12.75" hidden="false" customHeight="false" outlineLevel="0" collapsed="false">
      <c r="B465" s="119"/>
      <c r="D465" s="112"/>
      <c r="E465" s="112"/>
      <c r="F465" s="112"/>
      <c r="G465" s="112"/>
      <c r="I465" s="112"/>
      <c r="P465" s="112"/>
      <c r="Q465" s="112"/>
      <c r="R465" s="112"/>
    </row>
    <row r="466" customFormat="false" ht="12.75" hidden="false" customHeight="false" outlineLevel="0" collapsed="false">
      <c r="B466" s="119"/>
      <c r="D466" s="112"/>
      <c r="E466" s="112"/>
      <c r="F466" s="112"/>
      <c r="G466" s="112"/>
      <c r="I466" s="112"/>
      <c r="P466" s="112"/>
      <c r="Q466" s="112"/>
      <c r="R466" s="112"/>
    </row>
    <row r="467" customFormat="false" ht="12.75" hidden="false" customHeight="false" outlineLevel="0" collapsed="false">
      <c r="B467" s="119"/>
      <c r="D467" s="112"/>
      <c r="E467" s="112"/>
      <c r="F467" s="112"/>
      <c r="G467" s="112"/>
      <c r="I467" s="112"/>
      <c r="P467" s="112"/>
      <c r="Q467" s="112"/>
      <c r="R467" s="112"/>
    </row>
    <row r="468" customFormat="false" ht="12.75" hidden="false" customHeight="false" outlineLevel="0" collapsed="false">
      <c r="B468" s="119"/>
      <c r="D468" s="112"/>
      <c r="E468" s="112"/>
      <c r="F468" s="112"/>
      <c r="G468" s="112"/>
      <c r="I468" s="112"/>
      <c r="P468" s="112"/>
      <c r="Q468" s="112"/>
      <c r="R468" s="112"/>
    </row>
    <row r="469" customFormat="false" ht="12.75" hidden="false" customHeight="false" outlineLevel="0" collapsed="false">
      <c r="B469" s="119"/>
      <c r="D469" s="112"/>
      <c r="E469" s="112"/>
      <c r="F469" s="112"/>
      <c r="G469" s="112"/>
      <c r="I469" s="112"/>
      <c r="P469" s="112"/>
      <c r="Q469" s="112"/>
      <c r="R469" s="112"/>
    </row>
    <row r="470" customFormat="false" ht="12.75" hidden="false" customHeight="false" outlineLevel="0" collapsed="false">
      <c r="B470" s="119"/>
      <c r="D470" s="112"/>
      <c r="E470" s="112"/>
      <c r="F470" s="112"/>
      <c r="G470" s="112"/>
      <c r="I470" s="112"/>
      <c r="P470" s="112"/>
      <c r="Q470" s="112"/>
      <c r="R470" s="112"/>
    </row>
    <row r="471" customFormat="false" ht="12.75" hidden="false" customHeight="false" outlineLevel="0" collapsed="false">
      <c r="B471" s="119"/>
      <c r="D471" s="112"/>
      <c r="E471" s="112"/>
      <c r="F471" s="112"/>
      <c r="G471" s="112"/>
      <c r="I471" s="112"/>
      <c r="P471" s="112"/>
      <c r="Q471" s="112"/>
      <c r="R471" s="112"/>
    </row>
    <row r="472" customFormat="false" ht="12.75" hidden="false" customHeight="false" outlineLevel="0" collapsed="false">
      <c r="B472" s="119"/>
      <c r="D472" s="112"/>
      <c r="E472" s="112"/>
      <c r="F472" s="112"/>
      <c r="G472" s="112"/>
      <c r="I472" s="112"/>
      <c r="P472" s="112"/>
      <c r="Q472" s="112"/>
      <c r="R472" s="112"/>
    </row>
    <row r="473" customFormat="false" ht="12.75" hidden="false" customHeight="false" outlineLevel="0" collapsed="false">
      <c r="B473" s="119"/>
      <c r="D473" s="112"/>
      <c r="E473" s="112"/>
      <c r="F473" s="112"/>
      <c r="G473" s="112"/>
      <c r="I473" s="112"/>
      <c r="P473" s="112"/>
      <c r="Q473" s="112"/>
      <c r="R473" s="112"/>
    </row>
    <row r="474" customFormat="false" ht="12.75" hidden="false" customHeight="false" outlineLevel="0" collapsed="false">
      <c r="B474" s="119"/>
      <c r="D474" s="112"/>
      <c r="E474" s="112"/>
      <c r="F474" s="112"/>
      <c r="G474" s="112"/>
      <c r="I474" s="112"/>
      <c r="P474" s="112"/>
      <c r="Q474" s="112"/>
      <c r="R474" s="112"/>
    </row>
    <row r="475" customFormat="false" ht="12.75" hidden="false" customHeight="false" outlineLevel="0" collapsed="false">
      <c r="B475" s="119"/>
      <c r="D475" s="112"/>
      <c r="E475" s="112"/>
      <c r="F475" s="112"/>
      <c r="G475" s="112"/>
      <c r="I475" s="112"/>
      <c r="P475" s="112"/>
      <c r="Q475" s="112"/>
      <c r="R475" s="112"/>
    </row>
    <row r="476" customFormat="false" ht="12.75" hidden="false" customHeight="false" outlineLevel="0" collapsed="false">
      <c r="B476" s="119"/>
      <c r="D476" s="112"/>
      <c r="E476" s="112"/>
      <c r="F476" s="112"/>
      <c r="G476" s="112"/>
      <c r="I476" s="112"/>
      <c r="P476" s="112"/>
      <c r="Q476" s="112"/>
      <c r="R476" s="112"/>
    </row>
    <row r="477" customFormat="false" ht="12.75" hidden="false" customHeight="false" outlineLevel="0" collapsed="false">
      <c r="B477" s="119"/>
      <c r="D477" s="112"/>
      <c r="E477" s="112"/>
      <c r="F477" s="112"/>
      <c r="G477" s="112"/>
      <c r="I477" s="112"/>
      <c r="P477" s="112"/>
      <c r="Q477" s="112"/>
      <c r="R477" s="112"/>
    </row>
    <row r="478" customFormat="false" ht="12.75" hidden="false" customHeight="false" outlineLevel="0" collapsed="false">
      <c r="B478" s="119"/>
      <c r="D478" s="112"/>
      <c r="E478" s="112"/>
      <c r="F478" s="112"/>
      <c r="G478" s="112"/>
      <c r="I478" s="112"/>
      <c r="P478" s="112"/>
      <c r="Q478" s="112"/>
      <c r="R478" s="112"/>
    </row>
    <row r="479" customFormat="false" ht="12.75" hidden="false" customHeight="false" outlineLevel="0" collapsed="false">
      <c r="B479" s="119"/>
      <c r="D479" s="112"/>
      <c r="E479" s="112"/>
      <c r="F479" s="112"/>
      <c r="G479" s="112"/>
      <c r="I479" s="112"/>
      <c r="P479" s="112"/>
      <c r="Q479" s="112"/>
      <c r="R479" s="112"/>
    </row>
    <row r="480" customFormat="false" ht="12.75" hidden="false" customHeight="false" outlineLevel="0" collapsed="false">
      <c r="B480" s="119"/>
      <c r="D480" s="112"/>
      <c r="E480" s="112"/>
      <c r="F480" s="112"/>
      <c r="G480" s="112"/>
      <c r="I480" s="112"/>
      <c r="P480" s="112"/>
      <c r="Q480" s="112"/>
      <c r="R480" s="112"/>
    </row>
    <row r="481" customFormat="false" ht="12.75" hidden="false" customHeight="false" outlineLevel="0" collapsed="false">
      <c r="B481" s="119"/>
      <c r="D481" s="112"/>
      <c r="E481" s="112"/>
      <c r="F481" s="112"/>
      <c r="G481" s="112"/>
      <c r="I481" s="112"/>
      <c r="P481" s="112"/>
      <c r="Q481" s="112"/>
      <c r="R481" s="112"/>
    </row>
    <row r="482" customFormat="false" ht="12.75" hidden="false" customHeight="false" outlineLevel="0" collapsed="false">
      <c r="B482" s="119"/>
      <c r="D482" s="112"/>
      <c r="E482" s="112"/>
      <c r="F482" s="112"/>
      <c r="G482" s="112"/>
      <c r="I482" s="112"/>
      <c r="P482" s="112"/>
      <c r="Q482" s="112"/>
      <c r="R482" s="112"/>
    </row>
    <row r="483" customFormat="false" ht="12.75" hidden="false" customHeight="false" outlineLevel="0" collapsed="false">
      <c r="B483" s="119"/>
      <c r="D483" s="112"/>
      <c r="E483" s="112"/>
      <c r="F483" s="112"/>
      <c r="G483" s="112"/>
      <c r="I483" s="112"/>
      <c r="P483" s="112"/>
      <c r="Q483" s="112"/>
      <c r="R483" s="112"/>
    </row>
    <row r="484" customFormat="false" ht="12.75" hidden="false" customHeight="false" outlineLevel="0" collapsed="false">
      <c r="B484" s="119"/>
      <c r="D484" s="112"/>
      <c r="E484" s="112"/>
      <c r="F484" s="112"/>
      <c r="G484" s="112"/>
      <c r="I484" s="112"/>
      <c r="P484" s="112"/>
      <c r="Q484" s="112"/>
      <c r="R484" s="112"/>
    </row>
    <row r="485" customFormat="false" ht="12.75" hidden="false" customHeight="false" outlineLevel="0" collapsed="false">
      <c r="B485" s="119"/>
      <c r="D485" s="112"/>
      <c r="E485" s="112"/>
      <c r="F485" s="112"/>
      <c r="G485" s="112"/>
      <c r="I485" s="112"/>
      <c r="P485" s="112"/>
      <c r="Q485" s="112"/>
      <c r="R485" s="112"/>
    </row>
    <row r="486" customFormat="false" ht="12.75" hidden="false" customHeight="false" outlineLevel="0" collapsed="false">
      <c r="B486" s="119"/>
      <c r="D486" s="112"/>
      <c r="E486" s="112"/>
      <c r="F486" s="112"/>
      <c r="G486" s="112"/>
      <c r="I486" s="112"/>
      <c r="P486" s="112"/>
      <c r="Q486" s="112"/>
      <c r="R486" s="112"/>
    </row>
    <row r="487" customFormat="false" ht="12.75" hidden="false" customHeight="false" outlineLevel="0" collapsed="false">
      <c r="B487" s="119"/>
      <c r="D487" s="112"/>
      <c r="E487" s="112"/>
      <c r="F487" s="112"/>
      <c r="G487" s="112"/>
      <c r="I487" s="112"/>
      <c r="P487" s="112"/>
      <c r="Q487" s="112"/>
      <c r="R487" s="112"/>
    </row>
    <row r="488" customFormat="false" ht="12.75" hidden="false" customHeight="false" outlineLevel="0" collapsed="false">
      <c r="B488" s="119"/>
      <c r="D488" s="112"/>
      <c r="E488" s="112"/>
      <c r="F488" s="112"/>
      <c r="G488" s="112"/>
      <c r="I488" s="112"/>
      <c r="P488" s="112"/>
      <c r="Q488" s="112"/>
      <c r="R488" s="112"/>
    </row>
    <row r="489" customFormat="false" ht="12.75" hidden="false" customHeight="false" outlineLevel="0" collapsed="false">
      <c r="B489" s="119"/>
      <c r="D489" s="112"/>
      <c r="E489" s="112"/>
      <c r="F489" s="112"/>
      <c r="G489" s="112"/>
      <c r="I489" s="112"/>
      <c r="P489" s="112"/>
      <c r="Q489" s="112"/>
      <c r="R489" s="112"/>
    </row>
    <row r="490" customFormat="false" ht="12.75" hidden="false" customHeight="false" outlineLevel="0" collapsed="false">
      <c r="B490" s="119"/>
      <c r="D490" s="112"/>
      <c r="E490" s="112"/>
      <c r="F490" s="112"/>
      <c r="G490" s="112"/>
      <c r="I490" s="112"/>
      <c r="P490" s="112"/>
      <c r="Q490" s="112"/>
      <c r="R490" s="112"/>
    </row>
    <row r="491" customFormat="false" ht="12.75" hidden="false" customHeight="false" outlineLevel="0" collapsed="false">
      <c r="B491" s="119"/>
      <c r="D491" s="112"/>
      <c r="E491" s="112"/>
      <c r="F491" s="112"/>
      <c r="G491" s="112"/>
      <c r="I491" s="112"/>
      <c r="P491" s="112"/>
      <c r="Q491" s="112"/>
      <c r="R491" s="112"/>
    </row>
    <row r="492" customFormat="false" ht="12.75" hidden="false" customHeight="false" outlineLevel="0" collapsed="false">
      <c r="B492" s="119"/>
      <c r="D492" s="112"/>
      <c r="E492" s="112"/>
      <c r="F492" s="112"/>
      <c r="G492" s="112"/>
      <c r="I492" s="112"/>
      <c r="P492" s="112"/>
      <c r="Q492" s="112"/>
      <c r="R492" s="112"/>
    </row>
    <row r="493" customFormat="false" ht="12.75" hidden="false" customHeight="false" outlineLevel="0" collapsed="false">
      <c r="B493" s="119"/>
      <c r="D493" s="112"/>
      <c r="E493" s="112"/>
      <c r="F493" s="112"/>
      <c r="G493" s="112"/>
      <c r="I493" s="112"/>
      <c r="P493" s="112"/>
      <c r="Q493" s="112"/>
      <c r="R493" s="112"/>
    </row>
    <row r="494" customFormat="false" ht="12.75" hidden="false" customHeight="false" outlineLevel="0" collapsed="false">
      <c r="B494" s="119"/>
      <c r="D494" s="112"/>
      <c r="E494" s="112"/>
      <c r="F494" s="112"/>
      <c r="G494" s="112"/>
      <c r="I494" s="112"/>
      <c r="P494" s="112"/>
      <c r="Q494" s="112"/>
      <c r="R494" s="112"/>
    </row>
    <row r="495" customFormat="false" ht="12.75" hidden="false" customHeight="false" outlineLevel="0" collapsed="false">
      <c r="B495" s="119"/>
      <c r="D495" s="112"/>
      <c r="E495" s="112"/>
      <c r="F495" s="112"/>
      <c r="G495" s="112"/>
      <c r="I495" s="112"/>
      <c r="P495" s="112"/>
      <c r="Q495" s="112"/>
      <c r="R495" s="112"/>
    </row>
    <row r="496" customFormat="false" ht="12.75" hidden="false" customHeight="false" outlineLevel="0" collapsed="false">
      <c r="B496" s="119"/>
      <c r="D496" s="112"/>
      <c r="E496" s="112"/>
      <c r="F496" s="112"/>
      <c r="G496" s="112"/>
      <c r="I496" s="112"/>
      <c r="P496" s="112"/>
      <c r="Q496" s="112"/>
      <c r="R496" s="112"/>
    </row>
    <row r="497" customFormat="false" ht="12.75" hidden="false" customHeight="false" outlineLevel="0" collapsed="false">
      <c r="B497" s="119"/>
      <c r="D497" s="112"/>
      <c r="E497" s="112"/>
      <c r="F497" s="112"/>
      <c r="G497" s="112"/>
      <c r="I497" s="112"/>
      <c r="P497" s="112"/>
      <c r="Q497" s="112"/>
      <c r="R497" s="112"/>
    </row>
    <row r="498" customFormat="false" ht="12.75" hidden="false" customHeight="false" outlineLevel="0" collapsed="false">
      <c r="B498" s="119"/>
      <c r="D498" s="112"/>
      <c r="E498" s="112"/>
      <c r="F498" s="112"/>
      <c r="G498" s="112"/>
      <c r="I498" s="112"/>
      <c r="P498" s="112"/>
      <c r="Q498" s="112"/>
      <c r="R498" s="112"/>
    </row>
    <row r="499" customFormat="false" ht="12.75" hidden="false" customHeight="false" outlineLevel="0" collapsed="false">
      <c r="B499" s="119"/>
      <c r="D499" s="112"/>
      <c r="E499" s="112"/>
      <c r="F499" s="112"/>
      <c r="G499" s="112"/>
      <c r="I499" s="112"/>
      <c r="P499" s="112"/>
      <c r="Q499" s="112"/>
      <c r="R499" s="112"/>
    </row>
    <row r="500" customFormat="false" ht="12.75" hidden="false" customHeight="false" outlineLevel="0" collapsed="false">
      <c r="B500" s="119"/>
      <c r="D500" s="112"/>
      <c r="E500" s="112"/>
      <c r="F500" s="112"/>
      <c r="G500" s="112"/>
      <c r="I500" s="112"/>
      <c r="P500" s="112"/>
      <c r="Q500" s="112"/>
      <c r="R500" s="112"/>
    </row>
    <row r="501" customFormat="false" ht="12.75" hidden="false" customHeight="false" outlineLevel="0" collapsed="false">
      <c r="B501" s="119"/>
      <c r="D501" s="112"/>
      <c r="E501" s="112"/>
      <c r="F501" s="112"/>
      <c r="G501" s="112"/>
      <c r="I501" s="112"/>
      <c r="P501" s="112"/>
      <c r="Q501" s="112"/>
      <c r="R501" s="112"/>
    </row>
    <row r="502" customFormat="false" ht="12.75" hidden="false" customHeight="false" outlineLevel="0" collapsed="false">
      <c r="B502" s="119"/>
      <c r="D502" s="112"/>
      <c r="E502" s="112"/>
      <c r="F502" s="112"/>
      <c r="G502" s="112"/>
      <c r="I502" s="112"/>
      <c r="P502" s="112"/>
      <c r="Q502" s="112"/>
      <c r="R502" s="112"/>
    </row>
    <row r="503" customFormat="false" ht="12.75" hidden="false" customHeight="false" outlineLevel="0" collapsed="false">
      <c r="B503" s="119"/>
      <c r="D503" s="112"/>
      <c r="E503" s="112"/>
      <c r="F503" s="112"/>
      <c r="G503" s="112"/>
      <c r="I503" s="112"/>
      <c r="P503" s="112"/>
      <c r="Q503" s="112"/>
      <c r="R503" s="112"/>
    </row>
    <row r="504" customFormat="false" ht="12.75" hidden="false" customHeight="false" outlineLevel="0" collapsed="false">
      <c r="B504" s="119"/>
      <c r="D504" s="112"/>
      <c r="E504" s="112"/>
      <c r="F504" s="112"/>
      <c r="G504" s="112"/>
      <c r="I504" s="112"/>
      <c r="P504" s="112"/>
      <c r="Q504" s="112"/>
      <c r="R504" s="112"/>
    </row>
    <row r="505" customFormat="false" ht="12.75" hidden="false" customHeight="false" outlineLevel="0" collapsed="false">
      <c r="B505" s="119"/>
      <c r="D505" s="112"/>
      <c r="E505" s="112"/>
      <c r="F505" s="112"/>
      <c r="G505" s="112"/>
      <c r="I505" s="112"/>
      <c r="P505" s="112"/>
      <c r="Q505" s="112"/>
      <c r="R505" s="112"/>
    </row>
    <row r="506" customFormat="false" ht="12.75" hidden="false" customHeight="false" outlineLevel="0" collapsed="false">
      <c r="B506" s="119"/>
      <c r="D506" s="112"/>
      <c r="E506" s="112"/>
      <c r="F506" s="112"/>
      <c r="G506" s="112"/>
      <c r="I506" s="112"/>
      <c r="P506" s="112"/>
      <c r="Q506" s="112"/>
      <c r="R506" s="112"/>
    </row>
    <row r="507" customFormat="false" ht="12.75" hidden="false" customHeight="false" outlineLevel="0" collapsed="false">
      <c r="B507" s="119"/>
      <c r="D507" s="112"/>
      <c r="E507" s="112"/>
      <c r="F507" s="112"/>
      <c r="G507" s="112"/>
      <c r="I507" s="112"/>
      <c r="P507" s="112"/>
      <c r="Q507" s="112"/>
      <c r="R507" s="112"/>
    </row>
    <row r="508" customFormat="false" ht="12.75" hidden="false" customHeight="false" outlineLevel="0" collapsed="false">
      <c r="B508" s="119"/>
      <c r="D508" s="112"/>
      <c r="E508" s="112"/>
      <c r="F508" s="112"/>
      <c r="G508" s="112"/>
      <c r="I508" s="112"/>
      <c r="P508" s="112"/>
      <c r="Q508" s="112"/>
      <c r="R508" s="112"/>
    </row>
    <row r="509" customFormat="false" ht="12.75" hidden="false" customHeight="false" outlineLevel="0" collapsed="false">
      <c r="B509" s="119"/>
      <c r="D509" s="112"/>
      <c r="E509" s="112"/>
      <c r="F509" s="112"/>
      <c r="G509" s="112"/>
      <c r="I509" s="112"/>
      <c r="P509" s="112"/>
      <c r="Q509" s="112"/>
      <c r="R509" s="112"/>
    </row>
    <row r="510" customFormat="false" ht="12.75" hidden="false" customHeight="false" outlineLevel="0" collapsed="false">
      <c r="B510" s="119"/>
      <c r="D510" s="112"/>
      <c r="E510" s="112"/>
      <c r="F510" s="112"/>
      <c r="G510" s="112"/>
      <c r="I510" s="112"/>
      <c r="P510" s="112"/>
      <c r="Q510" s="112"/>
      <c r="R510" s="112"/>
    </row>
    <row r="511" customFormat="false" ht="12.75" hidden="false" customHeight="false" outlineLevel="0" collapsed="false">
      <c r="B511" s="119"/>
      <c r="D511" s="112"/>
      <c r="E511" s="112"/>
      <c r="F511" s="112"/>
      <c r="G511" s="112"/>
      <c r="I511" s="112"/>
      <c r="P511" s="112"/>
      <c r="Q511" s="112"/>
      <c r="R511" s="112"/>
    </row>
    <row r="512" customFormat="false" ht="12.75" hidden="false" customHeight="false" outlineLevel="0" collapsed="false">
      <c r="B512" s="119"/>
      <c r="D512" s="112"/>
      <c r="E512" s="112"/>
      <c r="F512" s="112"/>
      <c r="G512" s="112"/>
      <c r="I512" s="112"/>
      <c r="P512" s="112"/>
      <c r="Q512" s="112"/>
      <c r="R512" s="112"/>
    </row>
    <row r="513" customFormat="false" ht="12.75" hidden="false" customHeight="false" outlineLevel="0" collapsed="false">
      <c r="B513" s="119"/>
      <c r="D513" s="112"/>
      <c r="E513" s="112"/>
      <c r="F513" s="112"/>
      <c r="G513" s="112"/>
      <c r="I513" s="112"/>
      <c r="P513" s="112"/>
      <c r="Q513" s="112"/>
      <c r="R513" s="112"/>
    </row>
    <row r="514" customFormat="false" ht="12.75" hidden="false" customHeight="false" outlineLevel="0" collapsed="false">
      <c r="B514" s="119"/>
      <c r="D514" s="112"/>
      <c r="E514" s="112"/>
      <c r="F514" s="112"/>
      <c r="G514" s="112"/>
      <c r="I514" s="112"/>
      <c r="P514" s="112"/>
      <c r="Q514" s="112"/>
      <c r="R514" s="112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2</v>
      </c>
      <c r="P3" s="112" t="n">
        <v>1000000</v>
      </c>
      <c r="Q3" s="112"/>
      <c r="R3" s="112" t="n">
        <v>1000</v>
      </c>
      <c r="S3" s="109"/>
      <c r="T3" s="118" t="n">
        <f aca="false">SUM(T6:T371)</f>
        <v>0.002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Data'!$A$2:$B$8,MATCH(WEEKDAY('ARG Gas Transport'!A6,3),'Master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Data'!$A$2:$B$8,MATCH(WEEKDAY('ARG Gas Transport'!A7,3),'Master Data'!$A$2:$A$8,0),2)</f>
        <v>T</v>
      </c>
      <c r="D7" s="112" t="n">
        <v>0</v>
      </c>
      <c r="E7" s="112" t="n">
        <v>0</v>
      </c>
      <c r="F7" s="112" t="n">
        <v>0</v>
      </c>
      <c r="G7" s="112" t="n">
        <v>0</v>
      </c>
      <c r="I7" s="112" t="n">
        <f aca="false">IF(MONTH($A7)=MONTH($A6),IF(G7=0,I6,G7),0)</f>
        <v>0</v>
      </c>
      <c r="J7" s="112" t="n">
        <f aca="false">IF(MONTH($A7)=MONTH($A6),SUM(I7-I6),I7)</f>
        <v>0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0</v>
      </c>
      <c r="N7" s="112" t="n">
        <f aca="false">SUM(J$6:J7)</f>
        <v>0</v>
      </c>
      <c r="P7" s="112" t="n">
        <f aca="false">D7/P$3</f>
        <v>0</v>
      </c>
      <c r="Q7" s="112" t="n">
        <f aca="false">E7/P$3</f>
        <v>0</v>
      </c>
      <c r="R7" s="112" t="n">
        <f aca="false">F7/R$3</f>
        <v>0</v>
      </c>
      <c r="S7" s="114" t="n">
        <f aca="false">J7/$R$3</f>
        <v>0</v>
      </c>
      <c r="T7" s="114" t="n">
        <f aca="false">L7/$R$3</f>
        <v>0</v>
      </c>
      <c r="U7" s="114" t="n">
        <f aca="false">I7/$R$3</f>
        <v>0</v>
      </c>
      <c r="V7" s="114" t="n">
        <f aca="false">M7/$R$3</f>
        <v>0</v>
      </c>
      <c r="W7" s="114" t="n">
        <f aca="false">N7/$R$3</f>
        <v>0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Data'!$A$2:$B$8,MATCH(WEEKDAY('ARG Gas Transport'!A8,3),'Master Data'!$A$2:$A$8,0),2)</f>
        <v>W</v>
      </c>
      <c r="D8" s="112" t="n">
        <v>0</v>
      </c>
      <c r="E8" s="112" t="n">
        <v>0</v>
      </c>
      <c r="F8" s="112" t="n">
        <v>0</v>
      </c>
      <c r="G8" s="112" t="n">
        <v>0</v>
      </c>
      <c r="I8" s="112" t="n">
        <f aca="false">IF(MONTH($A8)=MONTH($A7),IF(G8=0,I7,G8),0)</f>
        <v>0</v>
      </c>
      <c r="J8" s="112" t="n">
        <f aca="false">IF(MONTH($A8)=MONTH($A7),SUM(I8-I7),I8)</f>
        <v>0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0</v>
      </c>
      <c r="N8" s="112" t="n">
        <f aca="false">SUM(J$6:J8)</f>
        <v>0</v>
      </c>
      <c r="P8" s="112" t="n">
        <f aca="false">D8/P$3</f>
        <v>0</v>
      </c>
      <c r="Q8" s="112" t="n">
        <f aca="false">E8/P$3</f>
        <v>0</v>
      </c>
      <c r="R8" s="112" t="n">
        <f aca="false">F8/R$3</f>
        <v>0</v>
      </c>
      <c r="S8" s="114" t="n">
        <f aca="false">J8/$R$3</f>
        <v>0</v>
      </c>
      <c r="T8" s="114" t="n">
        <f aca="false">L8/$R$3</f>
        <v>0</v>
      </c>
      <c r="U8" s="114" t="n">
        <f aca="false">I8/$R$3</f>
        <v>0</v>
      </c>
      <c r="V8" s="114" t="n">
        <f aca="false">M8/$R$3</f>
        <v>0</v>
      </c>
      <c r="W8" s="114" t="n">
        <f aca="false">N8/$R$3</f>
        <v>0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Data'!$A$2:$B$8,MATCH(WEEKDAY('ARG Gas Transport'!A9,3),'Master Data'!$A$2:$A$8,0),2)</f>
        <v>Th</v>
      </c>
      <c r="D9" s="112" t="n">
        <v>0</v>
      </c>
      <c r="E9" s="112" t="n">
        <v>0</v>
      </c>
      <c r="F9" s="112" t="n">
        <v>0</v>
      </c>
      <c r="G9" s="112" t="n">
        <v>0</v>
      </c>
      <c r="I9" s="112" t="n">
        <f aca="false">IF(MONTH($A9)=MONTH($A8),IF(G9=0,I8,G9),0)</f>
        <v>0</v>
      </c>
      <c r="J9" s="112" t="n">
        <f aca="false">IF(MONTH($A9)=MONTH($A8),SUM(I9-I8),I9)</f>
        <v>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0</v>
      </c>
      <c r="N9" s="112" t="n">
        <f aca="false">SUM(J$6:J9)</f>
        <v>0</v>
      </c>
      <c r="P9" s="112" t="n">
        <f aca="false">D9/P$3</f>
        <v>0</v>
      </c>
      <c r="Q9" s="112" t="n">
        <f aca="false">E9/P$3</f>
        <v>0</v>
      </c>
      <c r="R9" s="112" t="n">
        <f aca="false">F9/R$3</f>
        <v>0</v>
      </c>
      <c r="S9" s="114" t="n">
        <f aca="false">J9/$R$3</f>
        <v>0</v>
      </c>
      <c r="T9" s="114" t="n">
        <f aca="false">L9/$R$3</f>
        <v>0</v>
      </c>
      <c r="U9" s="114" t="n">
        <f aca="false">I9/$R$3</f>
        <v>0</v>
      </c>
      <c r="V9" s="114" t="n">
        <f aca="false">M9/$R$3</f>
        <v>0</v>
      </c>
      <c r="W9" s="114" t="n">
        <f aca="false">N9/$R$3</f>
        <v>0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Data'!$A$2:$B$8,MATCH(WEEKDAY('ARG Gas Transport'!A10,3),'Master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0</v>
      </c>
      <c r="I10" s="112" t="n">
        <f aca="false">IF(MONTH($A10)=MONTH($A9),IF(G10=0,I9,G10),0)</f>
        <v>0</v>
      </c>
      <c r="J10" s="112" t="n">
        <f aca="false">IF(MONTH($A10)=MONTH($A9),SUM(I10-I9),I10)</f>
        <v>0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0</v>
      </c>
      <c r="N10" s="112" t="n">
        <f aca="false">SUM(J$6:J10)</f>
        <v>0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0</v>
      </c>
      <c r="T10" s="114" t="n">
        <f aca="false">L10/$R$3</f>
        <v>0</v>
      </c>
      <c r="U10" s="114" t="n">
        <f aca="false">I10/$R$3</f>
        <v>0</v>
      </c>
      <c r="V10" s="114" t="n">
        <f aca="false">M10/$R$3</f>
        <v>0</v>
      </c>
      <c r="W10" s="114" t="n">
        <f aca="false">N10/$R$3</f>
        <v>0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Data'!$A$2:$B$8,MATCH(WEEKDAY('ARG Gas Transport'!A11,3),'Master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0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0</v>
      </c>
      <c r="N11" s="112" t="n">
        <f aca="false">SUM(J$6:J11)</f>
        <v>0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0</v>
      </c>
      <c r="V11" s="114" t="n">
        <f aca="false">M11/$R$3</f>
        <v>0</v>
      </c>
      <c r="W11" s="114" t="n">
        <f aca="false">N11/$R$3</f>
        <v>0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Data'!$A$2:$B$8,MATCH(WEEKDAY('ARG Gas Transport'!A12,3),'Master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0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0</v>
      </c>
      <c r="N12" s="112" t="n">
        <f aca="false">SUM(J$6:J12)</f>
        <v>0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0</v>
      </c>
      <c r="V12" s="114" t="n">
        <f aca="false">M12/$R$3</f>
        <v>0</v>
      </c>
      <c r="W12" s="114" t="n">
        <f aca="false">N12/$R$3</f>
        <v>0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Data'!$A$2:$B$8,MATCH(WEEKDAY('ARG Gas Transport'!A13,3),'Master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0</v>
      </c>
      <c r="I13" s="112" t="n">
        <f aca="false">IF(MONTH($A13)=MONTH($A12),IF(G13=0,I12,G13),0)</f>
        <v>0</v>
      </c>
      <c r="J13" s="112" t="n">
        <f aca="false">IF(MONTH($A13)=MONTH($A12),SUM(I13-I12),I13)</f>
        <v>0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0</v>
      </c>
      <c r="N13" s="112" t="n">
        <f aca="false">SUM(J$6:J13)</f>
        <v>0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0</v>
      </c>
      <c r="T13" s="114" t="n">
        <f aca="false">L13/$R$3</f>
        <v>0</v>
      </c>
      <c r="U13" s="114" t="n">
        <f aca="false">I13/$R$3</f>
        <v>0</v>
      </c>
      <c r="V13" s="114" t="n">
        <f aca="false">M13/$R$3</f>
        <v>0</v>
      </c>
      <c r="W13" s="114" t="n">
        <f aca="false">N13/$R$3</f>
        <v>0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Data'!$A$2:$B$8,MATCH(WEEKDAY('ARG Gas Transport'!A14,3),'Master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0</v>
      </c>
      <c r="I14" s="112" t="n">
        <f aca="false">IF(MONTH($A14)=MONTH($A13),IF(G14=0,I13,G14),0)</f>
        <v>0</v>
      </c>
      <c r="J14" s="112" t="n">
        <f aca="false">IF(MONTH($A14)=MONTH($A13),SUM(I14-I13),I14)</f>
        <v>0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0</v>
      </c>
      <c r="N14" s="112" t="n">
        <f aca="false">SUM(J$6:J14)</f>
        <v>0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0</v>
      </c>
      <c r="T14" s="114" t="n">
        <f aca="false">L14/$R$3</f>
        <v>0</v>
      </c>
      <c r="U14" s="114" t="n">
        <f aca="false">I14/$R$3</f>
        <v>0</v>
      </c>
      <c r="V14" s="114" t="n">
        <f aca="false">M14/$R$3</f>
        <v>0</v>
      </c>
      <c r="W14" s="114" t="n">
        <f aca="false">N14/$R$3</f>
        <v>0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Data'!$A$2:$B$8,MATCH(WEEKDAY('ARG Gas Transport'!A15,3),'Master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0</v>
      </c>
      <c r="I15" s="112" t="n">
        <f aca="false">IF(MONTH($A15)=MONTH($A14),IF(G15=0,I14,G15),0)</f>
        <v>0</v>
      </c>
      <c r="J15" s="112" t="n">
        <f aca="false">IF(MONTH($A15)=MONTH($A14),SUM(I15-I14),I15)</f>
        <v>0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0</v>
      </c>
      <c r="N15" s="112" t="n">
        <f aca="false">SUM(J$6:J15)</f>
        <v>0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0</v>
      </c>
      <c r="T15" s="114" t="n">
        <f aca="false">L15/$R$3</f>
        <v>0</v>
      </c>
      <c r="U15" s="114" t="n">
        <f aca="false">I15/$R$3</f>
        <v>0</v>
      </c>
      <c r="V15" s="114" t="n">
        <f aca="false">M15/$R$3</f>
        <v>0</v>
      </c>
      <c r="W15" s="114" t="n">
        <f aca="false">N15/$R$3</f>
        <v>0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Data'!$A$2:$B$8,MATCH(WEEKDAY('ARG Gas Transport'!A16,3),'Master Data'!$A$2:$A$8,0),2)</f>
        <v>Th</v>
      </c>
      <c r="D16" s="112" t="n">
        <v>0</v>
      </c>
      <c r="E16" s="112" t="n">
        <v>0</v>
      </c>
      <c r="F16" s="112" t="n">
        <v>0</v>
      </c>
      <c r="G16" s="112" t="n">
        <v>0</v>
      </c>
      <c r="I16" s="112" t="n">
        <f aca="false">IF(MONTH($A16)=MONTH($A15),IF(G16=0,I15,G16),0)</f>
        <v>0</v>
      </c>
      <c r="J16" s="112" t="n">
        <f aca="false">IF(MONTH($A16)=MONTH($A15),SUM(I16-I15),I16)</f>
        <v>0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0</v>
      </c>
      <c r="N16" s="112" t="n">
        <f aca="false">SUM(J$6:J16)</f>
        <v>0</v>
      </c>
      <c r="P16" s="112" t="n">
        <f aca="false">D16/P$3</f>
        <v>0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</v>
      </c>
      <c r="T16" s="114" t="n">
        <f aca="false">L16/$R$3</f>
        <v>0</v>
      </c>
      <c r="U16" s="114" t="n">
        <f aca="false">I16/$R$3</f>
        <v>0</v>
      </c>
      <c r="V16" s="114" t="n">
        <f aca="false">M16/$R$3</f>
        <v>0</v>
      </c>
      <c r="W16" s="114" t="n">
        <f aca="false">N16/$R$3</f>
        <v>0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Data'!$A$2:$B$8,MATCH(WEEKDAY('ARG Gas Transport'!A17,3),'Master Data'!$A$2:$A$8,0),2)</f>
        <v>F</v>
      </c>
      <c r="D17" s="112" t="n">
        <v>0</v>
      </c>
      <c r="E17" s="112" t="n">
        <v>0</v>
      </c>
      <c r="F17" s="112" t="n">
        <v>0</v>
      </c>
      <c r="G17" s="112" t="n">
        <v>0</v>
      </c>
      <c r="I17" s="112" t="n">
        <f aca="false">IF(MONTH($A17)=MONTH($A16),IF(G17=0,I16,G17),0)</f>
        <v>0</v>
      </c>
      <c r="J17" s="112" t="n">
        <f aca="false">IF(MONTH($A17)=MONTH($A16),SUM(I17-I16),I17)</f>
        <v>0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0</v>
      </c>
      <c r="N17" s="112" t="n">
        <f aca="false">SUM(J$6:J17)</f>
        <v>0</v>
      </c>
      <c r="P17" s="112" t="n">
        <f aca="false">D17/P$3</f>
        <v>0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0</v>
      </c>
      <c r="T17" s="114" t="n">
        <f aca="false">L17/$R$3</f>
        <v>0</v>
      </c>
      <c r="U17" s="114" t="n">
        <f aca="false">I17/$R$3</f>
        <v>0</v>
      </c>
      <c r="V17" s="114" t="n">
        <f aca="false">M17/$R$3</f>
        <v>0</v>
      </c>
      <c r="W17" s="114" t="n">
        <f aca="false">N17/$R$3</f>
        <v>0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Data'!$A$2:$B$8,MATCH(WEEKDAY('ARG Gas Transport'!A18,3),'Master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0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0</v>
      </c>
      <c r="N18" s="112" t="n">
        <f aca="false">SUM(J$6:J18)</f>
        <v>0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0</v>
      </c>
      <c r="V18" s="114" t="n">
        <f aca="false">M18/$R$3</f>
        <v>0</v>
      </c>
      <c r="W18" s="114" t="n">
        <f aca="false">N18/$R$3</f>
        <v>0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Data'!$A$2:$B$8,MATCH(WEEKDAY('ARG Gas Transport'!A19,3),'Master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0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0</v>
      </c>
      <c r="N19" s="112" t="n">
        <f aca="false">SUM(J$6:J19)</f>
        <v>0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0</v>
      </c>
      <c r="V19" s="114" t="n">
        <f aca="false">M19/$R$3</f>
        <v>0</v>
      </c>
      <c r="W19" s="114" t="n">
        <f aca="false">N19/$R$3</f>
        <v>0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Data'!$A$2:$B$8,MATCH(WEEKDAY('ARG Gas Transport'!A20,3),'Master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0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0</v>
      </c>
      <c r="N20" s="112" t="n">
        <f aca="false">SUM(J$6:J20)</f>
        <v>0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0</v>
      </c>
      <c r="V20" s="114" t="n">
        <f aca="false">M20/$R$3</f>
        <v>0</v>
      </c>
      <c r="W20" s="114" t="n">
        <f aca="false">N20/$R$3</f>
        <v>0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Data'!$A$2:$B$8,MATCH(WEEKDAY('ARG Gas Transport'!A21,3),'Master Data'!$A$2:$A$8,0),2)</f>
        <v>T</v>
      </c>
      <c r="D21" s="112" t="n">
        <v>0</v>
      </c>
      <c r="E21" s="112" t="n">
        <v>0</v>
      </c>
      <c r="F21" s="112" t="n">
        <v>0</v>
      </c>
      <c r="G21" s="112" t="n">
        <v>0</v>
      </c>
      <c r="I21" s="112" t="n">
        <f aca="false">IF(MONTH($A21)=MONTH($A20),IF(G21=0,I20,G21),0)</f>
        <v>0</v>
      </c>
      <c r="J21" s="112" t="n">
        <f aca="false">IF(MONTH($A21)=MONTH($A20),SUM(I21-I20),I21)</f>
        <v>0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0</v>
      </c>
      <c r="N21" s="112" t="n">
        <f aca="false">SUM(J$6:J21)</f>
        <v>0</v>
      </c>
      <c r="P21" s="112" t="n">
        <f aca="false">D21/P$3</f>
        <v>0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0</v>
      </c>
      <c r="T21" s="114" t="n">
        <f aca="false">L21/$R$3</f>
        <v>0</v>
      </c>
      <c r="U21" s="114" t="n">
        <f aca="false">I21/$R$3</f>
        <v>0</v>
      </c>
      <c r="V21" s="114" t="n">
        <f aca="false">M21/$R$3</f>
        <v>0</v>
      </c>
      <c r="W21" s="114" t="n">
        <f aca="false">N21/$R$3</f>
        <v>0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Data'!$A$2:$B$8,MATCH(WEEKDAY('ARG Gas Transport'!A22,3),'Master Data'!$A$2:$A$8,0),2)</f>
        <v>W</v>
      </c>
      <c r="D22" s="112" t="n">
        <v>0</v>
      </c>
      <c r="E22" s="112" t="n">
        <v>0</v>
      </c>
      <c r="F22" s="112" t="n">
        <v>0</v>
      </c>
      <c r="G22" s="112" t="n">
        <v>0</v>
      </c>
      <c r="I22" s="112" t="n">
        <f aca="false">IF(MONTH($A22)=MONTH($A21),IF(G22=0,I21,G22),0)</f>
        <v>0</v>
      </c>
      <c r="J22" s="112" t="n">
        <f aca="false">IF(MONTH($A22)=MONTH($A21),SUM(I22-I21),I22)</f>
        <v>0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0</v>
      </c>
      <c r="N22" s="112" t="n">
        <f aca="false">SUM(J$6:J22)</f>
        <v>0</v>
      </c>
      <c r="P22" s="112" t="n">
        <f aca="false">D22/P$3</f>
        <v>0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0</v>
      </c>
      <c r="T22" s="114" t="n">
        <f aca="false">L22/$R$3</f>
        <v>0</v>
      </c>
      <c r="U22" s="114" t="n">
        <f aca="false">I22/$R$3</f>
        <v>0</v>
      </c>
      <c r="V22" s="114" t="n">
        <f aca="false">M22/$R$3</f>
        <v>0</v>
      </c>
      <c r="W22" s="114" t="n">
        <f aca="false">N22/$R$3</f>
        <v>0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Data'!$A$2:$B$8,MATCH(WEEKDAY('ARG Gas Transport'!A23,3),'Master Data'!$A$2:$A$8,0),2)</f>
        <v>Th</v>
      </c>
      <c r="D23" s="112" t="n">
        <v>0</v>
      </c>
      <c r="E23" s="112" t="n">
        <v>0</v>
      </c>
      <c r="F23" s="112" t="n">
        <v>0</v>
      </c>
      <c r="G23" s="112" t="n">
        <v>0</v>
      </c>
      <c r="I23" s="112" t="n">
        <f aca="false">IF(MONTH($A23)=MONTH($A22),IF(G23=0,I22,G23),0)</f>
        <v>0</v>
      </c>
      <c r="J23" s="112" t="n">
        <f aca="false">IF(MONTH($A23)=MONTH($A22),SUM(I23-I22),I23)</f>
        <v>0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0</v>
      </c>
      <c r="N23" s="112" t="n">
        <f aca="false">SUM(J$6:J23)</f>
        <v>0</v>
      </c>
      <c r="P23" s="112" t="n">
        <f aca="false">D23/P$3</f>
        <v>0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0</v>
      </c>
      <c r="T23" s="114" t="n">
        <f aca="false">L23/$R$3</f>
        <v>0</v>
      </c>
      <c r="U23" s="114" t="n">
        <f aca="false">I23/$R$3</f>
        <v>0</v>
      </c>
      <c r="V23" s="114" t="n">
        <f aca="false">M23/$R$3</f>
        <v>0</v>
      </c>
      <c r="W23" s="114" t="n">
        <f aca="false">N23/$R$3</f>
        <v>0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Data'!$A$2:$B$8,MATCH(WEEKDAY('ARG Gas Transport'!A24,3),'Master Data'!$A$2:$A$8,0),2)</f>
        <v>F</v>
      </c>
      <c r="D24" s="112" t="n">
        <v>0</v>
      </c>
      <c r="E24" s="112" t="n">
        <v>0</v>
      </c>
      <c r="F24" s="112" t="n">
        <v>0</v>
      </c>
      <c r="G24" s="112" t="n">
        <v>0</v>
      </c>
      <c r="I24" s="112" t="n">
        <f aca="false">IF(MONTH($A24)=MONTH($A23),IF(G24=0,I23,G24),0)</f>
        <v>0</v>
      </c>
      <c r="J24" s="112" t="n">
        <f aca="false">IF(MONTH($A24)=MONTH($A23),SUM(I24-I23),I24)</f>
        <v>0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0</v>
      </c>
      <c r="N24" s="112" t="n">
        <f aca="false">SUM(J$6:J24)</f>
        <v>0</v>
      </c>
      <c r="P24" s="112" t="n">
        <f aca="false">D24/P$3</f>
        <v>0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0</v>
      </c>
      <c r="T24" s="114" t="n">
        <f aca="false">L24/$R$3</f>
        <v>0</v>
      </c>
      <c r="U24" s="114" t="n">
        <f aca="false">I24/$R$3</f>
        <v>0</v>
      </c>
      <c r="V24" s="114" t="n">
        <f aca="false">M24/$R$3</f>
        <v>0</v>
      </c>
      <c r="W24" s="114" t="n">
        <f aca="false">N24/$R$3</f>
        <v>0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Data'!$A$2:$B$8,MATCH(WEEKDAY('ARG Gas Transport'!A25,3),'Master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0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0</v>
      </c>
      <c r="N25" s="112" t="n">
        <f aca="false">SUM(J$6:J25)</f>
        <v>0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0</v>
      </c>
      <c r="V25" s="114" t="n">
        <f aca="false">M25/$R$3</f>
        <v>0</v>
      </c>
      <c r="W25" s="114" t="n">
        <f aca="false">N25/$R$3</f>
        <v>0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Data'!$A$2:$B$8,MATCH(WEEKDAY('ARG Gas Transport'!A26,3),'Master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0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0</v>
      </c>
      <c r="N26" s="112" t="n">
        <f aca="false">SUM(J$6:J26)</f>
        <v>0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0</v>
      </c>
      <c r="V26" s="114" t="n">
        <f aca="false">M26/$R$3</f>
        <v>0</v>
      </c>
      <c r="W26" s="114" t="n">
        <f aca="false">N26/$R$3</f>
        <v>0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Data'!$A$2:$B$8,MATCH(WEEKDAY('ARG Gas Transport'!A27,3),'Master Data'!$A$2:$A$8,0),2)</f>
        <v>M</v>
      </c>
      <c r="D27" s="112" t="n">
        <v>0</v>
      </c>
      <c r="E27" s="112" t="n">
        <v>0</v>
      </c>
      <c r="F27" s="112" t="n">
        <v>0</v>
      </c>
      <c r="G27" s="112" t="n">
        <v>0</v>
      </c>
      <c r="I27" s="112" t="n">
        <f aca="false">IF(MONTH($A27)=MONTH($A26),IF(G27=0,I26,G27),0)</f>
        <v>0</v>
      </c>
      <c r="J27" s="112" t="n">
        <f aca="false">IF(MONTH($A27)=MONTH($A26),SUM(I27-I26),I27)</f>
        <v>0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0</v>
      </c>
      <c r="N27" s="112" t="n">
        <f aca="false">SUM(J$6:J27)</f>
        <v>0</v>
      </c>
      <c r="P27" s="112" t="n">
        <f aca="false">D27/P$3</f>
        <v>0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0</v>
      </c>
      <c r="T27" s="114" t="n">
        <f aca="false">L27/$R$3</f>
        <v>0</v>
      </c>
      <c r="U27" s="114" t="n">
        <f aca="false">I27/$R$3</f>
        <v>0</v>
      </c>
      <c r="V27" s="114" t="n">
        <f aca="false">M27/$R$3</f>
        <v>0</v>
      </c>
      <c r="W27" s="114" t="n">
        <f aca="false">N27/$R$3</f>
        <v>0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Data'!$A$2:$B$8,MATCH(WEEKDAY('ARG Gas Transport'!A28,3),'Master Data'!$A$2:$A$8,0),2)</f>
        <v>T</v>
      </c>
      <c r="D28" s="112" t="n">
        <v>0</v>
      </c>
      <c r="E28" s="112" t="n">
        <v>0</v>
      </c>
      <c r="F28" s="112" t="n">
        <v>0</v>
      </c>
      <c r="G28" s="112" t="n">
        <v>0</v>
      </c>
      <c r="I28" s="112" t="n">
        <f aca="false">IF(MONTH($A28)=MONTH($A27),IF(G28=0,I27,G28),0)</f>
        <v>0</v>
      </c>
      <c r="J28" s="112" t="n">
        <f aca="false">IF(MONTH($A28)=MONTH($A27),SUM(I28-I27),I28)</f>
        <v>0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0</v>
      </c>
      <c r="N28" s="112" t="n">
        <f aca="false">SUM(J$6:J28)</f>
        <v>0</v>
      </c>
      <c r="P28" s="112" t="n">
        <f aca="false">D28/P$3</f>
        <v>0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0</v>
      </c>
      <c r="T28" s="114" t="n">
        <f aca="false">L28/$R$3</f>
        <v>0</v>
      </c>
      <c r="U28" s="114" t="n">
        <f aca="false">I28/$R$3</f>
        <v>0</v>
      </c>
      <c r="V28" s="114" t="n">
        <f aca="false">M28/$R$3</f>
        <v>0</v>
      </c>
      <c r="W28" s="114" t="n">
        <f aca="false">N28/$R$3</f>
        <v>0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Data'!$A$2:$B$8,MATCH(WEEKDAY('ARG Gas Transport'!A29,3),'Master Data'!$A$2:$A$8,0),2)</f>
        <v>W</v>
      </c>
      <c r="D29" s="112" t="n">
        <v>0</v>
      </c>
      <c r="E29" s="112" t="n">
        <v>0</v>
      </c>
      <c r="F29" s="112" t="n">
        <v>0</v>
      </c>
      <c r="G29" s="112" t="n">
        <v>0</v>
      </c>
      <c r="I29" s="112" t="n">
        <f aca="false">IF(MONTH($A29)=MONTH($A28),IF(G29=0,I28,G29),0)</f>
        <v>0</v>
      </c>
      <c r="J29" s="112" t="n">
        <f aca="false">IF(MONTH($A29)=MONTH($A28),SUM(I29-I28),I29)</f>
        <v>0</v>
      </c>
      <c r="K29" s="112" t="n">
        <f aca="false">IF(WEEKDAY(A29,3)&gt;4,0,(IF(A29&lt;K$2,0,IF(A29&lt;=K$3,1,0))))</f>
        <v>0</v>
      </c>
      <c r="L29" s="112" t="n">
        <f aca="false">J29*K29</f>
        <v>0</v>
      </c>
      <c r="M29" s="112" t="n">
        <f aca="false">SUM(J$6:J29)</f>
        <v>0</v>
      </c>
      <c r="N29" s="112" t="n">
        <f aca="false">SUM(J$6:J29)</f>
        <v>0</v>
      </c>
      <c r="P29" s="112" t="n">
        <f aca="false">D29/P$3</f>
        <v>0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0</v>
      </c>
      <c r="T29" s="114" t="n">
        <f aca="false">L29/$R$3</f>
        <v>0</v>
      </c>
      <c r="U29" s="114" t="n">
        <f aca="false">I29/$R$3</f>
        <v>0</v>
      </c>
      <c r="V29" s="114" t="n">
        <f aca="false">M29/$R$3</f>
        <v>0</v>
      </c>
      <c r="W29" s="114" t="n">
        <f aca="false">N29/$R$3</f>
        <v>0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Data'!$A$2:$B$8,MATCH(WEEKDAY('ARG Gas Transport'!A30,3),'Master Data'!$A$2:$A$8,0),2)</f>
        <v>Th</v>
      </c>
      <c r="D30" s="112" t="n">
        <v>0</v>
      </c>
      <c r="E30" s="112" t="n">
        <v>0</v>
      </c>
      <c r="F30" s="112" t="n">
        <v>0</v>
      </c>
      <c r="G30" s="112" t="n">
        <v>0</v>
      </c>
      <c r="I30" s="112" t="n">
        <f aca="false">IF(MONTH($A30)=MONTH($A29),IF(G30=0,I29,G30),0)</f>
        <v>0</v>
      </c>
      <c r="J30" s="112" t="n">
        <f aca="false">IF(MONTH($A30)=MONTH($A29),SUM(I30-I29),I30)</f>
        <v>0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0</v>
      </c>
      <c r="N30" s="112" t="n">
        <f aca="false">SUM(J$6:J30)</f>
        <v>0</v>
      </c>
      <c r="P30" s="112" t="n">
        <f aca="false">D30/P$3</f>
        <v>0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0</v>
      </c>
      <c r="T30" s="114" t="n">
        <f aca="false">L30/$R$3</f>
        <v>0</v>
      </c>
      <c r="U30" s="114" t="n">
        <f aca="false">I30/$R$3</f>
        <v>0</v>
      </c>
      <c r="V30" s="114" t="n">
        <f aca="false">M30/$R$3</f>
        <v>0</v>
      </c>
      <c r="W30" s="114" t="n">
        <f aca="false">N30/$R$3</f>
        <v>0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Data'!$A$2:$B$8,MATCH(WEEKDAY('ARG Gas Transport'!A31,3),'Master Data'!$A$2:$A$8,0),2)</f>
        <v>F</v>
      </c>
      <c r="D31" s="112" t="n">
        <v>0</v>
      </c>
      <c r="E31" s="112" t="n">
        <v>0</v>
      </c>
      <c r="F31" s="112" t="n">
        <v>0</v>
      </c>
      <c r="G31" s="112" t="n">
        <v>0</v>
      </c>
      <c r="I31" s="112" t="n">
        <f aca="false">IF(MONTH($A31)=MONTH($A30),IF(G31=0,I30,G31),0)</f>
        <v>0</v>
      </c>
      <c r="J31" s="112" t="n">
        <f aca="false">IF(MONTH($A31)=MONTH($A30),SUM(I31-I30),I31)</f>
        <v>0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0</v>
      </c>
      <c r="N31" s="112" t="n">
        <f aca="false">SUM(J$6:J31)</f>
        <v>0</v>
      </c>
      <c r="P31" s="112" t="n">
        <f aca="false">D31/P$3</f>
        <v>0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0</v>
      </c>
      <c r="T31" s="114" t="n">
        <f aca="false">L31/$R$3</f>
        <v>0</v>
      </c>
      <c r="U31" s="114" t="n">
        <f aca="false">I31/$R$3</f>
        <v>0</v>
      </c>
      <c r="V31" s="114" t="n">
        <f aca="false">M31/$R$3</f>
        <v>0</v>
      </c>
      <c r="W31" s="114" t="n">
        <f aca="false">N31/$R$3</f>
        <v>0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Data'!$A$2:$B$8,MATCH(WEEKDAY('ARG Gas Transport'!A32,3),'Master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0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0</v>
      </c>
      <c r="N32" s="112" t="n">
        <f aca="false">SUM(J$6:J32)</f>
        <v>0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0</v>
      </c>
      <c r="V32" s="114" t="n">
        <f aca="false">M32/$R$3</f>
        <v>0</v>
      </c>
      <c r="W32" s="114" t="n">
        <f aca="false">N32/$R$3</f>
        <v>0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Data'!$A$2:$B$8,MATCH(WEEKDAY('ARG Gas Transport'!A33,3),'Master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0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0</v>
      </c>
      <c r="N33" s="112" t="n">
        <f aca="false">SUM(J$6:J33)</f>
        <v>0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0</v>
      </c>
      <c r="V33" s="114" t="n">
        <f aca="false">M33/$R$3</f>
        <v>0</v>
      </c>
      <c r="W33" s="114" t="n">
        <f aca="false">N33/$R$3</f>
        <v>0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Data'!$A$2:$B$8,MATCH(WEEKDAY('ARG Gas Transport'!A34,3),'Master Data'!$A$2:$A$8,0),2)</f>
        <v>M</v>
      </c>
      <c r="D34" s="112" t="n">
        <v>0</v>
      </c>
      <c r="E34" s="112" t="n">
        <v>0</v>
      </c>
      <c r="F34" s="112" t="n">
        <v>0</v>
      </c>
      <c r="G34" s="112" t="n">
        <v>0</v>
      </c>
      <c r="I34" s="112" t="n">
        <f aca="false">IF(MONTH($A34)=MONTH($A33),IF(G34=0,I33,G34),0)</f>
        <v>0</v>
      </c>
      <c r="J34" s="112" t="n">
        <f aca="false">IF(MONTH($A34)=MONTH($A33),SUM(I34-I33),I34)</f>
        <v>0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0</v>
      </c>
      <c r="N34" s="112" t="n">
        <f aca="false">SUM(J$6:J34)</f>
        <v>0</v>
      </c>
      <c r="P34" s="112" t="n">
        <f aca="false">D34/P$3</f>
        <v>0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0</v>
      </c>
      <c r="T34" s="114" t="n">
        <f aca="false">L34/$R$3</f>
        <v>0</v>
      </c>
      <c r="U34" s="114" t="n">
        <f aca="false">I34/$R$3</f>
        <v>0</v>
      </c>
      <c r="V34" s="114" t="n">
        <f aca="false">M34/$R$3</f>
        <v>0</v>
      </c>
      <c r="W34" s="114" t="n">
        <f aca="false">N34/$R$3</f>
        <v>0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Data'!$A$2:$B$8,MATCH(WEEKDAY('ARG Gas Transport'!A35,3),'Master Data'!$A$2:$A$8,0),2)</f>
        <v>T</v>
      </c>
      <c r="D35" s="112" t="n">
        <v>0</v>
      </c>
      <c r="E35" s="112" t="n">
        <v>0</v>
      </c>
      <c r="F35" s="112" t="n">
        <v>0</v>
      </c>
      <c r="G35" s="112" t="n">
        <v>0</v>
      </c>
      <c r="I35" s="112" t="n">
        <f aca="false">IF(MONTH($A35)=MONTH($A34),IF(G35=0,I34,G35),0)</f>
        <v>0</v>
      </c>
      <c r="J35" s="112" t="n">
        <f aca="false">IF(MONTH($A35)=MONTH($A34),SUM(I35-I34),I35)</f>
        <v>0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0</v>
      </c>
      <c r="N35" s="112" t="n">
        <f aca="false">SUM(J$6:J35)</f>
        <v>0</v>
      </c>
      <c r="P35" s="112" t="n">
        <f aca="false">D35/P$3</f>
        <v>0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0</v>
      </c>
      <c r="T35" s="114" t="n">
        <f aca="false">L35/$R$3</f>
        <v>0</v>
      </c>
      <c r="U35" s="114" t="n">
        <f aca="false">I35/$R$3</f>
        <v>0</v>
      </c>
      <c r="V35" s="114" t="n">
        <f aca="false">M35/$R$3</f>
        <v>0</v>
      </c>
      <c r="W35" s="114" t="n">
        <f aca="false">N35/$R$3</f>
        <v>0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Data'!$A$2:$B$8,MATCH(WEEKDAY('ARG Gas Transport'!A36,3),'Master Data'!$A$2:$A$8,0),2)</f>
        <v>W</v>
      </c>
      <c r="D36" s="112" t="n">
        <v>0</v>
      </c>
      <c r="E36" s="112" t="n">
        <v>0</v>
      </c>
      <c r="F36" s="112" t="n">
        <v>0</v>
      </c>
      <c r="G36" s="112" t="n">
        <v>-256232</v>
      </c>
      <c r="I36" s="112" t="n">
        <f aca="false">IF(MONTH($A36)=MONTH($A35),IF(G36=0,I35,G36),0)</f>
        <v>-256232</v>
      </c>
      <c r="J36" s="112" t="n">
        <f aca="false">IF(MONTH($A36)=MONTH($A35),SUM(I36-I35),I36)</f>
        <v>-256232</v>
      </c>
      <c r="K36" s="112" t="n">
        <f aca="false">IF(WEEKDAY(A36,3)&gt;4,0,(IF(A36&lt;K$2,0,IF(A36&lt;=K$3,1,0))))</f>
        <v>0</v>
      </c>
      <c r="L36" s="112" t="n">
        <f aca="false">J36*K36</f>
        <v>-0</v>
      </c>
      <c r="M36" s="112" t="n">
        <f aca="false">SUM(J$6:J36)</f>
        <v>-256232</v>
      </c>
      <c r="N36" s="112" t="n">
        <f aca="false">SUM(J$6:J36)</f>
        <v>-256232</v>
      </c>
      <c r="P36" s="112" t="n">
        <f aca="false">D36/P$3</f>
        <v>0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-256.232</v>
      </c>
      <c r="T36" s="114" t="n">
        <f aca="false">L36/$R$3</f>
        <v>-0</v>
      </c>
      <c r="U36" s="114" t="n">
        <f aca="false">I36/$R$3</f>
        <v>-256.232</v>
      </c>
      <c r="V36" s="114" t="n">
        <f aca="false">M36/$R$3</f>
        <v>-256.232</v>
      </c>
      <c r="W36" s="114" t="n">
        <f aca="false">N36/$R$3</f>
        <v>-256.232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Data'!$A$2:$B$8,MATCH(WEEKDAY('ARG Gas Transport'!A37,3),'Master Data'!$A$2:$A$8,0),2)</f>
        <v>Th</v>
      </c>
      <c r="D37" s="112" t="n">
        <v>0</v>
      </c>
      <c r="E37" s="112" t="n">
        <v>0</v>
      </c>
      <c r="F37" s="112" t="n">
        <v>0</v>
      </c>
      <c r="G37" s="112" t="n">
        <v>0</v>
      </c>
      <c r="I37" s="112" t="n">
        <f aca="false">IF(MONTH($A37)=MONTH($A36),IF(G37=0,I36,G37),G37)</f>
        <v>0</v>
      </c>
      <c r="J37" s="112" t="n">
        <f aca="false">IF(MONTH($A37)=MONTH($A36),SUM(I37-I36),I37)</f>
        <v>0</v>
      </c>
      <c r="K37" s="112" t="n">
        <f aca="false">IF(WEEKDAY(A37,3)&gt;4,0,(IF(A37&lt;K$2,0,IF(A37&lt;=K$3,1,0))))</f>
        <v>0</v>
      </c>
      <c r="L37" s="112" t="n">
        <f aca="false">J37*K37</f>
        <v>0</v>
      </c>
      <c r="M37" s="112" t="n">
        <f aca="false">SUM(J$6:J37)</f>
        <v>-256232</v>
      </c>
      <c r="N37" s="112" t="n">
        <f aca="false">SUM(J$6:J37)</f>
        <v>-256232</v>
      </c>
      <c r="P37" s="112" t="n">
        <f aca="false">D37/P$3</f>
        <v>0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0</v>
      </c>
      <c r="T37" s="114" t="n">
        <f aca="false">L37/$R$3</f>
        <v>0</v>
      </c>
      <c r="U37" s="114" t="n">
        <f aca="false">I37/$R$3</f>
        <v>0</v>
      </c>
      <c r="V37" s="114" t="n">
        <f aca="false">M37/$R$3</f>
        <v>-256.232</v>
      </c>
      <c r="W37" s="114" t="n">
        <f aca="false">N37/$R$3</f>
        <v>-256.232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Data'!$A$2:$B$8,MATCH(WEEKDAY('ARG Gas Transport'!A38,3),'Master Data'!$A$2:$A$8,0),2)</f>
        <v>F</v>
      </c>
      <c r="D38" s="112" t="n">
        <v>0</v>
      </c>
      <c r="E38" s="112" t="n">
        <v>0</v>
      </c>
      <c r="F38" s="112" t="n">
        <v>0</v>
      </c>
      <c r="G38" s="112" t="n">
        <v>0</v>
      </c>
      <c r="I38" s="112" t="n">
        <f aca="false">IF(MONTH($A38)=MONTH($A37),IF(G38=0,I37,G38),G38)</f>
        <v>0</v>
      </c>
      <c r="J38" s="112" t="n">
        <f aca="false">IF(MONTH($A38)=MONTH($A37),SUM(I38-I37),I38)</f>
        <v>0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-256232</v>
      </c>
      <c r="N38" s="112" t="n">
        <f aca="false">SUM(J$6:J38)</f>
        <v>-256232</v>
      </c>
      <c r="P38" s="112" t="n">
        <f aca="false">D38/P$3</f>
        <v>0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0</v>
      </c>
      <c r="T38" s="114" t="n">
        <f aca="false">L38/$R$3</f>
        <v>0</v>
      </c>
      <c r="U38" s="114" t="n">
        <f aca="false">I38/$R$3</f>
        <v>0</v>
      </c>
      <c r="V38" s="114" t="n">
        <f aca="false">M38/$R$3</f>
        <v>-256.232</v>
      </c>
      <c r="W38" s="114" t="n">
        <f aca="false">N38/$R$3</f>
        <v>-256.232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Data'!$A$2:$B$8,MATCH(WEEKDAY('ARG Gas Transport'!A39,3),'Master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0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-256232</v>
      </c>
      <c r="N39" s="112" t="n">
        <f aca="false">SUM(J$6:J39)</f>
        <v>-256232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0</v>
      </c>
      <c r="V39" s="114" t="n">
        <f aca="false">M39/$R$3</f>
        <v>-256.232</v>
      </c>
      <c r="W39" s="114" t="n">
        <f aca="false">N39/$R$3</f>
        <v>-256.232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Data'!$A$2:$B$8,MATCH(WEEKDAY('ARG Gas Transport'!A40,3),'Master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0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-256232</v>
      </c>
      <c r="N40" s="112" t="n">
        <f aca="false">SUM(J$6:J40)</f>
        <v>-256232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0</v>
      </c>
      <c r="V40" s="114" t="n">
        <f aca="false">M40/$R$3</f>
        <v>-256.232</v>
      </c>
      <c r="W40" s="114" t="n">
        <f aca="false">N40/$R$3</f>
        <v>-256.232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Data'!$A$2:$B$8,MATCH(WEEKDAY('ARG Gas Transport'!A41,3),'Master Data'!$A$2:$A$8,0),2)</f>
        <v>M</v>
      </c>
      <c r="D41" s="112" t="n">
        <v>0</v>
      </c>
      <c r="E41" s="112" t="n">
        <v>0</v>
      </c>
      <c r="F41" s="112" t="n">
        <v>0</v>
      </c>
      <c r="G41" s="112" t="n">
        <v>0</v>
      </c>
      <c r="I41" s="112" t="n">
        <f aca="false">IF(MONTH($A41)=MONTH($A40),IF(G41=0,I40,G41),G41)</f>
        <v>0</v>
      </c>
      <c r="J41" s="112" t="n">
        <f aca="false">IF(MONTH($A41)=MONTH($A40),SUM(I41-I40),I41)</f>
        <v>0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-256232</v>
      </c>
      <c r="N41" s="112" t="n">
        <f aca="false">SUM(J$6:J41)</f>
        <v>-256232</v>
      </c>
      <c r="P41" s="112" t="n">
        <f aca="false">D41/P$3</f>
        <v>0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0</v>
      </c>
      <c r="T41" s="114" t="n">
        <f aca="false">L41/$R$3</f>
        <v>0</v>
      </c>
      <c r="U41" s="114" t="n">
        <f aca="false">I41/$R$3</f>
        <v>0</v>
      </c>
      <c r="V41" s="114" t="n">
        <f aca="false">M41/$R$3</f>
        <v>-256.232</v>
      </c>
      <c r="W41" s="114" t="n">
        <f aca="false">N41/$R$3</f>
        <v>-256.232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Data'!$A$2:$B$8,MATCH(WEEKDAY('ARG Gas Transport'!A42,3),'Master Data'!$A$2:$A$8,0),2)</f>
        <v>T</v>
      </c>
      <c r="D42" s="112" t="n">
        <v>0</v>
      </c>
      <c r="E42" s="112" t="n">
        <v>0</v>
      </c>
      <c r="F42" s="112" t="n">
        <v>0</v>
      </c>
      <c r="G42" s="112" t="n">
        <v>0</v>
      </c>
      <c r="I42" s="112" t="n">
        <f aca="false">IF(MONTH($A42)=MONTH($A41),IF(G42=0,I41,G42),G42)</f>
        <v>0</v>
      </c>
      <c r="J42" s="112" t="n">
        <f aca="false">IF(MONTH($A42)=MONTH($A41),SUM(I42-I41),I42)</f>
        <v>0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-256232</v>
      </c>
      <c r="N42" s="112" t="n">
        <f aca="false">SUM(J$6:J42)</f>
        <v>-256232</v>
      </c>
      <c r="P42" s="112" t="n">
        <f aca="false">D42/P$3</f>
        <v>0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0</v>
      </c>
      <c r="T42" s="114" t="n">
        <f aca="false">L42/$R$3</f>
        <v>0</v>
      </c>
      <c r="U42" s="114" t="n">
        <f aca="false">I42/$R$3</f>
        <v>0</v>
      </c>
      <c r="V42" s="114" t="n">
        <f aca="false">M42/$R$3</f>
        <v>-256.232</v>
      </c>
      <c r="W42" s="114" t="n">
        <f aca="false">N42/$R$3</f>
        <v>-256.232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Data'!$A$2:$B$8,MATCH(WEEKDAY('ARG Gas Transport'!A43,3),'Master Data'!$A$2:$A$8,0),2)</f>
        <v>W</v>
      </c>
      <c r="D43" s="112" t="n">
        <v>0</v>
      </c>
      <c r="E43" s="112" t="n">
        <v>0</v>
      </c>
      <c r="F43" s="112" t="n">
        <v>0</v>
      </c>
      <c r="G43" s="112" t="n">
        <v>0</v>
      </c>
      <c r="I43" s="112" t="n">
        <f aca="false">IF(MONTH($A43)=MONTH($A42),IF(G43=0,I42,G43),G43)</f>
        <v>0</v>
      </c>
      <c r="J43" s="112" t="n">
        <f aca="false">IF(MONTH($A43)=MONTH($A42),SUM(I43-I42),I43)</f>
        <v>0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-256232</v>
      </c>
      <c r="N43" s="112" t="n">
        <f aca="false">SUM(J$6:J43)</f>
        <v>-256232</v>
      </c>
      <c r="P43" s="112" t="n">
        <f aca="false">D43/P$3</f>
        <v>0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0</v>
      </c>
      <c r="T43" s="114" t="n">
        <f aca="false">L43/$R$3</f>
        <v>0</v>
      </c>
      <c r="U43" s="114" t="n">
        <f aca="false">I43/$R$3</f>
        <v>0</v>
      </c>
      <c r="V43" s="114" t="n">
        <f aca="false">M43/$R$3</f>
        <v>-256.232</v>
      </c>
      <c r="W43" s="114" t="n">
        <f aca="false">N43/$R$3</f>
        <v>-256.232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Data'!$A$2:$B$8,MATCH(WEEKDAY('ARG Gas Transport'!A44,3),'Master Data'!$A$2:$A$8,0),2)</f>
        <v>Th</v>
      </c>
      <c r="D44" s="112" t="n">
        <v>0</v>
      </c>
      <c r="E44" s="112" t="n">
        <v>0</v>
      </c>
      <c r="F44" s="112" t="n">
        <v>0</v>
      </c>
      <c r="G44" s="112" t="n">
        <v>0</v>
      </c>
      <c r="I44" s="112" t="n">
        <f aca="false">IF(MONTH($A44)=MONTH($A43),IF(G44=0,I43,G44),G44)</f>
        <v>0</v>
      </c>
      <c r="J44" s="112" t="n">
        <f aca="false">IF(MONTH($A44)=MONTH($A43),SUM(I44-I43),I44)</f>
        <v>0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-256232</v>
      </c>
      <c r="N44" s="112" t="n">
        <f aca="false">SUM(J$6:J44)</f>
        <v>-256232</v>
      </c>
      <c r="P44" s="112" t="n">
        <f aca="false">D44/P$3</f>
        <v>0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0</v>
      </c>
      <c r="T44" s="114" t="n">
        <f aca="false">L44/$R$3</f>
        <v>0</v>
      </c>
      <c r="U44" s="114" t="n">
        <f aca="false">I44/$R$3</f>
        <v>0</v>
      </c>
      <c r="V44" s="114" t="n">
        <f aca="false">M44/$R$3</f>
        <v>-256.232</v>
      </c>
      <c r="W44" s="114" t="n">
        <f aca="false">N44/$R$3</f>
        <v>-256.232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Data'!$A$2:$B$8,MATCH(WEEKDAY('ARG Gas Transport'!A45,3),'Master Data'!$A$2:$A$8,0),2)</f>
        <v>F</v>
      </c>
      <c r="D45" s="112" t="n">
        <v>0</v>
      </c>
      <c r="E45" s="112" t="n">
        <v>0</v>
      </c>
      <c r="F45" s="112" t="n">
        <v>0</v>
      </c>
      <c r="G45" s="112" t="n">
        <v>0</v>
      </c>
      <c r="I45" s="112" t="n">
        <f aca="false">IF(MONTH($A45)=MONTH($A44),IF(G45=0,I44,G45),G45)</f>
        <v>0</v>
      </c>
      <c r="J45" s="112" t="n">
        <f aca="false">IF(MONTH($A45)=MONTH($A44),SUM(I45-I44),I45)</f>
        <v>0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-256232</v>
      </c>
      <c r="N45" s="112" t="n">
        <f aca="false">SUM(J$6:J45)</f>
        <v>-256232</v>
      </c>
      <c r="P45" s="112" t="n">
        <f aca="false">D45/P$3</f>
        <v>0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0</v>
      </c>
      <c r="T45" s="114" t="n">
        <f aca="false">L45/$R$3</f>
        <v>0</v>
      </c>
      <c r="U45" s="114" t="n">
        <f aca="false">I45/$R$3</f>
        <v>0</v>
      </c>
      <c r="V45" s="114" t="n">
        <f aca="false">M45/$R$3</f>
        <v>-256.232</v>
      </c>
      <c r="W45" s="114" t="n">
        <f aca="false">N45/$R$3</f>
        <v>-256.232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Data'!$A$2:$B$8,MATCH(WEEKDAY('ARG Gas Transport'!A46,3),'Master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0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-256232</v>
      </c>
      <c r="N46" s="112" t="n">
        <f aca="false">SUM(J$6:J46)</f>
        <v>-256232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0</v>
      </c>
      <c r="V46" s="114" t="n">
        <f aca="false">M46/$R$3</f>
        <v>-256.232</v>
      </c>
      <c r="W46" s="114" t="n">
        <f aca="false">N46/$R$3</f>
        <v>-256.232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Data'!$A$2:$B$8,MATCH(WEEKDAY('ARG Gas Transport'!A47,3),'Master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0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-256232</v>
      </c>
      <c r="N47" s="112" t="n">
        <f aca="false">SUM(J$6:J47)</f>
        <v>-256232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0</v>
      </c>
      <c r="V47" s="114" t="n">
        <f aca="false">M47/$R$3</f>
        <v>-256.232</v>
      </c>
      <c r="W47" s="114" t="n">
        <f aca="false">N47/$R$3</f>
        <v>-256.232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Data'!$A$2:$B$8,MATCH(WEEKDAY('ARG Gas Transport'!A48,3),'Master Data'!$A$2:$A$8,0),2)</f>
        <v>M</v>
      </c>
      <c r="D48" s="112" t="n">
        <v>0</v>
      </c>
      <c r="E48" s="112" t="n">
        <v>0</v>
      </c>
      <c r="F48" s="112" t="n">
        <v>0</v>
      </c>
      <c r="G48" s="112" t="n">
        <v>0</v>
      </c>
      <c r="I48" s="112" t="n">
        <f aca="false">IF(MONTH($A48)=MONTH($A47),IF(G48=0,I47,G48),G48)</f>
        <v>0</v>
      </c>
      <c r="J48" s="112" t="n">
        <f aca="false">IF(MONTH($A48)=MONTH($A47),SUM(I48-I47),I48)</f>
        <v>0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-256232</v>
      </c>
      <c r="N48" s="112" t="n">
        <f aca="false">SUM(J$6:J48)</f>
        <v>-256232</v>
      </c>
      <c r="P48" s="112" t="n">
        <f aca="false">D48/P$3</f>
        <v>0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0</v>
      </c>
      <c r="T48" s="114" t="n">
        <f aca="false">L48/$R$3</f>
        <v>0</v>
      </c>
      <c r="U48" s="114" t="n">
        <f aca="false">I48/$R$3</f>
        <v>0</v>
      </c>
      <c r="V48" s="114" t="n">
        <f aca="false">M48/$R$3</f>
        <v>-256.232</v>
      </c>
      <c r="W48" s="114" t="n">
        <f aca="false">N48/$R$3</f>
        <v>-256.232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Data'!$A$2:$B$8,MATCH(WEEKDAY('ARG Gas Transport'!A49,3),'Master Data'!$A$2:$A$8,0),2)</f>
        <v>T</v>
      </c>
      <c r="D49" s="112" t="n">
        <v>0</v>
      </c>
      <c r="E49" s="112" t="n">
        <v>0</v>
      </c>
      <c r="F49" s="112" t="n">
        <v>0</v>
      </c>
      <c r="G49" s="112" t="n">
        <v>0</v>
      </c>
      <c r="I49" s="112" t="n">
        <f aca="false">IF(MONTH($A49)=MONTH($A48),IF(G49=0,I48,G49),G49)</f>
        <v>0</v>
      </c>
      <c r="J49" s="112" t="n">
        <f aca="false">IF(MONTH($A49)=MONTH($A48),SUM(I49-I48),I49)</f>
        <v>0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-256232</v>
      </c>
      <c r="N49" s="112" t="n">
        <f aca="false">SUM(J$6:J49)</f>
        <v>-256232</v>
      </c>
      <c r="P49" s="112" t="n">
        <f aca="false">D49/P$3</f>
        <v>0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0</v>
      </c>
      <c r="T49" s="114" t="n">
        <f aca="false">L49/$R$3</f>
        <v>0</v>
      </c>
      <c r="U49" s="114" t="n">
        <f aca="false">I49/$R$3</f>
        <v>0</v>
      </c>
      <c r="V49" s="114" t="n">
        <f aca="false">M49/$R$3</f>
        <v>-256.232</v>
      </c>
      <c r="W49" s="114" t="n">
        <f aca="false">N49/$R$3</f>
        <v>-256.232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Data'!$A$2:$B$8,MATCH(WEEKDAY('ARG Gas Transport'!A50,3),'Master Data'!$A$2:$A$8,0),2)</f>
        <v>W</v>
      </c>
      <c r="D50" s="112" t="n">
        <v>0</v>
      </c>
      <c r="E50" s="112" t="n">
        <v>0</v>
      </c>
      <c r="F50" s="112" t="n">
        <v>0</v>
      </c>
      <c r="G50" s="112" t="n">
        <v>0</v>
      </c>
      <c r="I50" s="112" t="n">
        <f aca="false">IF(MONTH($A50)=MONTH($A49),IF(G50=0,I49,G50),G50)</f>
        <v>0</v>
      </c>
      <c r="J50" s="112" t="n">
        <f aca="false">IF(MONTH($A50)=MONTH($A49),SUM(I50-I49),I50)</f>
        <v>0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-256232</v>
      </c>
      <c r="N50" s="112" t="n">
        <f aca="false">SUM(J$6:J50)</f>
        <v>-256232</v>
      </c>
      <c r="P50" s="112" t="n">
        <f aca="false">D50/P$3</f>
        <v>0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0</v>
      </c>
      <c r="T50" s="114" t="n">
        <f aca="false">L50/$R$3</f>
        <v>0</v>
      </c>
      <c r="U50" s="114" t="n">
        <f aca="false">I50/$R$3</f>
        <v>0</v>
      </c>
      <c r="V50" s="114" t="n">
        <f aca="false">M50/$R$3</f>
        <v>-256.232</v>
      </c>
      <c r="W50" s="114" t="n">
        <f aca="false">N50/$R$3</f>
        <v>-256.232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Data'!$A$2:$B$8,MATCH(WEEKDAY('ARG Gas Transport'!A51,3),'Master Data'!$A$2:$A$8,0),2)</f>
        <v>Th</v>
      </c>
      <c r="D51" s="112" t="n">
        <v>0</v>
      </c>
      <c r="E51" s="112" t="n">
        <v>0</v>
      </c>
      <c r="F51" s="112" t="n">
        <v>0</v>
      </c>
      <c r="G51" s="112" t="n">
        <v>0</v>
      </c>
      <c r="I51" s="112" t="n">
        <f aca="false">IF(MONTH($A51)=MONTH($A50),IF(G51=0,I50,G51),G51)</f>
        <v>0</v>
      </c>
      <c r="J51" s="112" t="n">
        <f aca="false">IF(MONTH($A51)=MONTH($A50),SUM(I51-I50),I51)</f>
        <v>0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-256232</v>
      </c>
      <c r="N51" s="112" t="n">
        <f aca="false">SUM(J$6:J51)</f>
        <v>-256232</v>
      </c>
      <c r="P51" s="112" t="n">
        <f aca="false">D51/P$3</f>
        <v>0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0</v>
      </c>
      <c r="T51" s="114" t="n">
        <f aca="false">L51/$R$3</f>
        <v>0</v>
      </c>
      <c r="U51" s="114" t="n">
        <f aca="false">I51/$R$3</f>
        <v>0</v>
      </c>
      <c r="V51" s="114" t="n">
        <f aca="false">M51/$R$3</f>
        <v>-256.232</v>
      </c>
      <c r="W51" s="114" t="n">
        <f aca="false">N51/$R$3</f>
        <v>-256.232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Data'!$A$2:$B$8,MATCH(WEEKDAY('ARG Gas Transport'!A52,3),'Master Data'!$A$2:$A$8,0),2)</f>
        <v>F</v>
      </c>
      <c r="D52" s="112" t="n">
        <v>0</v>
      </c>
      <c r="E52" s="112" t="n">
        <v>0</v>
      </c>
      <c r="F52" s="112" t="n">
        <v>0</v>
      </c>
      <c r="G52" s="112" t="n">
        <v>0</v>
      </c>
      <c r="I52" s="112" t="n">
        <f aca="false">IF(MONTH($A52)=MONTH($A51),IF(G52=0,I51,G52),G52)</f>
        <v>0</v>
      </c>
      <c r="J52" s="112" t="n">
        <f aca="false">IF(MONTH($A52)=MONTH($A51),SUM(I52-I51),I52)</f>
        <v>0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-256232</v>
      </c>
      <c r="N52" s="112" t="n">
        <f aca="false">SUM(J$6:J52)</f>
        <v>-256232</v>
      </c>
      <c r="P52" s="112" t="n">
        <f aca="false">D52/P$3</f>
        <v>0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0</v>
      </c>
      <c r="T52" s="114" t="n">
        <f aca="false">L52/$R$3</f>
        <v>0</v>
      </c>
      <c r="U52" s="114" t="n">
        <f aca="false">I52/$R$3</f>
        <v>0</v>
      </c>
      <c r="V52" s="114" t="n">
        <f aca="false">M52/$R$3</f>
        <v>-256.232</v>
      </c>
      <c r="W52" s="114" t="n">
        <f aca="false">N52/$R$3</f>
        <v>-256.232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Data'!$A$2:$B$8,MATCH(WEEKDAY('ARG Gas Transport'!A53,3),'Master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0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-256232</v>
      </c>
      <c r="N53" s="112" t="n">
        <f aca="false">SUM(J$6:J53)</f>
        <v>-256232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0</v>
      </c>
      <c r="V53" s="114" t="n">
        <f aca="false">M53/$R$3</f>
        <v>-256.232</v>
      </c>
      <c r="W53" s="114" t="n">
        <f aca="false">N53/$R$3</f>
        <v>-256.232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Data'!$A$2:$B$8,MATCH(WEEKDAY('ARG Gas Transport'!A54,3),'Master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0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-256232</v>
      </c>
      <c r="N54" s="112" t="n">
        <f aca="false">SUM(J$6:J54)</f>
        <v>-256232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0</v>
      </c>
      <c r="V54" s="114" t="n">
        <f aca="false">M54/$R$3</f>
        <v>-256.232</v>
      </c>
      <c r="W54" s="114" t="n">
        <f aca="false">N54/$R$3</f>
        <v>-256.232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Data'!$A$2:$B$8,MATCH(WEEKDAY('ARG Gas Transport'!A55,3),'Master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0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-256232</v>
      </c>
      <c r="N55" s="112" t="n">
        <f aca="false">SUM(J$6:J55)</f>
        <v>-256232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0</v>
      </c>
      <c r="V55" s="114" t="n">
        <f aca="false">M55/$R$3</f>
        <v>-256.232</v>
      </c>
      <c r="W55" s="114" t="n">
        <f aca="false">N55/$R$3</f>
        <v>-256.232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Data'!$A$2:$B$8,MATCH(WEEKDAY('ARG Gas Transport'!A56,3),'Master Data'!$A$2:$A$8,0),2)</f>
        <v>T</v>
      </c>
      <c r="D56" s="112" t="n">
        <v>0</v>
      </c>
      <c r="E56" s="112" t="n">
        <v>0</v>
      </c>
      <c r="F56" s="112" t="n">
        <v>0</v>
      </c>
      <c r="G56" s="112" t="n">
        <v>0</v>
      </c>
      <c r="I56" s="112" t="n">
        <f aca="false">IF(MONTH($A56)=MONTH($A55),IF(G56=0,I55,G56),G56)</f>
        <v>0</v>
      </c>
      <c r="J56" s="112" t="n">
        <f aca="false">IF(MONTH($A56)=MONTH($A55),SUM(I56-I55),I56)</f>
        <v>0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-256232</v>
      </c>
      <c r="N56" s="112" t="n">
        <f aca="false">SUM(J$6:J56)</f>
        <v>-256232</v>
      </c>
      <c r="P56" s="112" t="n">
        <f aca="false">D56/P$3</f>
        <v>0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0</v>
      </c>
      <c r="T56" s="114" t="n">
        <f aca="false">L56/$R$3</f>
        <v>0</v>
      </c>
      <c r="U56" s="114" t="n">
        <f aca="false">I56/$R$3</f>
        <v>0</v>
      </c>
      <c r="V56" s="114" t="n">
        <f aca="false">M56/$R$3</f>
        <v>-256.232</v>
      </c>
      <c r="W56" s="114" t="n">
        <f aca="false">N56/$R$3</f>
        <v>-256.232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Data'!$A$2:$B$8,MATCH(WEEKDAY('ARG Gas Transport'!A57,3),'Master Data'!$A$2:$A$8,0),2)</f>
        <v>W</v>
      </c>
      <c r="D57" s="112" t="n">
        <v>0</v>
      </c>
      <c r="E57" s="112" t="n">
        <v>0</v>
      </c>
      <c r="F57" s="112" t="n">
        <v>0</v>
      </c>
      <c r="G57" s="112" t="n">
        <v>0</v>
      </c>
      <c r="I57" s="112" t="n">
        <f aca="false">IF(MONTH($A57)=MONTH($A56),IF(G57=0,I56,G57),G57)</f>
        <v>0</v>
      </c>
      <c r="J57" s="112" t="n">
        <f aca="false">IF(MONTH($A57)=MONTH($A56),SUM(I57-I56),I57)</f>
        <v>0</v>
      </c>
      <c r="K57" s="112" t="n">
        <f aca="false">IF(WEEKDAY(A57,3)&gt;4,0,(IF(A57&lt;K$2,0,IF(A57&lt;=K$3,1,0))))</f>
        <v>0</v>
      </c>
      <c r="L57" s="112" t="n">
        <f aca="false">J57*K57</f>
        <v>0</v>
      </c>
      <c r="M57" s="112" t="n">
        <f aca="false">SUM(J$6:J57)</f>
        <v>-256232</v>
      </c>
      <c r="N57" s="112" t="n">
        <f aca="false">SUM(J$6:J57)</f>
        <v>-256232</v>
      </c>
      <c r="P57" s="112" t="n">
        <f aca="false">D57/P$3</f>
        <v>0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0</v>
      </c>
      <c r="T57" s="114" t="n">
        <f aca="false">L57/$R$3</f>
        <v>0</v>
      </c>
      <c r="U57" s="114" t="n">
        <f aca="false">I57/$R$3</f>
        <v>0</v>
      </c>
      <c r="V57" s="114" t="n">
        <f aca="false">M57/$R$3</f>
        <v>-256.232</v>
      </c>
      <c r="W57" s="114" t="n">
        <f aca="false">N57/$R$3</f>
        <v>-256.232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Data'!$A$2:$B$8,MATCH(WEEKDAY('ARG Gas Transport'!A58,3),'Master Data'!$A$2:$A$8,0),2)</f>
        <v>Th</v>
      </c>
      <c r="D58" s="112" t="n">
        <v>0</v>
      </c>
      <c r="E58" s="112" t="n">
        <v>0</v>
      </c>
      <c r="F58" s="112" t="n">
        <v>0</v>
      </c>
      <c r="G58" s="112" t="n">
        <v>0</v>
      </c>
      <c r="I58" s="112" t="n">
        <f aca="false">IF(MONTH($A58)=MONTH($A57),IF(G58=0,I57,G58),G58)</f>
        <v>0</v>
      </c>
      <c r="J58" s="112" t="n">
        <f aca="false">IF(MONTH($A58)=MONTH($A57),SUM(I58-I57),I58)</f>
        <v>0</v>
      </c>
      <c r="K58" s="112" t="n">
        <f aca="false">IF(WEEKDAY(A58,3)&gt;4,0,(IF(A58&lt;K$2,0,IF(A58&lt;=K$3,1,0))))</f>
        <v>0</v>
      </c>
      <c r="L58" s="112" t="n">
        <f aca="false">J58*K58</f>
        <v>0</v>
      </c>
      <c r="M58" s="112" t="n">
        <f aca="false">SUM(J$6:J58)</f>
        <v>-256232</v>
      </c>
      <c r="N58" s="112" t="n">
        <f aca="false">SUM(J$6:J58)</f>
        <v>-256232</v>
      </c>
      <c r="P58" s="112" t="n">
        <f aca="false">D58/P$3</f>
        <v>0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0</v>
      </c>
      <c r="T58" s="114" t="n">
        <f aca="false">L58/$R$3</f>
        <v>0</v>
      </c>
      <c r="U58" s="114" t="n">
        <f aca="false">I58/$R$3</f>
        <v>0</v>
      </c>
      <c r="V58" s="114" t="n">
        <f aca="false">M58/$R$3</f>
        <v>-256.232</v>
      </c>
      <c r="W58" s="114" t="n">
        <f aca="false">N58/$R$3</f>
        <v>-256.232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Data'!$A$2:$B$8,MATCH(WEEKDAY('ARG Gas Transport'!A59,3),'Master Data'!$A$2:$A$8,0),2)</f>
        <v>F</v>
      </c>
      <c r="D59" s="112" t="n">
        <v>0</v>
      </c>
      <c r="E59" s="112" t="n">
        <v>0</v>
      </c>
      <c r="F59" s="112" t="n">
        <v>0</v>
      </c>
      <c r="G59" s="112" t="n">
        <v>0</v>
      </c>
      <c r="I59" s="112" t="n">
        <f aca="false">IF(MONTH($A59)=MONTH($A58),IF(G59=0,I58,G59),G59)</f>
        <v>0</v>
      </c>
      <c r="J59" s="112" t="n">
        <f aca="false">IF(MONTH($A59)=MONTH($A58),SUM(I59-I58),I59)</f>
        <v>0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-256232</v>
      </c>
      <c r="N59" s="112" t="n">
        <f aca="false">SUM(J$6:J59)</f>
        <v>-256232</v>
      </c>
      <c r="P59" s="112" t="n">
        <f aca="false">D59/P$3</f>
        <v>0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0</v>
      </c>
      <c r="T59" s="114" t="n">
        <f aca="false">L59/$R$3</f>
        <v>0</v>
      </c>
      <c r="U59" s="114" t="n">
        <f aca="false">I59/$R$3</f>
        <v>0</v>
      </c>
      <c r="V59" s="114" t="n">
        <f aca="false">M59/$R$3</f>
        <v>-256.232</v>
      </c>
      <c r="W59" s="114" t="n">
        <f aca="false">N59/$R$3</f>
        <v>-256.232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Data'!$A$2:$B$8,MATCH(WEEKDAY('ARG Gas Transport'!A60,3),'Master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0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-256232</v>
      </c>
      <c r="N60" s="112" t="n">
        <f aca="false">SUM(J$6:J60)</f>
        <v>-256232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0</v>
      </c>
      <c r="V60" s="114" t="n">
        <f aca="false">M60/$R$3</f>
        <v>-256.232</v>
      </c>
      <c r="W60" s="114" t="n">
        <f aca="false">N60/$R$3</f>
        <v>-256.232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Data'!$A$2:$B$8,MATCH(WEEKDAY('ARG Gas Transport'!A61,3),'Master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0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-256232</v>
      </c>
      <c r="N61" s="112" t="n">
        <f aca="false">SUM(J$6:J61)</f>
        <v>-256232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0</v>
      </c>
      <c r="V61" s="114" t="n">
        <f aca="false">M61/$R$3</f>
        <v>-256.232</v>
      </c>
      <c r="W61" s="114" t="n">
        <f aca="false">N61/$R$3</f>
        <v>-256.232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Data'!$A$2:$B$8,MATCH(WEEKDAY('ARG Gas Transport'!A62,3),'Master Data'!$A$2:$A$8,0),2)</f>
        <v>M</v>
      </c>
      <c r="D62" s="112" t="n">
        <v>0</v>
      </c>
      <c r="E62" s="112" t="n">
        <v>0</v>
      </c>
      <c r="F62" s="112" t="n">
        <v>0</v>
      </c>
      <c r="G62" s="112" t="n">
        <v>0</v>
      </c>
      <c r="I62" s="112" t="n">
        <f aca="false">IF(MONTH($A62)=MONTH($A61),IF(G62=0,I61,G62),G62)</f>
        <v>0</v>
      </c>
      <c r="J62" s="112" t="n">
        <f aca="false">IF(MONTH($A62)=MONTH($A61),SUM(I62-I61),I62)</f>
        <v>0</v>
      </c>
      <c r="K62" s="112" t="n">
        <f aca="false">IF(WEEKDAY(A62,3)&gt;4,0,(IF(A62&lt;K$2,0,IF(A62&lt;=K$3,1,0))))</f>
        <v>0</v>
      </c>
      <c r="L62" s="112" t="n">
        <f aca="false">J62*K62</f>
        <v>0</v>
      </c>
      <c r="M62" s="112" t="n">
        <f aca="false">SUM(J$6:J62)</f>
        <v>-256232</v>
      </c>
      <c r="N62" s="112" t="n">
        <f aca="false">SUM(J$6:J62)</f>
        <v>-256232</v>
      </c>
      <c r="P62" s="112" t="n">
        <f aca="false">D62/P$3</f>
        <v>0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0</v>
      </c>
      <c r="T62" s="114" t="n">
        <f aca="false">L62/$R$3</f>
        <v>0</v>
      </c>
      <c r="U62" s="114" t="n">
        <f aca="false">I62/$R$3</f>
        <v>0</v>
      </c>
      <c r="V62" s="114" t="n">
        <f aca="false">M62/$R$3</f>
        <v>-256.232</v>
      </c>
      <c r="W62" s="114" t="n">
        <f aca="false">N62/$R$3</f>
        <v>-256.232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Data'!$A$2:$B$8,MATCH(WEEKDAY('ARG Gas Transport'!A63,3),'Master Data'!$A$2:$A$8,0),2)</f>
        <v>T</v>
      </c>
      <c r="D63" s="112" t="n">
        <v>0</v>
      </c>
      <c r="E63" s="112" t="n">
        <v>0</v>
      </c>
      <c r="F63" s="112" t="n">
        <v>0</v>
      </c>
      <c r="G63" s="112" t="n">
        <v>0</v>
      </c>
      <c r="I63" s="112" t="n">
        <f aca="false">IF(MONTH($A63)=MONTH($A62),IF(G63=0,I62,G63),G63)</f>
        <v>0</v>
      </c>
      <c r="J63" s="112" t="n">
        <f aca="false">IF(MONTH($A63)=MONTH($A62),SUM(I63-I62),I63)</f>
        <v>0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-256232</v>
      </c>
      <c r="N63" s="112" t="n">
        <f aca="false">SUM(J$6:J63)</f>
        <v>-256232</v>
      </c>
      <c r="P63" s="112" t="n">
        <f aca="false">D63/P$3</f>
        <v>0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0</v>
      </c>
      <c r="T63" s="114" t="n">
        <f aca="false">L63/$R$3</f>
        <v>0</v>
      </c>
      <c r="U63" s="114" t="n">
        <f aca="false">I63/$R$3</f>
        <v>0</v>
      </c>
      <c r="V63" s="114" t="n">
        <f aca="false">M63/$R$3</f>
        <v>-256.232</v>
      </c>
      <c r="W63" s="114" t="n">
        <f aca="false">N63/$R$3</f>
        <v>-256.232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Data'!$A$2:$B$8,MATCH(WEEKDAY('ARG Gas Transport'!A64,3),'Master Data'!$A$2:$A$8,0),2)</f>
        <v>W</v>
      </c>
      <c r="D64" s="112" t="n">
        <v>0</v>
      </c>
      <c r="E64" s="112" t="n">
        <v>0</v>
      </c>
      <c r="F64" s="112" t="n">
        <v>0</v>
      </c>
      <c r="G64" s="112" t="n">
        <v>-256232</v>
      </c>
      <c r="I64" s="112" t="n">
        <f aca="false">IF(MONTH($A64)=MONTH($A63),IF(G64=0,I63,G64),G64)</f>
        <v>-256232</v>
      </c>
      <c r="J64" s="112" t="n">
        <f aca="false">IF(MONTH($A64)=MONTH($A63),SUM(I64-I63),I64)</f>
        <v>-256232</v>
      </c>
      <c r="K64" s="112" t="n">
        <f aca="false">IF(WEEKDAY(A64,3)&gt;4,0,(IF(A64&lt;K$2,0,IF(A64&lt;=K$3,1,0))))</f>
        <v>0</v>
      </c>
      <c r="L64" s="112" t="n">
        <f aca="false">J64*K64</f>
        <v>-0</v>
      </c>
      <c r="M64" s="112" t="n">
        <f aca="false">SUM(J$6:J64)</f>
        <v>-512464</v>
      </c>
      <c r="N64" s="112" t="n">
        <f aca="false">SUM(J$6:J64)</f>
        <v>-512464</v>
      </c>
      <c r="P64" s="112" t="n">
        <f aca="false">D64/P$3</f>
        <v>0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-256.232</v>
      </c>
      <c r="T64" s="114" t="n">
        <f aca="false">L64/$R$3</f>
        <v>-0</v>
      </c>
      <c r="U64" s="114" t="n">
        <f aca="false">I64/$R$3</f>
        <v>-256.232</v>
      </c>
      <c r="V64" s="114" t="n">
        <f aca="false">M64/$R$3</f>
        <v>-512.464</v>
      </c>
      <c r="W64" s="114" t="n">
        <f aca="false">N64/$R$3</f>
        <v>-512.464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Data'!$A$2:$B$8,MATCH(WEEKDAY('ARG Gas Transport'!A65,3),'Master Data'!$A$2:$A$8,0),2)</f>
        <v>Th</v>
      </c>
      <c r="D65" s="112" t="n">
        <v>0</v>
      </c>
      <c r="E65" s="112" t="n">
        <v>0</v>
      </c>
      <c r="F65" s="112" t="n">
        <v>0</v>
      </c>
      <c r="G65" s="112" t="n">
        <v>0</v>
      </c>
      <c r="I65" s="112" t="n">
        <f aca="false">IF(MONTH($A65)=MONTH($A64),IF(G65=0,I64,G65),G65)</f>
        <v>0</v>
      </c>
      <c r="J65" s="112" t="n">
        <f aca="false">IF(MONTH($A65)=MONTH($A64),SUM(I65-I64),I65)</f>
        <v>0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-512464</v>
      </c>
      <c r="N65" s="112" t="n">
        <f aca="false">SUM(J$6:J65)</f>
        <v>-512464</v>
      </c>
      <c r="P65" s="112" t="n">
        <f aca="false">D65/P$3</f>
        <v>0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0</v>
      </c>
      <c r="T65" s="114" t="n">
        <f aca="false">L65/$R$3</f>
        <v>0</v>
      </c>
      <c r="U65" s="114" t="n">
        <f aca="false">I65/$R$3</f>
        <v>0</v>
      </c>
      <c r="V65" s="114" t="n">
        <f aca="false">M65/$R$3</f>
        <v>-512.464</v>
      </c>
      <c r="W65" s="114" t="n">
        <f aca="false">N65/$R$3</f>
        <v>-512.464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Data'!$A$2:$B$8,MATCH(WEEKDAY('ARG Gas Transport'!A66,3),'Master Data'!$A$2:$A$8,0),2)</f>
        <v>F</v>
      </c>
      <c r="D66" s="112" t="n">
        <v>0</v>
      </c>
      <c r="E66" s="112" t="n">
        <v>0</v>
      </c>
      <c r="F66" s="112" t="n">
        <v>0</v>
      </c>
      <c r="G66" s="112" t="n">
        <v>0</v>
      </c>
      <c r="I66" s="112" t="n">
        <f aca="false">IF(MONTH($A66)=MONTH($A65),IF(G66=0,I65,G66),G66)</f>
        <v>0</v>
      </c>
      <c r="J66" s="112" t="n">
        <f aca="false">IF(MONTH($A66)=MONTH($A65),SUM(I66-I65),I66)</f>
        <v>0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-512464</v>
      </c>
      <c r="N66" s="112" t="n">
        <f aca="false">SUM(J$6:J66)</f>
        <v>-512464</v>
      </c>
      <c r="P66" s="112" t="n">
        <f aca="false">D66/P$3</f>
        <v>0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0</v>
      </c>
      <c r="T66" s="114" t="n">
        <f aca="false">L66/$R$3</f>
        <v>0</v>
      </c>
      <c r="U66" s="114" t="n">
        <f aca="false">I66/$R$3</f>
        <v>0</v>
      </c>
      <c r="V66" s="114" t="n">
        <f aca="false">M66/$R$3</f>
        <v>-512.464</v>
      </c>
      <c r="W66" s="114" t="n">
        <f aca="false">N66/$R$3</f>
        <v>-512.464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Data'!$A$2:$B$8,MATCH(WEEKDAY('ARG Gas Transport'!A67,3),'Master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0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-512464</v>
      </c>
      <c r="N67" s="112" t="n">
        <f aca="false">SUM(J$6:J67)</f>
        <v>-512464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0</v>
      </c>
      <c r="V67" s="114" t="n">
        <f aca="false">M67/$R$3</f>
        <v>-512.464</v>
      </c>
      <c r="W67" s="114" t="n">
        <f aca="false">N67/$R$3</f>
        <v>-512.464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Data'!$A$2:$B$8,MATCH(WEEKDAY('ARG Gas Transport'!A68,3),'Master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0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-512464</v>
      </c>
      <c r="N68" s="112" t="n">
        <f aca="false">SUM(J$6:J68)</f>
        <v>-512464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0</v>
      </c>
      <c r="V68" s="114" t="n">
        <f aca="false">M68/$R$3</f>
        <v>-512.464</v>
      </c>
      <c r="W68" s="114" t="n">
        <f aca="false">N68/$R$3</f>
        <v>-512.464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Data'!$A$2:$B$8,MATCH(WEEKDAY('ARG Gas Transport'!A69,3),'Master Data'!$A$2:$A$8,0),2)</f>
        <v>M</v>
      </c>
      <c r="D69" s="112" t="n">
        <v>0</v>
      </c>
      <c r="E69" s="112" t="n">
        <v>0</v>
      </c>
      <c r="F69" s="112" t="n">
        <v>0</v>
      </c>
      <c r="G69" s="112" t="n">
        <v>0</v>
      </c>
      <c r="I69" s="112" t="n">
        <f aca="false">IF(MONTH($A69)=MONTH($A68),IF(G69=0,I68,G69),G69)</f>
        <v>0</v>
      </c>
      <c r="J69" s="112" t="n">
        <f aca="false">IF(MONTH($A69)=MONTH($A68),SUM(I69-I68),I69)</f>
        <v>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-512464</v>
      </c>
      <c r="N69" s="112" t="n">
        <f aca="false">SUM(J$6:J69)</f>
        <v>-512464</v>
      </c>
      <c r="P69" s="112" t="n">
        <f aca="false">D69/P$3</f>
        <v>0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0</v>
      </c>
      <c r="T69" s="114" t="n">
        <f aca="false">L69/$R$3</f>
        <v>0</v>
      </c>
      <c r="U69" s="114" t="n">
        <f aca="false">I69/$R$3</f>
        <v>0</v>
      </c>
      <c r="V69" s="114" t="n">
        <f aca="false">M69/$R$3</f>
        <v>-512.464</v>
      </c>
      <c r="W69" s="114" t="n">
        <f aca="false">N69/$R$3</f>
        <v>-512.464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Data'!$A$2:$B$8,MATCH(WEEKDAY('ARG Gas Transport'!A70,3),'Master Data'!$A$2:$A$8,0),2)</f>
        <v>T</v>
      </c>
      <c r="D70" s="112" t="n">
        <v>0</v>
      </c>
      <c r="E70" s="112" t="n">
        <v>0</v>
      </c>
      <c r="F70" s="112" t="n">
        <v>0</v>
      </c>
      <c r="G70" s="112" t="n">
        <v>0</v>
      </c>
      <c r="I70" s="112" t="n">
        <f aca="false">IF(MONTH($A70)=MONTH($A69),IF(G70=0,I69,G70),G70)</f>
        <v>0</v>
      </c>
      <c r="J70" s="112" t="n">
        <f aca="false">IF(MONTH($A70)=MONTH($A69),SUM(I70-I69),I70)</f>
        <v>0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-512464</v>
      </c>
      <c r="N70" s="112" t="n">
        <f aca="false">SUM(J$6:J70)</f>
        <v>-512464</v>
      </c>
      <c r="P70" s="112" t="n">
        <f aca="false">D70/P$3</f>
        <v>0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0</v>
      </c>
      <c r="T70" s="114" t="n">
        <f aca="false">L70/$R$3</f>
        <v>0</v>
      </c>
      <c r="U70" s="114" t="n">
        <f aca="false">I70/$R$3</f>
        <v>0</v>
      </c>
      <c r="V70" s="114" t="n">
        <f aca="false">M70/$R$3</f>
        <v>-512.464</v>
      </c>
      <c r="W70" s="114" t="n">
        <f aca="false">N70/$R$3</f>
        <v>-512.464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Data'!$A$2:$B$8,MATCH(WEEKDAY('ARG Gas Transport'!A71,3),'Master Data'!$A$2:$A$8,0),2)</f>
        <v>W</v>
      </c>
      <c r="D71" s="112" t="n">
        <v>0</v>
      </c>
      <c r="E71" s="112" t="n">
        <v>0</v>
      </c>
      <c r="F71" s="112" t="n">
        <v>0</v>
      </c>
      <c r="G71" s="112" t="n">
        <v>0</v>
      </c>
      <c r="I71" s="112" t="n">
        <f aca="false">IF(MONTH($A71)=MONTH($A70),IF(G71=0,I70,G71),G71)</f>
        <v>0</v>
      </c>
      <c r="J71" s="112" t="n">
        <f aca="false">IF(MONTH($A71)=MONTH($A70),SUM(I71-I70),I71)</f>
        <v>0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-512464</v>
      </c>
      <c r="N71" s="112" t="n">
        <f aca="false">SUM(J$6:J71)</f>
        <v>-512464</v>
      </c>
      <c r="P71" s="112" t="n">
        <f aca="false">D71/P$3</f>
        <v>0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</v>
      </c>
      <c r="T71" s="114" t="n">
        <f aca="false">L71/$R$3</f>
        <v>0</v>
      </c>
      <c r="U71" s="114" t="n">
        <f aca="false">I71/$R$3</f>
        <v>0</v>
      </c>
      <c r="V71" s="114" t="n">
        <f aca="false">M71/$R$3</f>
        <v>-512.464</v>
      </c>
      <c r="W71" s="114" t="n">
        <f aca="false">N71/$R$3</f>
        <v>-512.464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Data'!$A$2:$B$8,MATCH(WEEKDAY('ARG Gas Transport'!A72,3),'Master Data'!$A$2:$A$8,0),2)</f>
        <v>Th</v>
      </c>
      <c r="D72" s="112" t="n">
        <v>0</v>
      </c>
      <c r="E72" s="112" t="n">
        <v>0</v>
      </c>
      <c r="F72" s="112" t="n">
        <v>0</v>
      </c>
      <c r="G72" s="112" t="n">
        <v>0</v>
      </c>
      <c r="I72" s="112" t="n">
        <f aca="false">IF(MONTH($A72)=MONTH($A71),IF(G72=0,I71,G72),G72)</f>
        <v>0</v>
      </c>
      <c r="J72" s="112" t="n">
        <f aca="false">IF(MONTH($A72)=MONTH($A71),SUM(I72-I71),I72)</f>
        <v>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-512464</v>
      </c>
      <c r="N72" s="112" t="n">
        <f aca="false">SUM(J$6:J72)</f>
        <v>-512464</v>
      </c>
      <c r="P72" s="112" t="n">
        <f aca="false">D72/P$3</f>
        <v>0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0</v>
      </c>
      <c r="T72" s="114" t="n">
        <f aca="false">L72/$R$3</f>
        <v>0</v>
      </c>
      <c r="U72" s="114" t="n">
        <f aca="false">I72/$R$3</f>
        <v>0</v>
      </c>
      <c r="V72" s="114" t="n">
        <f aca="false">M72/$R$3</f>
        <v>-512.464</v>
      </c>
      <c r="W72" s="114" t="n">
        <f aca="false">N72/$R$3</f>
        <v>-512.464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Data'!$A$2:$B$8,MATCH(WEEKDAY('ARG Gas Transport'!A73,3),'Master Data'!$A$2:$A$8,0),2)</f>
        <v>F</v>
      </c>
      <c r="D73" s="112" t="n">
        <v>0</v>
      </c>
      <c r="E73" s="112" t="n">
        <v>0</v>
      </c>
      <c r="F73" s="112" t="n">
        <v>0</v>
      </c>
      <c r="G73" s="112" t="n">
        <v>0</v>
      </c>
      <c r="I73" s="112" t="n">
        <f aca="false">IF(MONTH($A73)=MONTH($A72),IF(G73=0,I72,G73),G73)</f>
        <v>0</v>
      </c>
      <c r="J73" s="112" t="n">
        <f aca="false">IF(MONTH($A73)=MONTH($A72),SUM(I73-I72),I73)</f>
        <v>0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-512464</v>
      </c>
      <c r="N73" s="112" t="n">
        <f aca="false">SUM(J$6:J73)</f>
        <v>-512464</v>
      </c>
      <c r="P73" s="112" t="n">
        <f aca="false">D73/P$3</f>
        <v>0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0</v>
      </c>
      <c r="T73" s="114" t="n">
        <f aca="false">L73/$R$3</f>
        <v>0</v>
      </c>
      <c r="U73" s="114" t="n">
        <f aca="false">I73/$R$3</f>
        <v>0</v>
      </c>
      <c r="V73" s="114" t="n">
        <f aca="false">M73/$R$3</f>
        <v>-512.464</v>
      </c>
      <c r="W73" s="114" t="n">
        <f aca="false">N73/$R$3</f>
        <v>-512.464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Data'!$A$2:$B$8,MATCH(WEEKDAY('ARG Gas Transport'!A74,3),'Master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0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-512464</v>
      </c>
      <c r="N74" s="112" t="n">
        <f aca="false">SUM(J$6:J74)</f>
        <v>-512464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0</v>
      </c>
      <c r="V74" s="114" t="n">
        <f aca="false">M74/$R$3</f>
        <v>-512.464</v>
      </c>
      <c r="W74" s="114" t="n">
        <f aca="false">N74/$R$3</f>
        <v>-512.464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Data'!$A$2:$B$8,MATCH(WEEKDAY('ARG Gas Transport'!A75,3),'Master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0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-512464</v>
      </c>
      <c r="N75" s="112" t="n">
        <f aca="false">SUM(J$6:J75)</f>
        <v>-512464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0</v>
      </c>
      <c r="V75" s="114" t="n">
        <f aca="false">M75/$R$3</f>
        <v>-512.464</v>
      </c>
      <c r="W75" s="114" t="n">
        <f aca="false">N75/$R$3</f>
        <v>-512.464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Data'!$A$2:$B$8,MATCH(WEEKDAY('ARG Gas Transport'!A76,3),'Master Data'!$A$2:$A$8,0),2)</f>
        <v>M</v>
      </c>
      <c r="D76" s="112" t="n">
        <v>0</v>
      </c>
      <c r="E76" s="112" t="n">
        <v>0</v>
      </c>
      <c r="F76" s="112" t="n">
        <v>0</v>
      </c>
      <c r="G76" s="112" t="n">
        <v>0</v>
      </c>
      <c r="I76" s="112" t="n">
        <f aca="false">IF(MONTH($A76)=MONTH($A75),IF(G76=0,I75,G76),G76)</f>
        <v>0</v>
      </c>
      <c r="J76" s="112" t="n">
        <f aca="false">IF(MONTH($A76)=MONTH($A75),SUM(I76-I75),I76)</f>
        <v>0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-512464</v>
      </c>
      <c r="N76" s="112" t="n">
        <f aca="false">SUM(J$6:J76)</f>
        <v>-512464</v>
      </c>
      <c r="P76" s="112" t="n">
        <f aca="false">D76/P$3</f>
        <v>0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0</v>
      </c>
      <c r="T76" s="114" t="n">
        <f aca="false">L76/$R$3</f>
        <v>0</v>
      </c>
      <c r="U76" s="114" t="n">
        <f aca="false">I76/$R$3</f>
        <v>0</v>
      </c>
      <c r="V76" s="114" t="n">
        <f aca="false">M76/$R$3</f>
        <v>-512.464</v>
      </c>
      <c r="W76" s="114" t="n">
        <f aca="false">N76/$R$3</f>
        <v>-512.464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Data'!$A$2:$B$8,MATCH(WEEKDAY('ARG Gas Transport'!A77,3),'Master Data'!$A$2:$A$8,0),2)</f>
        <v>T</v>
      </c>
      <c r="D77" s="112" t="n">
        <v>0</v>
      </c>
      <c r="E77" s="112" t="n">
        <v>0</v>
      </c>
      <c r="F77" s="112" t="n">
        <v>0</v>
      </c>
      <c r="G77" s="112" t="n">
        <v>0</v>
      </c>
      <c r="I77" s="112" t="n">
        <f aca="false">IF(MONTH($A77)=MONTH($A76),IF(G77=0,I76,G77),G77)</f>
        <v>0</v>
      </c>
      <c r="J77" s="112" t="n">
        <f aca="false">IF(MONTH($A77)=MONTH($A76),SUM(I77-I76),I77)</f>
        <v>0</v>
      </c>
      <c r="K77" s="112" t="n">
        <f aca="false">IF(WEEKDAY(A77,3)&gt;4,0,(IF(A77&lt;K$2,0,IF(A77&lt;=K$3,1,0))))</f>
        <v>0</v>
      </c>
      <c r="L77" s="112" t="n">
        <f aca="false">J77*K77</f>
        <v>0</v>
      </c>
      <c r="M77" s="112" t="n">
        <f aca="false">SUM(J$6:J77)</f>
        <v>-512464</v>
      </c>
      <c r="N77" s="112" t="n">
        <f aca="false">SUM(J$6:J77)</f>
        <v>-512464</v>
      </c>
      <c r="P77" s="112" t="n">
        <f aca="false">D77/P$3</f>
        <v>0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0</v>
      </c>
      <c r="T77" s="114" t="n">
        <f aca="false">L77/$R$3</f>
        <v>0</v>
      </c>
      <c r="U77" s="114" t="n">
        <f aca="false">I77/$R$3</f>
        <v>0</v>
      </c>
      <c r="V77" s="114" t="n">
        <f aca="false">M77/$R$3</f>
        <v>-512.464</v>
      </c>
      <c r="W77" s="114" t="n">
        <f aca="false">N77/$R$3</f>
        <v>-512.464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Data'!$A$2:$B$8,MATCH(WEEKDAY('ARG Gas Transport'!A78,3),'Master Data'!$A$2:$A$8,0),2)</f>
        <v>W</v>
      </c>
      <c r="D78" s="112" t="n">
        <v>0</v>
      </c>
      <c r="E78" s="112" t="n">
        <v>0</v>
      </c>
      <c r="F78" s="112" t="n">
        <v>0</v>
      </c>
      <c r="G78" s="112" t="n">
        <v>0</v>
      </c>
      <c r="I78" s="112" t="n">
        <f aca="false">IF(MONTH($A78)=MONTH($A77),IF(G78=0,I77,G78),G78)</f>
        <v>0</v>
      </c>
      <c r="J78" s="112" t="n">
        <f aca="false">IF(MONTH($A78)=MONTH($A77),SUM(I78-I77),I78)</f>
        <v>0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-512464</v>
      </c>
      <c r="N78" s="112" t="n">
        <f aca="false">SUM(J$6:J78)</f>
        <v>-512464</v>
      </c>
      <c r="P78" s="112" t="n">
        <f aca="false">D78/P$3</f>
        <v>0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0</v>
      </c>
      <c r="T78" s="114" t="n">
        <f aca="false">L78/$R$3</f>
        <v>0</v>
      </c>
      <c r="U78" s="114" t="n">
        <f aca="false">I78/$R$3</f>
        <v>0</v>
      </c>
      <c r="V78" s="114" t="n">
        <f aca="false">M78/$R$3</f>
        <v>-512.464</v>
      </c>
      <c r="W78" s="114" t="n">
        <f aca="false">N78/$R$3</f>
        <v>-512.464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Data'!$A$2:$B$8,MATCH(WEEKDAY('ARG Gas Transport'!A79,3),'Master Data'!$A$2:$A$8,0),2)</f>
        <v>Th</v>
      </c>
      <c r="D79" s="112" t="n">
        <v>0</v>
      </c>
      <c r="E79" s="112" t="n">
        <v>0</v>
      </c>
      <c r="F79" s="112" t="n">
        <v>0</v>
      </c>
      <c r="G79" s="112" t="n">
        <v>0</v>
      </c>
      <c r="I79" s="112" t="n">
        <f aca="false">IF(MONTH($A79)=MONTH($A78),IF(G79=0,I78,G79),G79)</f>
        <v>0</v>
      </c>
      <c r="J79" s="112" t="n">
        <f aca="false">IF(MONTH($A79)=MONTH($A78),SUM(I79-I78),I79)</f>
        <v>0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-512464</v>
      </c>
      <c r="N79" s="112" t="n">
        <f aca="false">SUM(J$6:J79)</f>
        <v>-512464</v>
      </c>
      <c r="P79" s="112" t="n">
        <f aca="false">D79/P$3</f>
        <v>0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</v>
      </c>
      <c r="T79" s="114" t="n">
        <f aca="false">L79/$R$3</f>
        <v>0</v>
      </c>
      <c r="U79" s="114" t="n">
        <f aca="false">I79/$R$3</f>
        <v>0</v>
      </c>
      <c r="V79" s="114" t="n">
        <f aca="false">M79/$R$3</f>
        <v>-512.464</v>
      </c>
      <c r="W79" s="114" t="n">
        <f aca="false">N79/$R$3</f>
        <v>-512.464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Data'!$A$2:$B$8,MATCH(WEEKDAY('ARG Gas Transport'!A80,3),'Master Data'!$A$2:$A$8,0),2)</f>
        <v>F</v>
      </c>
      <c r="D80" s="112" t="n">
        <v>0</v>
      </c>
      <c r="E80" s="112" t="n">
        <v>0</v>
      </c>
      <c r="F80" s="112" t="n">
        <v>0</v>
      </c>
      <c r="G80" s="112" t="n">
        <v>0</v>
      </c>
      <c r="I80" s="112" t="n">
        <f aca="false">IF(MONTH($A80)=MONTH($A79),IF(G80=0,I79,G80),G80)</f>
        <v>0</v>
      </c>
      <c r="J80" s="112" t="n">
        <f aca="false">IF(MONTH($A80)=MONTH($A79),SUM(I80-I79),I80)</f>
        <v>0</v>
      </c>
      <c r="K80" s="112" t="n">
        <f aca="false">IF(WEEKDAY(A80,3)&gt;4,0,(IF(A80&lt;K$2,0,IF(A80&lt;=K$3,1,0))))</f>
        <v>0</v>
      </c>
      <c r="L80" s="112" t="n">
        <f aca="false">J80*K80</f>
        <v>0</v>
      </c>
      <c r="M80" s="112" t="n">
        <f aca="false">SUM(J$6:J80)</f>
        <v>-512464</v>
      </c>
      <c r="N80" s="112" t="n">
        <f aca="false">SUM(J$6:J80)</f>
        <v>-512464</v>
      </c>
      <c r="P80" s="112" t="n">
        <f aca="false">D80/P$3</f>
        <v>0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0</v>
      </c>
      <c r="T80" s="114" t="n">
        <f aca="false">L80/$R$3</f>
        <v>0</v>
      </c>
      <c r="U80" s="114" t="n">
        <f aca="false">I80/$R$3</f>
        <v>0</v>
      </c>
      <c r="V80" s="114" t="n">
        <f aca="false">M80/$R$3</f>
        <v>-512.464</v>
      </c>
      <c r="W80" s="114" t="n">
        <f aca="false">N80/$R$3</f>
        <v>-512.464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Data'!$A$2:$B$8,MATCH(WEEKDAY('ARG Gas Transport'!A81,3),'Master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0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-512464</v>
      </c>
      <c r="N81" s="112" t="n">
        <f aca="false">SUM(J$6:J81)</f>
        <v>-512464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0</v>
      </c>
      <c r="V81" s="114" t="n">
        <f aca="false">M81/$R$3</f>
        <v>-512.464</v>
      </c>
      <c r="W81" s="114" t="n">
        <f aca="false">N81/$R$3</f>
        <v>-512.464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Data'!$A$2:$B$8,MATCH(WEEKDAY('ARG Gas Transport'!A82,3),'Master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0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-512464</v>
      </c>
      <c r="N82" s="112" t="n">
        <f aca="false">SUM(J$6:J82)</f>
        <v>-512464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0</v>
      </c>
      <c r="V82" s="114" t="n">
        <f aca="false">M82/$R$3</f>
        <v>-512.464</v>
      </c>
      <c r="W82" s="114" t="n">
        <f aca="false">N82/$R$3</f>
        <v>-512.464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Data'!$A$2:$B$8,MATCH(WEEKDAY('ARG Gas Transport'!A83,3),'Master Data'!$A$2:$A$8,0),2)</f>
        <v>M</v>
      </c>
      <c r="D83" s="112" t="n">
        <v>0</v>
      </c>
      <c r="E83" s="112" t="n">
        <v>0</v>
      </c>
      <c r="F83" s="112" t="n">
        <v>0</v>
      </c>
      <c r="G83" s="112" t="n">
        <v>0</v>
      </c>
      <c r="I83" s="112" t="n">
        <f aca="false">IF(MONTH($A83)=MONTH($A82),IF(G83=0,I82,G83),G83)</f>
        <v>0</v>
      </c>
      <c r="J83" s="112" t="n">
        <f aca="false">IF(MONTH($A83)=MONTH($A82),SUM(I83-I82),I83)</f>
        <v>0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-512464</v>
      </c>
      <c r="N83" s="112" t="n">
        <f aca="false">SUM(J$6:J83)</f>
        <v>-512464</v>
      </c>
      <c r="P83" s="112" t="n">
        <f aca="false">D83/P$3</f>
        <v>0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0</v>
      </c>
      <c r="T83" s="114" t="n">
        <f aca="false">L83/$R$3</f>
        <v>0</v>
      </c>
      <c r="U83" s="114" t="n">
        <f aca="false">I83/$R$3</f>
        <v>0</v>
      </c>
      <c r="V83" s="114" t="n">
        <f aca="false">M83/$R$3</f>
        <v>-512.464</v>
      </c>
      <c r="W83" s="114" t="n">
        <f aca="false">N83/$R$3</f>
        <v>-512.464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Data'!$A$2:$B$8,MATCH(WEEKDAY('ARG Gas Transport'!A84,3),'Master Data'!$A$2:$A$8,0),2)</f>
        <v>T</v>
      </c>
      <c r="D84" s="112" t="n">
        <v>0</v>
      </c>
      <c r="E84" s="112" t="n">
        <v>0</v>
      </c>
      <c r="F84" s="112" t="n">
        <v>0</v>
      </c>
      <c r="G84" s="112" t="n">
        <v>0</v>
      </c>
      <c r="I84" s="112" t="n">
        <f aca="false">IF(MONTH($A84)=MONTH($A83),IF(G84=0,I83,G84),G84)</f>
        <v>0</v>
      </c>
      <c r="J84" s="112" t="n">
        <f aca="false">IF(MONTH($A84)=MONTH($A83),SUM(I84-I83),I84)</f>
        <v>0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-512464</v>
      </c>
      <c r="N84" s="112" t="n">
        <f aca="false">SUM(J$6:J84)</f>
        <v>-512464</v>
      </c>
      <c r="P84" s="112" t="n">
        <f aca="false">D84/P$3</f>
        <v>0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0</v>
      </c>
      <c r="T84" s="114" t="n">
        <f aca="false">L84/$R$3</f>
        <v>0</v>
      </c>
      <c r="U84" s="114" t="n">
        <f aca="false">I84/$R$3</f>
        <v>0</v>
      </c>
      <c r="V84" s="114" t="n">
        <f aca="false">M84/$R$3</f>
        <v>-512.464</v>
      </c>
      <c r="W84" s="114" t="n">
        <f aca="false">N84/$R$3</f>
        <v>-512.464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Data'!$A$2:$B$8,MATCH(WEEKDAY('ARG Gas Transport'!A85,3),'Master Data'!$A$2:$A$8,0),2)</f>
        <v>W</v>
      </c>
      <c r="D85" s="112" t="n">
        <v>0</v>
      </c>
      <c r="E85" s="112" t="n">
        <v>0</v>
      </c>
      <c r="F85" s="112" t="n">
        <v>0</v>
      </c>
      <c r="G85" s="112" t="n">
        <v>0</v>
      </c>
      <c r="I85" s="112" t="n">
        <f aca="false">IF(MONTH($A85)=MONTH($A84),IF(G85=0,I84,G85),G85)</f>
        <v>0</v>
      </c>
      <c r="J85" s="112" t="n">
        <f aca="false">IF(MONTH($A85)=MONTH($A84),SUM(I85-I84),I85)</f>
        <v>0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-512464</v>
      </c>
      <c r="N85" s="112" t="n">
        <f aca="false">SUM(J$6:J85)</f>
        <v>-512464</v>
      </c>
      <c r="P85" s="112" t="n">
        <f aca="false">D85/P$3</f>
        <v>0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</v>
      </c>
      <c r="T85" s="114" t="n">
        <f aca="false">L85/$R$3</f>
        <v>0</v>
      </c>
      <c r="U85" s="114" t="n">
        <f aca="false">I85/$R$3</f>
        <v>0</v>
      </c>
      <c r="V85" s="114" t="n">
        <f aca="false">M85/$R$3</f>
        <v>-512.464</v>
      </c>
      <c r="W85" s="114" t="n">
        <f aca="false">N85/$R$3</f>
        <v>-512.464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Data'!$A$2:$B$8,MATCH(WEEKDAY('ARG Gas Transport'!A86,3),'Master Data'!$A$2:$A$8,0),2)</f>
        <v>Th</v>
      </c>
      <c r="D86" s="112" t="n">
        <v>0</v>
      </c>
      <c r="E86" s="112" t="n">
        <v>0</v>
      </c>
      <c r="F86" s="112" t="n">
        <v>0</v>
      </c>
      <c r="G86" s="112" t="n">
        <v>0</v>
      </c>
      <c r="I86" s="112" t="n">
        <f aca="false">IF(MONTH($A86)=MONTH($A85),IF(G86=0,I85,G86),G86)</f>
        <v>0</v>
      </c>
      <c r="J86" s="112" t="n">
        <f aca="false">IF(MONTH($A86)=MONTH($A85),SUM(I86-I85),I86)</f>
        <v>0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-512464</v>
      </c>
      <c r="N86" s="112" t="n">
        <f aca="false">SUM(J$6:J86)</f>
        <v>-512464</v>
      </c>
      <c r="P86" s="112" t="n">
        <f aca="false">D86/P$3</f>
        <v>0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0</v>
      </c>
      <c r="T86" s="114" t="n">
        <f aca="false">L86/$R$3</f>
        <v>0</v>
      </c>
      <c r="U86" s="114" t="n">
        <f aca="false">I86/$R$3</f>
        <v>0</v>
      </c>
      <c r="V86" s="114" t="n">
        <f aca="false">M86/$R$3</f>
        <v>-512.464</v>
      </c>
      <c r="W86" s="114" t="n">
        <f aca="false">N86/$R$3</f>
        <v>-512.464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Data'!$A$2:$B$8,MATCH(WEEKDAY('ARG Gas Transport'!A87,3),'Master Data'!$A$2:$A$8,0),2)</f>
        <v>F</v>
      </c>
      <c r="D87" s="112" t="n">
        <v>0</v>
      </c>
      <c r="E87" s="112" t="n">
        <v>0</v>
      </c>
      <c r="F87" s="112" t="n">
        <v>0</v>
      </c>
      <c r="G87" s="112" t="n">
        <v>0</v>
      </c>
      <c r="I87" s="112" t="n">
        <f aca="false">IF(MONTH($A87)=MONTH($A86),IF(G87=0,I86,G87),G87)</f>
        <v>0</v>
      </c>
      <c r="J87" s="112" t="n">
        <f aca="false">IF(MONTH($A87)=MONTH($A86),SUM(I87-I86),I87)</f>
        <v>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-512464</v>
      </c>
      <c r="N87" s="112" t="n">
        <f aca="false">SUM(J$6:J87)</f>
        <v>-512464</v>
      </c>
      <c r="P87" s="112" t="n">
        <f aca="false">D87/P$3</f>
        <v>0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</v>
      </c>
      <c r="T87" s="114" t="n">
        <f aca="false">L87/$R$3</f>
        <v>0</v>
      </c>
      <c r="U87" s="114" t="n">
        <f aca="false">I87/$R$3</f>
        <v>0</v>
      </c>
      <c r="V87" s="114" t="n">
        <f aca="false">M87/$R$3</f>
        <v>-512.464</v>
      </c>
      <c r="W87" s="114" t="n">
        <f aca="false">N87/$R$3</f>
        <v>-512.464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Data'!$A$2:$B$8,MATCH(WEEKDAY('ARG Gas Transport'!A88,3),'Master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0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-512464</v>
      </c>
      <c r="N88" s="112" t="n">
        <f aca="false">SUM(J$6:J88)</f>
        <v>-512464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0</v>
      </c>
      <c r="V88" s="114" t="n">
        <f aca="false">M88/$R$3</f>
        <v>-512.464</v>
      </c>
      <c r="W88" s="114" t="n">
        <f aca="false">N88/$R$3</f>
        <v>-512.464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Data'!$A$2:$B$8,MATCH(WEEKDAY('ARG Gas Transport'!A89,3),'Master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0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-512464</v>
      </c>
      <c r="N89" s="112" t="n">
        <f aca="false">SUM(J$6:J89)</f>
        <v>-512464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0</v>
      </c>
      <c r="V89" s="114" t="n">
        <f aca="false">M89/$R$3</f>
        <v>-512.464</v>
      </c>
      <c r="W89" s="114" t="n">
        <f aca="false">N89/$R$3</f>
        <v>-512.464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Data'!$A$2:$B$8,MATCH(WEEKDAY('ARG Gas Transport'!A90,3),'Master Data'!$A$2:$A$8,0),2)</f>
        <v>M</v>
      </c>
      <c r="D90" s="112" t="n">
        <v>0</v>
      </c>
      <c r="E90" s="112" t="n">
        <v>0</v>
      </c>
      <c r="F90" s="112" t="n">
        <v>0</v>
      </c>
      <c r="G90" s="112" t="n">
        <v>0</v>
      </c>
      <c r="I90" s="112" t="n">
        <f aca="false">IF(MONTH($A90)=MONTH($A89),IF(G90=0,I89,G90),G90)</f>
        <v>0</v>
      </c>
      <c r="J90" s="112" t="n">
        <f aca="false">IF(MONTH($A90)=MONTH($A89),SUM(I90-I89),I90)</f>
        <v>0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-512464</v>
      </c>
      <c r="N90" s="112" t="n">
        <f aca="false">SUM(J$6:J90)</f>
        <v>-512464</v>
      </c>
      <c r="P90" s="112" t="n">
        <f aca="false">D90/P$3</f>
        <v>0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</v>
      </c>
      <c r="T90" s="114" t="n">
        <f aca="false">L90/$R$3</f>
        <v>0</v>
      </c>
      <c r="U90" s="114" t="n">
        <f aca="false">I90/$R$3</f>
        <v>0</v>
      </c>
      <c r="V90" s="114" t="n">
        <f aca="false">M90/$R$3</f>
        <v>-512.464</v>
      </c>
      <c r="W90" s="114" t="n">
        <f aca="false">N90/$R$3</f>
        <v>-512.464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Data'!$A$2:$B$8,MATCH(WEEKDAY('ARG Gas Transport'!A91,3),'Master Data'!$A$2:$A$8,0),2)</f>
        <v>T</v>
      </c>
      <c r="D91" s="112" t="n">
        <v>0</v>
      </c>
      <c r="E91" s="112" t="n">
        <v>0</v>
      </c>
      <c r="F91" s="112" t="n">
        <v>0</v>
      </c>
      <c r="G91" s="112" t="n">
        <v>0</v>
      </c>
      <c r="I91" s="112" t="n">
        <f aca="false">IF(MONTH($A91)=MONTH($A90),IF(G91=0,I90,G91),G91)</f>
        <v>0</v>
      </c>
      <c r="J91" s="112" t="n">
        <f aca="false">IF(MONTH($A91)=MONTH($A90),SUM(I91-I90),I91)</f>
        <v>0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-512464</v>
      </c>
      <c r="N91" s="112" t="n">
        <f aca="false">SUM(J$6:J91)</f>
        <v>-512464</v>
      </c>
      <c r="P91" s="112" t="n">
        <f aca="false">D91/P$3</f>
        <v>0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0</v>
      </c>
      <c r="T91" s="114" t="n">
        <f aca="false">L91/$R$3</f>
        <v>0</v>
      </c>
      <c r="U91" s="114" t="n">
        <f aca="false">I91/$R$3</f>
        <v>0</v>
      </c>
      <c r="V91" s="114" t="n">
        <f aca="false">M91/$R$3</f>
        <v>-512.464</v>
      </c>
      <c r="W91" s="114" t="n">
        <f aca="false">N91/$R$3</f>
        <v>-512.464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Data'!$A$2:$B$8,MATCH(WEEKDAY('ARG Gas Transport'!A92,3),'Master Data'!$A$2:$A$8,0),2)</f>
        <v>W</v>
      </c>
      <c r="D92" s="112" t="n">
        <v>0</v>
      </c>
      <c r="E92" s="112" t="n">
        <v>0</v>
      </c>
      <c r="F92" s="112" t="n">
        <v>0</v>
      </c>
      <c r="G92" s="112" t="n">
        <v>0</v>
      </c>
      <c r="I92" s="112" t="n">
        <f aca="false">IF(MONTH($A92)=MONTH($A91),IF(G92=0,I91,G92),G92)</f>
        <v>0</v>
      </c>
      <c r="J92" s="112" t="n">
        <f aca="false">IF(MONTH($A92)=MONTH($A91),SUM(I92-I91),I92)</f>
        <v>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-512464</v>
      </c>
      <c r="N92" s="112" t="n">
        <f aca="false">SUM(J$6:J92)</f>
        <v>-512464</v>
      </c>
      <c r="P92" s="112" t="n">
        <f aca="false">D92/P$3</f>
        <v>0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0</v>
      </c>
      <c r="T92" s="114" t="n">
        <f aca="false">L92/$R$3</f>
        <v>0</v>
      </c>
      <c r="U92" s="114" t="n">
        <f aca="false">I92/$R$3</f>
        <v>0</v>
      </c>
      <c r="V92" s="114" t="n">
        <f aca="false">M92/$R$3</f>
        <v>-512.464</v>
      </c>
      <c r="W92" s="114" t="n">
        <f aca="false">N92/$R$3</f>
        <v>-512.464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Data'!$A$2:$B$8,MATCH(WEEKDAY('ARG Gas Transport'!A93,3),'Master Data'!$A$2:$A$8,0),2)</f>
        <v>Th</v>
      </c>
      <c r="D93" s="112" t="n">
        <v>0</v>
      </c>
      <c r="E93" s="112" t="n">
        <v>0</v>
      </c>
      <c r="F93" s="112" t="n">
        <v>0</v>
      </c>
      <c r="G93" s="112" t="n">
        <v>0</v>
      </c>
      <c r="I93" s="112" t="n">
        <f aca="false">IF(MONTH($A93)=MONTH($A92),IF(G93=0,I92,G93),G93)</f>
        <v>0</v>
      </c>
      <c r="J93" s="112" t="n">
        <f aca="false">IF(MONTH($A93)=MONTH($A92),SUM(I93-I92),I93)</f>
        <v>0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-512464</v>
      </c>
      <c r="N93" s="112" t="n">
        <f aca="false">SUM(J$6:J93)</f>
        <v>-512464</v>
      </c>
      <c r="P93" s="112" t="n">
        <f aca="false">D93/P$3</f>
        <v>0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</v>
      </c>
      <c r="T93" s="114" t="n">
        <f aca="false">L93/$R$3</f>
        <v>0</v>
      </c>
      <c r="U93" s="114" t="n">
        <f aca="false">I93/$R$3</f>
        <v>0</v>
      </c>
      <c r="V93" s="114" t="n">
        <f aca="false">M93/$R$3</f>
        <v>-512.464</v>
      </c>
      <c r="W93" s="114" t="n">
        <f aca="false">N93/$R$3</f>
        <v>-512.464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Data'!$A$2:$B$8,MATCH(WEEKDAY('ARG Gas Transport'!A94,3),'Master Data'!$A$2:$A$8,0),2)</f>
        <v>F</v>
      </c>
      <c r="D94" s="112" t="n">
        <v>0</v>
      </c>
      <c r="E94" s="112" t="n">
        <v>0</v>
      </c>
      <c r="F94" s="112" t="n">
        <v>0</v>
      </c>
      <c r="G94" s="112" t="n">
        <v>-256232</v>
      </c>
      <c r="I94" s="112" t="n">
        <f aca="false">IF(MONTH($A94)=MONTH($A93),IF(G94=0,I93,G94),G94)</f>
        <v>-256232</v>
      </c>
      <c r="J94" s="112" t="n">
        <f aca="false">IF(MONTH($A94)=MONTH($A93),SUM(I94-I93),I94)</f>
        <v>-256232</v>
      </c>
      <c r="K94" s="112" t="n">
        <f aca="false">IF(WEEKDAY(A94,3)&gt;4,0,(IF(A94&lt;K$2,0,IF(A94&lt;=K$3,1,0))))</f>
        <v>0</v>
      </c>
      <c r="L94" s="112" t="n">
        <f aca="false">J94*K94</f>
        <v>-0</v>
      </c>
      <c r="M94" s="112" t="n">
        <f aca="false">SUM(J$6:J94)</f>
        <v>-768696</v>
      </c>
      <c r="N94" s="112" t="n">
        <f aca="false">SUM(J$6:J94)</f>
        <v>-768696</v>
      </c>
      <c r="P94" s="112" t="n">
        <f aca="false">D94/P$3</f>
        <v>0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-256.232</v>
      </c>
      <c r="T94" s="114" t="n">
        <f aca="false">L94/$R$3</f>
        <v>-0</v>
      </c>
      <c r="U94" s="114" t="n">
        <f aca="false">I94/$R$3</f>
        <v>-256.232</v>
      </c>
      <c r="V94" s="114" t="n">
        <f aca="false">M94/$R$3</f>
        <v>-768.696</v>
      </c>
      <c r="W94" s="114" t="n">
        <f aca="false">N94/$R$3</f>
        <v>-768.696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Data'!$A$2:$B$8,MATCH(WEEKDAY('ARG Gas Transport'!A95,3),'Master Data'!$A$2:$A$8,0),2)</f>
        <v>Sa</v>
      </c>
      <c r="D95" s="112" t="n">
        <v>0</v>
      </c>
      <c r="E95" s="112" t="n">
        <v>0</v>
      </c>
      <c r="F95" s="112" t="n">
        <v>0</v>
      </c>
      <c r="G95" s="109" t="n">
        <v>0</v>
      </c>
      <c r="I95" s="112" t="n">
        <f aca="false">IF(MONTH($A95)=MONTH($A94),IF(G95=0,I94,G95),G95)</f>
        <v>-256232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-768696</v>
      </c>
      <c r="N95" s="112" t="n">
        <f aca="false">SUM(J$6:J95)</f>
        <v>-768696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-256.232</v>
      </c>
      <c r="V95" s="114" t="n">
        <f aca="false">M95/$R$3</f>
        <v>-768.696</v>
      </c>
      <c r="W95" s="114" t="n">
        <f aca="false">N95/$R$3</f>
        <v>-768.696</v>
      </c>
    </row>
    <row r="96" customFormat="false" ht="13.5" hidden="true" customHeight="true" outlineLevel="0" collapsed="false">
      <c r="A96" s="108" t="n">
        <f aca="false">A95+1</f>
        <v>36982</v>
      </c>
      <c r="B96" s="119" t="str">
        <f aca="false">INDEX('Master Data'!$A$2:$B$8,MATCH(WEEKDAY('ARG Gas Transport'!A96,3),'Master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-768696</v>
      </c>
      <c r="N96" s="112" t="n">
        <f aca="false">SUM(J$6:J96)</f>
        <v>-768696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-768.696</v>
      </c>
      <c r="W96" s="114" t="n">
        <f aca="false">N96/$R$3</f>
        <v>-768.696</v>
      </c>
    </row>
    <row r="97" customFormat="false" ht="13.5" hidden="true" customHeight="true" outlineLevel="0" collapsed="false">
      <c r="A97" s="108" t="n">
        <f aca="false">A96+1</f>
        <v>36983</v>
      </c>
      <c r="B97" s="119" t="str">
        <f aca="false">INDEX('Master Data'!$A$2:$B$8,MATCH(WEEKDAY('ARG Gas Transport'!A97,3),'Master Data'!$A$2:$A$8,0),2)</f>
        <v>M</v>
      </c>
      <c r="D97" s="112" t="n">
        <v>0</v>
      </c>
      <c r="E97" s="112" t="n">
        <v>0</v>
      </c>
      <c r="F97" s="112" t="n">
        <v>0</v>
      </c>
      <c r="G97" s="112" t="n">
        <v>0</v>
      </c>
      <c r="I97" s="112" t="n">
        <f aca="false">IF(MONTH($A97)=MONTH($A96),IF(G97=0,I96,G97),G97)</f>
        <v>0</v>
      </c>
      <c r="J97" s="112" t="n">
        <f aca="false">IF(MONTH($A97)=MONTH($A96),SUM(I97-I96),I97)</f>
        <v>0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0</v>
      </c>
      <c r="N97" s="112" t="n">
        <f aca="false">SUM(J$6:J97)</f>
        <v>-768696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0</v>
      </c>
      <c r="T97" s="114" t="n">
        <f aca="false">L97/$R$3</f>
        <v>0</v>
      </c>
      <c r="U97" s="114" t="n">
        <f aca="false">I97/$R$3</f>
        <v>0</v>
      </c>
      <c r="V97" s="114" t="n">
        <f aca="false">M97/$R$3</f>
        <v>0</v>
      </c>
      <c r="W97" s="114" t="n">
        <f aca="false">N97/$R$3</f>
        <v>-768.696</v>
      </c>
    </row>
    <row r="98" customFormat="false" ht="13.5" hidden="true" customHeight="true" outlineLevel="0" collapsed="false">
      <c r="A98" s="108" t="n">
        <f aca="false">A97+1</f>
        <v>36984</v>
      </c>
      <c r="B98" s="119" t="str">
        <f aca="false">INDEX('Master Data'!$A$2:$B$8,MATCH(WEEKDAY('ARG Gas Transport'!A98,3),'Master Data'!$A$2:$A$8,0),2)</f>
        <v>T</v>
      </c>
      <c r="D98" s="112" t="n">
        <v>0</v>
      </c>
      <c r="E98" s="112" t="n">
        <v>0</v>
      </c>
      <c r="F98" s="112" t="n">
        <v>0</v>
      </c>
      <c r="G98" s="112" t="n">
        <v>-716070</v>
      </c>
      <c r="I98" s="112" t="n">
        <f aca="false">IF(MONTH($A98)=MONTH($A97),IF(G98=0,I97,G98),G98)</f>
        <v>-716070</v>
      </c>
      <c r="J98" s="112" t="n">
        <f aca="false">IF(MONTH($A98)=MONTH($A97),SUM(I98-I97),I98)</f>
        <v>-716070</v>
      </c>
      <c r="K98" s="112" t="n">
        <f aca="false">IF(WEEKDAY(A98,3)&gt;4,0,(IF(A98&lt;K$2,0,IF(A98&lt;=K$3,1,0))))</f>
        <v>0</v>
      </c>
      <c r="L98" s="112" t="n">
        <f aca="false">J98*K98</f>
        <v>-0</v>
      </c>
      <c r="M98" s="112" t="n">
        <f aca="false">SUM(J$97:J98)</f>
        <v>-716070</v>
      </c>
      <c r="N98" s="112" t="n">
        <f aca="false">SUM(J$6:J98)</f>
        <v>-1484766</v>
      </c>
      <c r="P98" s="112" t="n">
        <f aca="false">D98/P$3</f>
        <v>0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-716.07</v>
      </c>
      <c r="T98" s="114" t="n">
        <f aca="false">L98/$R$3</f>
        <v>-0</v>
      </c>
      <c r="U98" s="114" t="n">
        <f aca="false">I98/$R$3</f>
        <v>-716.07</v>
      </c>
      <c r="V98" s="114" t="n">
        <f aca="false">M98/$R$3</f>
        <v>-716.07</v>
      </c>
      <c r="W98" s="114" t="n">
        <f aca="false">N98/$R$3</f>
        <v>-1484.766</v>
      </c>
    </row>
    <row r="99" customFormat="false" ht="13.5" hidden="true" customHeight="true" outlineLevel="0" collapsed="false">
      <c r="A99" s="108" t="n">
        <f aca="false">A98+1</f>
        <v>36985</v>
      </c>
      <c r="B99" s="119" t="str">
        <f aca="false">INDEX('Master Data'!$A$2:$B$8,MATCH(WEEKDAY('ARG Gas Transport'!A99,3),'Master Data'!$A$2:$A$8,0),2)</f>
        <v>W</v>
      </c>
      <c r="D99" s="112" t="n">
        <v>0</v>
      </c>
      <c r="E99" s="112" t="n">
        <v>0</v>
      </c>
      <c r="F99" s="112" t="n">
        <v>0</v>
      </c>
      <c r="G99" s="112" t="n">
        <v>-716070</v>
      </c>
      <c r="I99" s="112" t="n">
        <f aca="false">IF(MONTH($A99)=MONTH($A98),IF(G99=0,I98,G99),G99)</f>
        <v>-716070</v>
      </c>
      <c r="J99" s="112" t="n">
        <f aca="false">IF(MONTH($A99)=MONTH($A98),SUM(I99-I98),I99)</f>
        <v>0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-716070</v>
      </c>
      <c r="N99" s="112" t="n">
        <f aca="false">SUM(J$6:J99)</f>
        <v>-1484766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0</v>
      </c>
      <c r="T99" s="114" t="n">
        <f aca="false">L99/$R$3</f>
        <v>0</v>
      </c>
      <c r="U99" s="114" t="n">
        <f aca="false">I99/$R$3</f>
        <v>-716.07</v>
      </c>
      <c r="V99" s="114" t="n">
        <f aca="false">M99/$R$3</f>
        <v>-716.07</v>
      </c>
      <c r="W99" s="114" t="n">
        <f aca="false">N99/$R$3</f>
        <v>-1484.766</v>
      </c>
    </row>
    <row r="100" customFormat="false" ht="13.5" hidden="true" customHeight="true" outlineLevel="0" collapsed="false">
      <c r="A100" s="108" t="n">
        <f aca="false">A99+1</f>
        <v>36986</v>
      </c>
      <c r="B100" s="119" t="str">
        <f aca="false">INDEX('Master Data'!$A$2:$B$8,MATCH(WEEKDAY('ARG Gas Transport'!A100,3),'Master Data'!$A$2:$A$8,0),2)</f>
        <v>Th</v>
      </c>
      <c r="D100" s="112" t="n">
        <v>0</v>
      </c>
      <c r="E100" s="112" t="n">
        <v>0</v>
      </c>
      <c r="F100" s="112" t="n">
        <v>0</v>
      </c>
      <c r="G100" s="112" t="n">
        <v>-716069</v>
      </c>
      <c r="I100" s="112" t="n">
        <f aca="false">IF(MONTH($A100)=MONTH($A99),IF(G100=0,I99,G100),G100)</f>
        <v>-716069</v>
      </c>
      <c r="J100" s="112" t="n">
        <f aca="false">IF(MONTH($A100)=MONTH($A99),SUM(I100-I99),I100)</f>
        <v>1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-716069</v>
      </c>
      <c r="N100" s="112" t="n">
        <f aca="false">SUM(J$6:J100)</f>
        <v>-1484765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0.001</v>
      </c>
      <c r="T100" s="114" t="n">
        <f aca="false">L100/$R$3</f>
        <v>0</v>
      </c>
      <c r="U100" s="114" t="n">
        <f aca="false">I100/$R$3</f>
        <v>-716.069</v>
      </c>
      <c r="V100" s="114" t="n">
        <f aca="false">M100/$R$3</f>
        <v>-716.069</v>
      </c>
      <c r="W100" s="114" t="n">
        <f aca="false">N100/$R$3</f>
        <v>-1484.765</v>
      </c>
    </row>
    <row r="101" customFormat="false" ht="13.5" hidden="true" customHeight="true" outlineLevel="0" collapsed="false">
      <c r="A101" s="108" t="n">
        <f aca="false">A100+1</f>
        <v>36987</v>
      </c>
      <c r="B101" s="119" t="str">
        <f aca="false">INDEX('Master Data'!$A$2:$B$8,MATCH(WEEKDAY('ARG Gas Transport'!A101,3),'Master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-716065</v>
      </c>
      <c r="I101" s="112" t="n">
        <f aca="false">IF(MONTH($A101)=MONTH($A100),IF(G101=0,I100,G101),G101)</f>
        <v>-716065</v>
      </c>
      <c r="J101" s="112" t="n">
        <f aca="false">IF(MONTH($A101)=MONTH($A100),SUM(I101-I100),I101)</f>
        <v>4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-716065</v>
      </c>
      <c r="N101" s="112" t="n">
        <f aca="false">SUM(J$6:J101)</f>
        <v>-1484761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0.004</v>
      </c>
      <c r="T101" s="114" t="n">
        <f aca="false">L101/$R$3</f>
        <v>0</v>
      </c>
      <c r="U101" s="114" t="n">
        <f aca="false">I101/$R$3</f>
        <v>-716.065</v>
      </c>
      <c r="V101" s="114" t="n">
        <f aca="false">M101/$R$3</f>
        <v>-716.065</v>
      </c>
      <c r="W101" s="114" t="n">
        <f aca="false">N101/$R$3</f>
        <v>-1484.761</v>
      </c>
    </row>
    <row r="102" customFormat="false" ht="13.5" hidden="true" customHeight="true" outlineLevel="0" collapsed="false">
      <c r="A102" s="108" t="n">
        <f aca="false">A101+1</f>
        <v>36988</v>
      </c>
      <c r="B102" s="119" t="str">
        <f aca="false">INDEX('Master Data'!$A$2:$B$8,MATCH(WEEKDAY('ARG Gas Transport'!A102,3),'Master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-716065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-716065</v>
      </c>
      <c r="N102" s="112" t="n">
        <f aca="false">SUM(J$6:J102)</f>
        <v>-1484761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-716.065</v>
      </c>
      <c r="V102" s="114" t="n">
        <f aca="false">M102/$R$3</f>
        <v>-716.065</v>
      </c>
      <c r="W102" s="114" t="n">
        <f aca="false">N102/$R$3</f>
        <v>-1484.761</v>
      </c>
    </row>
    <row r="103" customFormat="false" ht="13.5" hidden="true" customHeight="true" outlineLevel="0" collapsed="false">
      <c r="A103" s="108" t="n">
        <f aca="false">A102+1</f>
        <v>36989</v>
      </c>
      <c r="B103" s="119" t="str">
        <f aca="false">INDEX('Master Data'!$A$2:$B$8,MATCH(WEEKDAY('ARG Gas Transport'!A103,3),'Master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-716065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-716065</v>
      </c>
      <c r="N103" s="112" t="n">
        <f aca="false">SUM(J$6:J103)</f>
        <v>-1484761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-716.065</v>
      </c>
      <c r="V103" s="114" t="n">
        <f aca="false">M103/$R$3</f>
        <v>-716.065</v>
      </c>
      <c r="W103" s="114" t="n">
        <f aca="false">N103/$R$3</f>
        <v>-1484.761</v>
      </c>
    </row>
    <row r="104" customFormat="false" ht="13.5" hidden="true" customHeight="true" outlineLevel="0" collapsed="false">
      <c r="A104" s="108" t="n">
        <f aca="false">A103+1</f>
        <v>36990</v>
      </c>
      <c r="B104" s="119" t="str">
        <f aca="false">INDEX('Master Data'!$A$2:$B$8,MATCH(WEEKDAY('ARG Gas Transport'!A104,3),'Master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-716068</v>
      </c>
      <c r="I104" s="112" t="n">
        <f aca="false">IF(MONTH($A104)=MONTH($A103),IF(G104=0,I103,G104),G104)</f>
        <v>-716068</v>
      </c>
      <c r="J104" s="112" t="n">
        <f aca="false">IF(MONTH($A104)=MONTH($A103),SUM(I104-I103),I104)</f>
        <v>-3</v>
      </c>
      <c r="K104" s="112" t="n">
        <f aca="false">IF(WEEKDAY(A104,3)&gt;4,0,(IF(A104&lt;K$2,0,IF(A104&lt;=K$3,1,0))))</f>
        <v>0</v>
      </c>
      <c r="L104" s="112" t="n">
        <f aca="false">J104*K104</f>
        <v>-0</v>
      </c>
      <c r="M104" s="112" t="n">
        <f aca="false">SUM(J$97:J104)</f>
        <v>-716068</v>
      </c>
      <c r="N104" s="112" t="n">
        <f aca="false">SUM(J$6:J104)</f>
        <v>-1484764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-0.003</v>
      </c>
      <c r="T104" s="114" t="n">
        <f aca="false">L104/$R$3</f>
        <v>-0</v>
      </c>
      <c r="U104" s="114" t="n">
        <f aca="false">I104/$R$3</f>
        <v>-716.068</v>
      </c>
      <c r="V104" s="114" t="n">
        <f aca="false">M104/$R$3</f>
        <v>-716.068</v>
      </c>
      <c r="W104" s="114" t="n">
        <f aca="false">N104/$R$3</f>
        <v>-1484.764</v>
      </c>
    </row>
    <row r="105" customFormat="false" ht="13.5" hidden="true" customHeight="true" outlineLevel="0" collapsed="false">
      <c r="A105" s="108" t="n">
        <f aca="false">A104+1</f>
        <v>36991</v>
      </c>
      <c r="B105" s="119" t="str">
        <f aca="false">INDEX('Master Data'!$A$2:$B$8,MATCH(WEEKDAY('ARG Gas Transport'!A105,3),'Master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-716072</v>
      </c>
      <c r="I105" s="112" t="n">
        <f aca="false">IF(MONTH($A105)=MONTH($A104),IF(G105=0,I104,G105),G105)</f>
        <v>-716072</v>
      </c>
      <c r="J105" s="112" t="n">
        <f aca="false">IF(MONTH($A105)=MONTH($A104),SUM(I105-I104),I105)</f>
        <v>-4</v>
      </c>
      <c r="K105" s="112" t="n">
        <f aca="false">IF(WEEKDAY(A105,3)&gt;4,0,(IF(A105&lt;K$2,0,IF(A105&lt;=K$3,1,0))))</f>
        <v>0</v>
      </c>
      <c r="L105" s="112" t="n">
        <f aca="false">J105*K105</f>
        <v>-0</v>
      </c>
      <c r="M105" s="112" t="n">
        <f aca="false">SUM(J$97:J105)</f>
        <v>-716072</v>
      </c>
      <c r="N105" s="112" t="n">
        <f aca="false">SUM(J$6:J105)</f>
        <v>-1484768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-0.004</v>
      </c>
      <c r="T105" s="114" t="n">
        <f aca="false">L105/$R$3</f>
        <v>-0</v>
      </c>
      <c r="U105" s="114" t="n">
        <f aca="false">I105/$R$3</f>
        <v>-716.072</v>
      </c>
      <c r="V105" s="114" t="n">
        <f aca="false">M105/$R$3</f>
        <v>-716.072</v>
      </c>
      <c r="W105" s="114" t="n">
        <f aca="false">N105/$R$3</f>
        <v>-1484.768</v>
      </c>
    </row>
    <row r="106" customFormat="false" ht="13.5" hidden="true" customHeight="true" outlineLevel="0" collapsed="false">
      <c r="A106" s="108" t="n">
        <f aca="false">A105+1</f>
        <v>36992</v>
      </c>
      <c r="B106" s="119" t="str">
        <f aca="false">INDEX('Master Data'!$A$2:$B$8,MATCH(WEEKDAY('ARG Gas Transport'!A106,3),'Master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-716071</v>
      </c>
      <c r="I106" s="112" t="n">
        <f aca="false">IF(MONTH($A106)=MONTH($A105),IF(G106=0,I105,G106),G106)</f>
        <v>-716071</v>
      </c>
      <c r="J106" s="112" t="n">
        <f aca="false">IF(MONTH($A106)=MONTH($A105),SUM(I106-I105),I106)</f>
        <v>1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-716071</v>
      </c>
      <c r="N106" s="112" t="n">
        <f aca="false">SUM(J$6:J106)</f>
        <v>-1484767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0.001</v>
      </c>
      <c r="T106" s="114" t="n">
        <f aca="false">L106/$R$3</f>
        <v>0</v>
      </c>
      <c r="U106" s="114" t="n">
        <f aca="false">I106/$R$3</f>
        <v>-716.071</v>
      </c>
      <c r="V106" s="114" t="n">
        <f aca="false">M106/$R$3</f>
        <v>-716.071</v>
      </c>
      <c r="W106" s="114" t="n">
        <f aca="false">N106/$R$3</f>
        <v>-1484.767</v>
      </c>
    </row>
    <row r="107" customFormat="false" ht="13.5" hidden="true" customHeight="true" outlineLevel="0" collapsed="false">
      <c r="A107" s="108" t="n">
        <f aca="false">A106+1</f>
        <v>36993</v>
      </c>
      <c r="B107" s="119" t="str">
        <f aca="false">INDEX('Master Data'!$A$2:$B$8,MATCH(WEEKDAY('ARG Gas Transport'!A107,3),'Master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-716072</v>
      </c>
      <c r="I107" s="112" t="n">
        <f aca="false">IF(MONTH($A107)=MONTH($A106),IF(G107=0,I106,G107),G107)</f>
        <v>-716072</v>
      </c>
      <c r="J107" s="112" t="n">
        <f aca="false">IF(MONTH($A107)=MONTH($A106),SUM(I107-I106),I107)</f>
        <v>-1</v>
      </c>
      <c r="K107" s="112" t="n">
        <f aca="false">IF(WEEKDAY(A107,3)&gt;4,0,(IF(A107&lt;K$2,0,IF(A107&lt;=K$3,1,0))))</f>
        <v>0</v>
      </c>
      <c r="L107" s="112" t="n">
        <f aca="false">J107*K107</f>
        <v>-0</v>
      </c>
      <c r="M107" s="112" t="n">
        <f aca="false">SUM(J$97:J107)</f>
        <v>-716072</v>
      </c>
      <c r="N107" s="112" t="n">
        <f aca="false">SUM(J$6:J107)</f>
        <v>-1484768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-0.001</v>
      </c>
      <c r="T107" s="114" t="n">
        <f aca="false">L107/$R$3</f>
        <v>-0</v>
      </c>
      <c r="U107" s="114" t="n">
        <f aca="false">I107/$R$3</f>
        <v>-716.072</v>
      </c>
      <c r="V107" s="114" t="n">
        <f aca="false">M107/$R$3</f>
        <v>-716.072</v>
      </c>
      <c r="W107" s="114" t="n">
        <f aca="false">N107/$R$3</f>
        <v>-1484.768</v>
      </c>
    </row>
    <row r="108" customFormat="false" ht="13.5" hidden="true" customHeight="true" outlineLevel="0" collapsed="false">
      <c r="A108" s="108" t="n">
        <f aca="false">A107+1</f>
        <v>36994</v>
      </c>
      <c r="B108" s="119" t="str">
        <f aca="false">INDEX('Master Data'!$A$2:$B$8,MATCH(WEEKDAY('ARG Gas Transport'!A108,3),'Master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-716072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-716072</v>
      </c>
      <c r="N108" s="112" t="n">
        <f aca="false">SUM(J$6:J108)</f>
        <v>-1484768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-716.072</v>
      </c>
      <c r="V108" s="114" t="n">
        <f aca="false">M108/$R$3</f>
        <v>-716.072</v>
      </c>
      <c r="W108" s="114" t="n">
        <f aca="false">N108/$R$3</f>
        <v>-1484.768</v>
      </c>
    </row>
    <row r="109" customFormat="false" ht="13.5" hidden="true" customHeight="true" outlineLevel="0" collapsed="false">
      <c r="A109" s="108" t="n">
        <f aca="false">A108+1</f>
        <v>36995</v>
      </c>
      <c r="B109" s="119" t="str">
        <f aca="false">INDEX('Master Data'!$A$2:$B$8,MATCH(WEEKDAY('ARG Gas Transport'!A109,3),'Master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-716072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-716072</v>
      </c>
      <c r="N109" s="112" t="n">
        <f aca="false">SUM(J$6:J109)</f>
        <v>-1484768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-716.072</v>
      </c>
      <c r="V109" s="114" t="n">
        <f aca="false">M109/$R$3</f>
        <v>-716.072</v>
      </c>
      <c r="W109" s="114" t="n">
        <f aca="false">N109/$R$3</f>
        <v>-1484.768</v>
      </c>
    </row>
    <row r="110" customFormat="false" ht="13.5" hidden="true" customHeight="true" outlineLevel="0" collapsed="false">
      <c r="A110" s="108" t="n">
        <f aca="false">A109+1</f>
        <v>36996</v>
      </c>
      <c r="B110" s="119" t="str">
        <f aca="false">INDEX('Master Data'!$A$2:$B$8,MATCH(WEEKDAY('ARG Gas Transport'!A110,3),'Master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-716072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-716072</v>
      </c>
      <c r="N110" s="112" t="n">
        <f aca="false">SUM(J$6:J110)</f>
        <v>-1484768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-716.072</v>
      </c>
      <c r="V110" s="114" t="n">
        <f aca="false">M110/$R$3</f>
        <v>-716.072</v>
      </c>
      <c r="W110" s="114" t="n">
        <f aca="false">N110/$R$3</f>
        <v>-1484.768</v>
      </c>
    </row>
    <row r="111" customFormat="false" ht="13.5" hidden="true" customHeight="true" outlineLevel="0" collapsed="false">
      <c r="A111" s="108" t="n">
        <f aca="false">A110+1</f>
        <v>36997</v>
      </c>
      <c r="B111" s="119" t="str">
        <f aca="false">INDEX('Master Data'!$A$2:$B$8,MATCH(WEEKDAY('ARG Gas Transport'!A111,3),'Master Data'!$A$2:$A$8,0),2)</f>
        <v>M</v>
      </c>
      <c r="D111" s="112" t="n">
        <v>0</v>
      </c>
      <c r="E111" s="112" t="n">
        <v>0</v>
      </c>
      <c r="F111" s="112" t="n">
        <v>0</v>
      </c>
      <c r="G111" s="112" t="n">
        <v>-716079</v>
      </c>
      <c r="I111" s="112" t="n">
        <f aca="false">IF(MONTH($A111)=MONTH($A110),IF(G111=0,I110,G111),G111)</f>
        <v>-716079</v>
      </c>
      <c r="J111" s="112" t="n">
        <f aca="false">IF(MONTH($A111)=MONTH($A110),SUM(I111-I110),I111)</f>
        <v>-7</v>
      </c>
      <c r="K111" s="112" t="n">
        <f aca="false">IF(WEEKDAY(A111,3)&gt;4,0,(IF(A111&lt;K$2,0,IF(A111&lt;=K$3,1,0))))</f>
        <v>0</v>
      </c>
      <c r="L111" s="112" t="n">
        <f aca="false">J111*K111</f>
        <v>-0</v>
      </c>
      <c r="M111" s="112" t="n">
        <f aca="false">SUM(J$97:J111)</f>
        <v>-716079</v>
      </c>
      <c r="N111" s="112" t="n">
        <f aca="false">SUM(J$6:J111)</f>
        <v>-1484775</v>
      </c>
      <c r="P111" s="112" t="n">
        <f aca="false">D111/P$3</f>
        <v>0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-0.007</v>
      </c>
      <c r="T111" s="114" t="n">
        <f aca="false">L111/$R$3</f>
        <v>-0</v>
      </c>
      <c r="U111" s="114" t="n">
        <f aca="false">I111/$R$3</f>
        <v>-716.079</v>
      </c>
      <c r="V111" s="114" t="n">
        <f aca="false">M111/$R$3</f>
        <v>-716.079</v>
      </c>
      <c r="W111" s="114" t="n">
        <f aca="false">N111/$R$3</f>
        <v>-1484.775</v>
      </c>
    </row>
    <row r="112" customFormat="false" ht="13.5" hidden="true" customHeight="true" outlineLevel="0" collapsed="false">
      <c r="A112" s="108" t="n">
        <f aca="false">A111+1</f>
        <v>36998</v>
      </c>
      <c r="B112" s="119" t="str">
        <f aca="false">INDEX('Master Data'!$A$2:$B$8,MATCH(WEEKDAY('ARG Gas Transport'!A112,3),'Master Data'!$A$2:$A$8,0),2)</f>
        <v>T</v>
      </c>
      <c r="D112" s="112" t="n">
        <v>0</v>
      </c>
      <c r="E112" s="112" t="n">
        <v>0</v>
      </c>
      <c r="F112" s="112" t="n">
        <v>0</v>
      </c>
      <c r="G112" s="112" t="n">
        <v>-716078</v>
      </c>
      <c r="I112" s="112" t="n">
        <f aca="false">IF(MONTH($A112)=MONTH($A111),IF(G112=0,I111,G112),G112)</f>
        <v>-716078</v>
      </c>
      <c r="J112" s="112" t="n">
        <f aca="false">IF(MONTH($A112)=MONTH($A111),SUM(I112-I111),I112)</f>
        <v>1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-716078</v>
      </c>
      <c r="N112" s="112" t="n">
        <f aca="false">SUM(J$6:J112)</f>
        <v>-1484774</v>
      </c>
      <c r="P112" s="112" t="n">
        <f aca="false">D112/P$3</f>
        <v>0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0.001</v>
      </c>
      <c r="T112" s="114" t="n">
        <f aca="false">L112/$R$3</f>
        <v>0</v>
      </c>
      <c r="U112" s="114" t="n">
        <f aca="false">I112/$R$3</f>
        <v>-716.078</v>
      </c>
      <c r="V112" s="114" t="n">
        <f aca="false">M112/$R$3</f>
        <v>-716.078</v>
      </c>
      <c r="W112" s="114" t="n">
        <f aca="false">N112/$R$3</f>
        <v>-1484.774</v>
      </c>
    </row>
    <row r="113" customFormat="false" ht="13.5" hidden="true" customHeight="true" outlineLevel="0" collapsed="false">
      <c r="A113" s="108" t="n">
        <f aca="false">A112+1</f>
        <v>36999</v>
      </c>
      <c r="B113" s="119" t="str">
        <f aca="false">INDEX('Master Data'!$A$2:$B$8,MATCH(WEEKDAY('ARG Gas Transport'!A113,3),'Master Data'!$A$2:$A$8,0),2)</f>
        <v>W</v>
      </c>
      <c r="D113" s="112" t="n">
        <v>0</v>
      </c>
      <c r="E113" s="112" t="n">
        <v>0</v>
      </c>
      <c r="F113" s="112" t="n">
        <v>0</v>
      </c>
      <c r="G113" s="112" t="n">
        <v>-716074</v>
      </c>
      <c r="I113" s="112" t="n">
        <f aca="false">IF(MONTH($A113)=MONTH($A112),IF(G113=0,I112,G113),G113)</f>
        <v>-716074</v>
      </c>
      <c r="J113" s="112" t="n">
        <f aca="false">IF(MONTH($A113)=MONTH($A112),SUM(I113-I112),I113)</f>
        <v>4</v>
      </c>
      <c r="K113" s="112" t="n">
        <f aca="false">IF(WEEKDAY(A113,3)&gt;4,0,(IF(A113&lt;K$2,0,IF(A113&lt;=K$3,1,0))))</f>
        <v>0</v>
      </c>
      <c r="L113" s="112" t="n">
        <f aca="false">J113*K113</f>
        <v>0</v>
      </c>
      <c r="M113" s="112" t="n">
        <f aca="false">SUM(J$97:J113)</f>
        <v>-716074</v>
      </c>
      <c r="N113" s="112" t="n">
        <f aca="false">SUM(J$6:J113)</f>
        <v>-1484770</v>
      </c>
      <c r="P113" s="112" t="n">
        <f aca="false">D113/P$3</f>
        <v>0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0.004</v>
      </c>
      <c r="T113" s="114" t="n">
        <f aca="false">L113/$R$3</f>
        <v>0</v>
      </c>
      <c r="U113" s="114" t="n">
        <f aca="false">I113/$R$3</f>
        <v>-716.074</v>
      </c>
      <c r="V113" s="114" t="n">
        <f aca="false">M113/$R$3</f>
        <v>-716.074</v>
      </c>
      <c r="W113" s="114" t="n">
        <f aca="false">N113/$R$3</f>
        <v>-1484.77</v>
      </c>
    </row>
    <row r="114" customFormat="false" ht="13.5" hidden="true" customHeight="true" outlineLevel="0" collapsed="false">
      <c r="A114" s="108" t="n">
        <f aca="false">A113+1</f>
        <v>37000</v>
      </c>
      <c r="B114" s="119" t="str">
        <f aca="false">INDEX('Master Data'!$A$2:$B$8,MATCH(WEEKDAY('ARG Gas Transport'!A114,3),'Master Data'!$A$2:$A$8,0),2)</f>
        <v>Th</v>
      </c>
      <c r="D114" s="112" t="n">
        <v>0</v>
      </c>
      <c r="E114" s="112" t="n">
        <v>0</v>
      </c>
      <c r="F114" s="112" t="n">
        <v>0</v>
      </c>
      <c r="G114" s="112" t="n">
        <v>-716074</v>
      </c>
      <c r="I114" s="112" t="n">
        <f aca="false">IF(MONTH($A114)=MONTH($A113),IF(G114=0,I113,G114),G114)</f>
        <v>-716074</v>
      </c>
      <c r="J114" s="112" t="n">
        <f aca="false">IF(MONTH($A114)=MONTH($A113),SUM(I114-I113),I114)</f>
        <v>0</v>
      </c>
      <c r="K114" s="112" t="n">
        <f aca="false">IF(WEEKDAY(A114,3)&gt;4,0,(IF(A114&lt;K$2,0,IF(A114&lt;=K$3,1,0))))</f>
        <v>0</v>
      </c>
      <c r="L114" s="112" t="n">
        <f aca="false">J114*K114</f>
        <v>0</v>
      </c>
      <c r="M114" s="112" t="n">
        <f aca="false">SUM(J$97:J114)</f>
        <v>-716074</v>
      </c>
      <c r="N114" s="112" t="n">
        <f aca="false">SUM(J$6:J114)</f>
        <v>-1484770</v>
      </c>
      <c r="P114" s="112" t="n">
        <f aca="false">D114/P$3</f>
        <v>0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0</v>
      </c>
      <c r="T114" s="114" t="n">
        <f aca="false">L114/$R$3</f>
        <v>0</v>
      </c>
      <c r="U114" s="114" t="n">
        <f aca="false">I114/$R$3</f>
        <v>-716.074</v>
      </c>
      <c r="V114" s="114" t="n">
        <f aca="false">M114/$R$3</f>
        <v>-716.074</v>
      </c>
      <c r="W114" s="114" t="n">
        <f aca="false">N114/$R$3</f>
        <v>-1484.77</v>
      </c>
    </row>
    <row r="115" customFormat="false" ht="13.5" hidden="true" customHeight="true" outlineLevel="0" collapsed="false">
      <c r="A115" s="108" t="n">
        <f aca="false">A114+1</f>
        <v>37001</v>
      </c>
      <c r="B115" s="119" t="str">
        <f aca="false">INDEX('Master Data'!$A$2:$B$8,MATCH(WEEKDAY('ARG Gas Transport'!A115,3),'Master Data'!$A$2:$A$8,0),2)</f>
        <v>F</v>
      </c>
      <c r="D115" s="112" t="n">
        <v>0</v>
      </c>
      <c r="E115" s="112" t="n">
        <v>0</v>
      </c>
      <c r="F115" s="112" t="n">
        <v>0</v>
      </c>
      <c r="G115" s="112" t="n">
        <v>-716073</v>
      </c>
      <c r="I115" s="112" t="n">
        <f aca="false">IF(MONTH($A115)=MONTH($A114),IF(G115=0,I114,G115),G115)</f>
        <v>-716073</v>
      </c>
      <c r="J115" s="112" t="n">
        <f aca="false">IF(MONTH($A115)=MONTH($A114),SUM(I115-I114),I115)</f>
        <v>1</v>
      </c>
      <c r="K115" s="112" t="n">
        <f aca="false">IF(WEEKDAY(A115,3)&gt;4,0,(IF(A115&lt;K$2,0,IF(A115&lt;=K$3,1,0))))</f>
        <v>0</v>
      </c>
      <c r="L115" s="112" t="n">
        <f aca="false">J115*K115</f>
        <v>0</v>
      </c>
      <c r="M115" s="112" t="n">
        <f aca="false">SUM(J$97:J115)</f>
        <v>-716073</v>
      </c>
      <c r="N115" s="112" t="n">
        <f aca="false">SUM(J$6:J115)</f>
        <v>-1484769</v>
      </c>
      <c r="P115" s="112" t="n">
        <f aca="false">D115/P$3</f>
        <v>0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0.001</v>
      </c>
      <c r="T115" s="114" t="n">
        <f aca="false">L115/$R$3</f>
        <v>0</v>
      </c>
      <c r="U115" s="114" t="n">
        <f aca="false">I115/$R$3</f>
        <v>-716.073</v>
      </c>
      <c r="V115" s="114" t="n">
        <f aca="false">M115/$R$3</f>
        <v>-716.073</v>
      </c>
      <c r="W115" s="114" t="n">
        <f aca="false">N115/$R$3</f>
        <v>-1484.769</v>
      </c>
    </row>
    <row r="116" customFormat="false" ht="13.5" hidden="true" customHeight="true" outlineLevel="0" collapsed="false">
      <c r="A116" s="108" t="n">
        <f aca="false">A115+1</f>
        <v>37002</v>
      </c>
      <c r="B116" s="119" t="str">
        <f aca="false">INDEX('Master Data'!$A$2:$B$8,MATCH(WEEKDAY('ARG Gas Transport'!A116,3),'Master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-716073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-716073</v>
      </c>
      <c r="N116" s="112" t="n">
        <f aca="false">SUM(J$6:J116)</f>
        <v>-1484769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-716.073</v>
      </c>
      <c r="V116" s="114" t="n">
        <f aca="false">M116/$R$3</f>
        <v>-716.073</v>
      </c>
      <c r="W116" s="114" t="n">
        <f aca="false">N116/$R$3</f>
        <v>-1484.769</v>
      </c>
    </row>
    <row r="117" customFormat="false" ht="13.5" hidden="true" customHeight="true" outlineLevel="0" collapsed="false">
      <c r="A117" s="108" t="n">
        <f aca="false">A116+1</f>
        <v>37003</v>
      </c>
      <c r="B117" s="119" t="str">
        <f aca="false">INDEX('Master Data'!$A$2:$B$8,MATCH(WEEKDAY('ARG Gas Transport'!A117,3),'Master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-716073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-716073</v>
      </c>
      <c r="N117" s="112" t="n">
        <f aca="false">SUM(J$6:J117)</f>
        <v>-1484769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-716.073</v>
      </c>
      <c r="V117" s="114" t="n">
        <f aca="false">M117/$R$3</f>
        <v>-716.073</v>
      </c>
      <c r="W117" s="114" t="n">
        <f aca="false">N117/$R$3</f>
        <v>-1484.769</v>
      </c>
    </row>
    <row r="118" customFormat="false" ht="13.5" hidden="true" customHeight="true" outlineLevel="0" collapsed="false">
      <c r="A118" s="108" t="n">
        <f aca="false">A117+1</f>
        <v>37004</v>
      </c>
      <c r="B118" s="119" t="str">
        <f aca="false">INDEX('Master Data'!$A$2:$B$8,MATCH(WEEKDAY('ARG Gas Transport'!A118,3),'Master Data'!$A$2:$A$8,0),2)</f>
        <v>M</v>
      </c>
      <c r="D118" s="112" t="n">
        <v>0</v>
      </c>
      <c r="E118" s="112" t="n">
        <v>0</v>
      </c>
      <c r="F118" s="112" t="n">
        <v>0</v>
      </c>
      <c r="G118" s="112" t="n">
        <v>-703216</v>
      </c>
      <c r="I118" s="112" t="n">
        <f aca="false">IF(MONTH($A118)=MONTH($A117),IF(G118=0,I117,G118),G118)</f>
        <v>-703216</v>
      </c>
      <c r="J118" s="112" t="n">
        <f aca="false">IF(MONTH($A118)=MONTH($A117),SUM(I118-I117),I118)</f>
        <v>12857</v>
      </c>
      <c r="K118" s="112" t="n">
        <f aca="false">IF(WEEKDAY(A118,3)&gt;4,0,(IF(A118&lt;K$2,0,IF(A118&lt;=K$3,1,0))))</f>
        <v>0</v>
      </c>
      <c r="L118" s="112" t="n">
        <f aca="false">J118*K118</f>
        <v>0</v>
      </c>
      <c r="M118" s="112" t="n">
        <f aca="false">SUM(J$97:J118)</f>
        <v>-703216</v>
      </c>
      <c r="N118" s="112" t="n">
        <f aca="false">SUM(J$6:J118)</f>
        <v>-1471912</v>
      </c>
      <c r="P118" s="112" t="n">
        <f aca="false">D118/P$3</f>
        <v>0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12.857</v>
      </c>
      <c r="T118" s="114" t="n">
        <f aca="false">L118/$R$3</f>
        <v>0</v>
      </c>
      <c r="U118" s="114" t="n">
        <f aca="false">I118/$R$3</f>
        <v>-703.216</v>
      </c>
      <c r="V118" s="114" t="n">
        <f aca="false">M118/$R$3</f>
        <v>-703.216</v>
      </c>
      <c r="W118" s="114" t="n">
        <f aca="false">N118/$R$3</f>
        <v>-1471.912</v>
      </c>
    </row>
    <row r="119" customFormat="false" ht="13.5" hidden="true" customHeight="true" outlineLevel="0" collapsed="false">
      <c r="A119" s="108" t="n">
        <f aca="false">A118+1</f>
        <v>37005</v>
      </c>
      <c r="B119" s="119" t="str">
        <f aca="false">INDEX('Master Data'!$A$2:$B$8,MATCH(WEEKDAY('ARG Gas Transport'!A119,3),'Master Data'!$A$2:$A$8,0),2)</f>
        <v>T</v>
      </c>
      <c r="D119" s="112" t="n">
        <v>0</v>
      </c>
      <c r="E119" s="112" t="n">
        <v>0</v>
      </c>
      <c r="F119" s="112" t="n">
        <v>0</v>
      </c>
      <c r="G119" s="112" t="n">
        <v>-703219</v>
      </c>
      <c r="I119" s="112" t="n">
        <f aca="false">IF(MONTH($A119)=MONTH($A118),IF(G119=0,I118,G119),G119)</f>
        <v>-703219</v>
      </c>
      <c r="J119" s="112" t="n">
        <f aca="false">IF(MONTH($A119)=MONTH($A118),SUM(I119-I118),I119)</f>
        <v>-3</v>
      </c>
      <c r="K119" s="112" t="n">
        <f aca="false">IF(WEEKDAY(A119,3)&gt;4,0,(IF(A119&lt;K$2,0,IF(A119&lt;=K$3,1,0))))</f>
        <v>0</v>
      </c>
      <c r="L119" s="112" t="n">
        <f aca="false">J119*K119</f>
        <v>-0</v>
      </c>
      <c r="M119" s="112" t="n">
        <f aca="false">SUM(J$97:J119)</f>
        <v>-703219</v>
      </c>
      <c r="N119" s="112" t="n">
        <f aca="false">SUM(J$6:J119)</f>
        <v>-1471915</v>
      </c>
      <c r="P119" s="112" t="n">
        <f aca="false">D119/P$3</f>
        <v>0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-0.003</v>
      </c>
      <c r="T119" s="114" t="n">
        <f aca="false">L119/$R$3</f>
        <v>-0</v>
      </c>
      <c r="U119" s="114" t="n">
        <f aca="false">I119/$R$3</f>
        <v>-703.219</v>
      </c>
      <c r="V119" s="114" t="n">
        <f aca="false">M119/$R$3</f>
        <v>-703.219</v>
      </c>
      <c r="W119" s="114" t="n">
        <f aca="false">N119/$R$3</f>
        <v>-1471.915</v>
      </c>
    </row>
    <row r="120" customFormat="false" ht="13.5" hidden="true" customHeight="true" outlineLevel="0" collapsed="false">
      <c r="A120" s="108" t="n">
        <f aca="false">A119+1</f>
        <v>37006</v>
      </c>
      <c r="B120" s="119" t="str">
        <f aca="false">INDEX('Master Data'!$A$2:$B$8,MATCH(WEEKDAY('ARG Gas Transport'!A120,3),'Master Data'!$A$2:$A$8,0),2)</f>
        <v>W</v>
      </c>
      <c r="D120" s="112" t="n">
        <v>0</v>
      </c>
      <c r="E120" s="112" t="n">
        <v>0</v>
      </c>
      <c r="F120" s="112" t="n">
        <v>0</v>
      </c>
      <c r="G120" s="112" t="n">
        <v>-703221</v>
      </c>
      <c r="I120" s="112" t="n">
        <f aca="false">IF(MONTH($A120)=MONTH($A119),IF(G120=0,I119,G120),G120)</f>
        <v>-703221</v>
      </c>
      <c r="J120" s="112" t="n">
        <f aca="false">IF(MONTH($A120)=MONTH($A119),SUM(I120-I119),I120)</f>
        <v>-2</v>
      </c>
      <c r="K120" s="112" t="n">
        <f aca="false">IF(WEEKDAY(A120,3)&gt;4,0,(IF(A120&lt;K$2,0,IF(A120&lt;=K$3,1,0))))</f>
        <v>0</v>
      </c>
      <c r="L120" s="112" t="n">
        <f aca="false">J120*K120</f>
        <v>-0</v>
      </c>
      <c r="M120" s="112" t="n">
        <f aca="false">SUM(J$97:J120)</f>
        <v>-703221</v>
      </c>
      <c r="N120" s="112" t="n">
        <f aca="false">SUM(J$6:J120)</f>
        <v>-1471917</v>
      </c>
      <c r="P120" s="112" t="n">
        <f aca="false">D120/P$3</f>
        <v>0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-0.002</v>
      </c>
      <c r="T120" s="114" t="n">
        <f aca="false">L120/$R$3</f>
        <v>-0</v>
      </c>
      <c r="U120" s="114" t="n">
        <f aca="false">I120/$R$3</f>
        <v>-703.221</v>
      </c>
      <c r="V120" s="114" t="n">
        <f aca="false">M120/$R$3</f>
        <v>-703.221</v>
      </c>
      <c r="W120" s="114" t="n">
        <f aca="false">N120/$R$3</f>
        <v>-1471.917</v>
      </c>
    </row>
    <row r="121" customFormat="false" ht="13.5" hidden="true" customHeight="true" outlineLevel="0" collapsed="false">
      <c r="A121" s="108" t="n">
        <f aca="false">A120+1</f>
        <v>37007</v>
      </c>
      <c r="B121" s="119" t="str">
        <f aca="false">INDEX('Master Data'!$A$2:$B$8,MATCH(WEEKDAY('ARG Gas Transport'!A121,3),'Master Data'!$A$2:$A$8,0),2)</f>
        <v>Th</v>
      </c>
      <c r="D121" s="112" t="n">
        <v>0</v>
      </c>
      <c r="E121" s="112" t="n">
        <v>0</v>
      </c>
      <c r="F121" s="112" t="n">
        <v>0</v>
      </c>
      <c r="G121" s="112" t="n">
        <v>-703221</v>
      </c>
      <c r="I121" s="112" t="n">
        <f aca="false">IF(MONTH($A121)=MONTH($A120),IF(G121=0,I120,G121),G121)</f>
        <v>-703221</v>
      </c>
      <c r="J121" s="112" t="n">
        <f aca="false">IF(MONTH($A121)=MONTH($A120),SUM(I121-I120),I121)</f>
        <v>0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-703221</v>
      </c>
      <c r="N121" s="112" t="n">
        <f aca="false">SUM(J$6:J121)</f>
        <v>-1471917</v>
      </c>
      <c r="P121" s="112" t="n">
        <f aca="false">D121/P$3</f>
        <v>0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0</v>
      </c>
      <c r="T121" s="114" t="n">
        <f aca="false">L121/$R$3</f>
        <v>0</v>
      </c>
      <c r="U121" s="114" t="n">
        <f aca="false">I121/$R$3</f>
        <v>-703.221</v>
      </c>
      <c r="V121" s="114" t="n">
        <f aca="false">M121/$R$3</f>
        <v>-703.221</v>
      </c>
      <c r="W121" s="114" t="n">
        <f aca="false">N121/$R$3</f>
        <v>-1471.917</v>
      </c>
    </row>
    <row r="122" customFormat="false" ht="13.5" hidden="true" customHeight="true" outlineLevel="0" collapsed="false">
      <c r="A122" s="108" t="n">
        <f aca="false">A121+1</f>
        <v>37008</v>
      </c>
      <c r="B122" s="119" t="str">
        <f aca="false">INDEX('Master Data'!$A$2:$B$8,MATCH(WEEKDAY('ARG Gas Transport'!A122,3),'Master Data'!$A$2:$A$8,0),2)</f>
        <v>F</v>
      </c>
      <c r="D122" s="112" t="n">
        <v>0</v>
      </c>
      <c r="E122" s="112" t="n">
        <v>0</v>
      </c>
      <c r="F122" s="112" t="n">
        <v>0</v>
      </c>
      <c r="G122" s="112" t="n">
        <v>-703222</v>
      </c>
      <c r="I122" s="112" t="n">
        <f aca="false">IF(MONTH($A122)=MONTH($A121),IF(G122=0,I121,G122),G122)</f>
        <v>-703222</v>
      </c>
      <c r="J122" s="112" t="n">
        <f aca="false">IF(MONTH($A122)=MONTH($A121),SUM(I122-I121),I122)</f>
        <v>-1</v>
      </c>
      <c r="K122" s="112" t="n">
        <f aca="false">IF(WEEKDAY(A122,3)&gt;4,0,(IF(A122&lt;K$2,0,IF(A122&lt;=K$3,1,0))))</f>
        <v>0</v>
      </c>
      <c r="L122" s="112" t="n">
        <f aca="false">J122*K122</f>
        <v>-0</v>
      </c>
      <c r="M122" s="112" t="n">
        <f aca="false">SUM(J$97:J122)</f>
        <v>-703222</v>
      </c>
      <c r="N122" s="112" t="n">
        <f aca="false">SUM(J$6:J122)</f>
        <v>-1471918</v>
      </c>
      <c r="P122" s="112" t="n">
        <f aca="false">D122/P$3</f>
        <v>0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-0.001</v>
      </c>
      <c r="T122" s="114" t="n">
        <f aca="false">L122/$R$3</f>
        <v>-0</v>
      </c>
      <c r="U122" s="114" t="n">
        <f aca="false">I122/$R$3</f>
        <v>-703.222</v>
      </c>
      <c r="V122" s="114" t="n">
        <f aca="false">M122/$R$3</f>
        <v>-703.222</v>
      </c>
      <c r="W122" s="114" t="n">
        <f aca="false">N122/$R$3</f>
        <v>-1471.918</v>
      </c>
    </row>
    <row r="123" customFormat="false" ht="13.5" hidden="true" customHeight="true" outlineLevel="0" collapsed="false">
      <c r="A123" s="108" t="n">
        <f aca="false">A122+1</f>
        <v>37009</v>
      </c>
      <c r="B123" s="119" t="str">
        <f aca="false">INDEX('Master Data'!$A$2:$B$8,MATCH(WEEKDAY('ARG Gas Transport'!A123,3),'Master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-703222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-703222</v>
      </c>
      <c r="N123" s="112" t="n">
        <f aca="false">SUM(J$6:J123)</f>
        <v>-1471918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-703.222</v>
      </c>
      <c r="V123" s="114" t="n">
        <f aca="false">M123/$R$3</f>
        <v>-703.222</v>
      </c>
      <c r="W123" s="114" t="n">
        <f aca="false">N123/$R$3</f>
        <v>-1471.918</v>
      </c>
    </row>
    <row r="124" customFormat="false" ht="13.5" hidden="true" customHeight="true" outlineLevel="0" collapsed="false">
      <c r="A124" s="108" t="n">
        <f aca="false">A123+1</f>
        <v>37010</v>
      </c>
      <c r="B124" s="119" t="str">
        <f aca="false">INDEX('Master Data'!$A$2:$B$8,MATCH(WEEKDAY('ARG Gas Transport'!A124,3),'Master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-703222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-703222</v>
      </c>
      <c r="N124" s="112" t="n">
        <f aca="false">SUM(J$6:J124)</f>
        <v>-1471918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-703.222</v>
      </c>
      <c r="V124" s="114" t="n">
        <f aca="false">M124/$R$3</f>
        <v>-703.222</v>
      </c>
      <c r="W124" s="114" t="n">
        <f aca="false">N124/$R$3</f>
        <v>-1471.918</v>
      </c>
    </row>
    <row r="125" customFormat="false" ht="13.5" hidden="false" customHeight="true" outlineLevel="0" collapsed="false">
      <c r="A125" s="108" t="n">
        <f aca="false">A124+1</f>
        <v>37011</v>
      </c>
      <c r="B125" s="119" t="str">
        <f aca="false">INDEX('Master Data'!$A$2:$B$8,MATCH(WEEKDAY('ARG Gas Transport'!A125,3),'Master Data'!$A$2:$A$8,0),2)</f>
        <v>M</v>
      </c>
      <c r="D125" s="112" t="n">
        <v>0</v>
      </c>
      <c r="E125" s="112" t="n">
        <v>0</v>
      </c>
      <c r="F125" s="112" t="n">
        <v>0</v>
      </c>
      <c r="G125" s="112" t="n">
        <v>-703222</v>
      </c>
      <c r="I125" s="112" t="n">
        <f aca="false">IF(MONTH($A125)=MONTH($A124),IF(G125=0,I124,G125),G125)</f>
        <v>-703222</v>
      </c>
      <c r="J125" s="112" t="n">
        <f aca="false">IF(MONTH($A125)=MONTH($A124),SUM(I125-I124),I125)</f>
        <v>0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-703222</v>
      </c>
      <c r="N125" s="112" t="n">
        <f aca="false">SUM(J$6:J125)</f>
        <v>-1471918</v>
      </c>
      <c r="P125" s="112" t="n">
        <f aca="false">D125/P$3</f>
        <v>0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</v>
      </c>
      <c r="T125" s="114" t="n">
        <f aca="false">L125/$R$3</f>
        <v>0</v>
      </c>
      <c r="U125" s="114" t="n">
        <f aca="false">I125/$R$3</f>
        <v>-703.222</v>
      </c>
      <c r="V125" s="114" t="n">
        <f aca="false">M125/$R$3</f>
        <v>-703.222</v>
      </c>
      <c r="W125" s="114" t="n">
        <f aca="false">N125/$R$3</f>
        <v>-1471.918</v>
      </c>
    </row>
    <row r="126" customFormat="false" ht="13.5" hidden="true" customHeight="true" outlineLevel="0" collapsed="false">
      <c r="A126" s="108" t="n">
        <f aca="false">A125+1</f>
        <v>37012</v>
      </c>
      <c r="B126" s="119" t="str">
        <f aca="false">INDEX('Master Data'!$A$2:$B$8,MATCH(WEEKDAY('ARG Gas Transport'!A126,3),'Master Data'!$A$2:$A$8,0),2)</f>
        <v>T</v>
      </c>
      <c r="D126" s="112" t="n">
        <v>0</v>
      </c>
      <c r="E126" s="112" t="n">
        <v>0</v>
      </c>
      <c r="F126" s="112" t="n">
        <v>0</v>
      </c>
      <c r="G126" s="112" t="n">
        <v>19</v>
      </c>
      <c r="I126" s="112" t="n">
        <f aca="false">IF(MONTH($A126)=MONTH($A125),IF(G126=0,I125,G126),G126)</f>
        <v>19</v>
      </c>
      <c r="J126" s="112" t="n">
        <f aca="false">IF(MONTH($A126)=MONTH($A125),SUM(I126-I125),I126)</f>
        <v>19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-703203</v>
      </c>
      <c r="N126" s="112" t="n">
        <f aca="false">SUM(J$6:J126)</f>
        <v>-1471899</v>
      </c>
      <c r="P126" s="112" t="n">
        <f aca="false">D126/P$3</f>
        <v>0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0.019</v>
      </c>
      <c r="T126" s="114" t="n">
        <f aca="false">L126/$R$3</f>
        <v>0</v>
      </c>
      <c r="U126" s="114" t="n">
        <f aca="false">I126/$R$3</f>
        <v>0.019</v>
      </c>
      <c r="V126" s="114" t="n">
        <f aca="false">M126/$R$3</f>
        <v>-703.203</v>
      </c>
      <c r="W126" s="114" t="n">
        <f aca="false">N126/$R$3</f>
        <v>-1471.899</v>
      </c>
    </row>
    <row r="127" customFormat="false" ht="13.5" hidden="true" customHeight="true" outlineLevel="0" collapsed="false">
      <c r="A127" s="108" t="n">
        <f aca="false">A126+1</f>
        <v>37013</v>
      </c>
      <c r="B127" s="119" t="str">
        <f aca="false">INDEX('Master Data'!$A$2:$B$8,MATCH(WEEKDAY('ARG Gas Transport'!A127,3),'Master Data'!$A$2:$A$8,0),2)</f>
        <v>W</v>
      </c>
      <c r="D127" s="112" t="n">
        <v>0</v>
      </c>
      <c r="E127" s="112" t="n">
        <v>0</v>
      </c>
      <c r="F127" s="112" t="n">
        <v>0</v>
      </c>
      <c r="G127" s="112" t="n">
        <v>19</v>
      </c>
      <c r="I127" s="112" t="n">
        <f aca="false">IF(MONTH($A127)=MONTH($A126),IF(G127=0,I126,G127),G127)</f>
        <v>19</v>
      </c>
      <c r="J127" s="112" t="n">
        <f aca="false">IF(MONTH($A127)=MONTH($A126),SUM(I127-I126),I127)</f>
        <v>0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-703203</v>
      </c>
      <c r="N127" s="112" t="n">
        <f aca="false">SUM(J$6:J127)</f>
        <v>-1471899</v>
      </c>
      <c r="P127" s="112" t="n">
        <f aca="false">D127/P$3</f>
        <v>0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0</v>
      </c>
      <c r="T127" s="114" t="n">
        <f aca="false">L127/$R$3</f>
        <v>0</v>
      </c>
      <c r="U127" s="114" t="n">
        <f aca="false">I127/$R$3</f>
        <v>0.019</v>
      </c>
      <c r="V127" s="114" t="n">
        <f aca="false">M127/$R$3</f>
        <v>-703.203</v>
      </c>
      <c r="W127" s="114" t="n">
        <f aca="false">N127/$R$3</f>
        <v>-1471.899</v>
      </c>
    </row>
    <row r="128" customFormat="false" ht="13.5" hidden="true" customHeight="true" outlineLevel="0" collapsed="false">
      <c r="A128" s="108" t="n">
        <f aca="false">A127+1</f>
        <v>37014</v>
      </c>
      <c r="B128" s="119" t="str">
        <f aca="false">INDEX('Master Data'!$A$2:$B$8,MATCH(WEEKDAY('ARG Gas Transport'!A128,3),'Master Data'!$A$2:$A$8,0),2)</f>
        <v>Th</v>
      </c>
      <c r="D128" s="112" t="n">
        <v>0</v>
      </c>
      <c r="E128" s="112" t="n">
        <v>0</v>
      </c>
      <c r="F128" s="112" t="n">
        <v>0</v>
      </c>
      <c r="G128" s="112" t="n">
        <v>22</v>
      </c>
      <c r="I128" s="112" t="n">
        <f aca="false">IF(MONTH($A128)=MONTH($A127),IF(G128=0,I127,G128),G128)</f>
        <v>22</v>
      </c>
      <c r="J128" s="112" t="n">
        <f aca="false">IF(MONTH($A128)=MONTH($A127),SUM(I128-I127),I128)</f>
        <v>3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-703200</v>
      </c>
      <c r="N128" s="112" t="n">
        <f aca="false">SUM(J$6:J128)</f>
        <v>-1471896</v>
      </c>
      <c r="P128" s="112" t="n">
        <f aca="false">D128/P$3</f>
        <v>0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0.003</v>
      </c>
      <c r="T128" s="114" t="n">
        <f aca="false">L128/$R$3</f>
        <v>0</v>
      </c>
      <c r="U128" s="114" t="n">
        <f aca="false">I128/$R$3</f>
        <v>0.022</v>
      </c>
      <c r="V128" s="114" t="n">
        <f aca="false">M128/$R$3</f>
        <v>-703.2</v>
      </c>
      <c r="W128" s="114" t="n">
        <f aca="false">N128/$R$3</f>
        <v>-1471.896</v>
      </c>
    </row>
    <row r="129" customFormat="false" ht="13.5" hidden="true" customHeight="true" outlineLevel="0" collapsed="false">
      <c r="A129" s="108" t="n">
        <f aca="false">A128+1</f>
        <v>37015</v>
      </c>
      <c r="B129" s="119" t="str">
        <f aca="false">INDEX('Master Data'!$A$2:$B$8,MATCH(WEEKDAY('ARG Gas Transport'!A129,3),'Master Data'!$A$2:$A$8,0),2)</f>
        <v>F</v>
      </c>
      <c r="D129" s="112" t="n">
        <v>0</v>
      </c>
      <c r="E129" s="112" t="n">
        <v>0</v>
      </c>
      <c r="F129" s="112" t="n">
        <v>0</v>
      </c>
      <c r="G129" s="112" t="n">
        <v>22</v>
      </c>
      <c r="I129" s="112" t="n">
        <f aca="false">IF(MONTH($A129)=MONTH($A128),IF(G129=0,I128,G129),G129)</f>
        <v>22</v>
      </c>
      <c r="J129" s="112" t="n">
        <f aca="false">IF(MONTH($A129)=MONTH($A128),SUM(I129-I128),I129)</f>
        <v>0</v>
      </c>
      <c r="K129" s="112" t="n">
        <f aca="false">IF(WEEKDAY(A129,3)&gt;4,0,(IF(A129&lt;K$2,0,IF(A129&lt;=K$3,1,0))))</f>
        <v>0</v>
      </c>
      <c r="L129" s="112" t="n">
        <f aca="false">J129*K129</f>
        <v>0</v>
      </c>
      <c r="M129" s="112" t="n">
        <f aca="false">SUM(J$97:J129)</f>
        <v>-703200</v>
      </c>
      <c r="N129" s="112" t="n">
        <f aca="false">SUM(J$6:J129)</f>
        <v>-1471896</v>
      </c>
      <c r="P129" s="112" t="n">
        <f aca="false">D129/P$3</f>
        <v>0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0</v>
      </c>
      <c r="T129" s="114" t="n">
        <f aca="false">L129/$R$3</f>
        <v>0</v>
      </c>
      <c r="U129" s="114" t="n">
        <f aca="false">I129/$R$3</f>
        <v>0.022</v>
      </c>
      <c r="V129" s="114" t="n">
        <f aca="false">M129/$R$3</f>
        <v>-703.2</v>
      </c>
      <c r="W129" s="114" t="n">
        <f aca="false">N129/$R$3</f>
        <v>-1471.896</v>
      </c>
    </row>
    <row r="130" customFormat="false" ht="13.5" hidden="true" customHeight="true" outlineLevel="0" collapsed="false">
      <c r="A130" s="108" t="n">
        <f aca="false">A129+1</f>
        <v>37016</v>
      </c>
      <c r="B130" s="119" t="str">
        <f aca="false">INDEX('Master Data'!$A$2:$B$8,MATCH(WEEKDAY('ARG Gas Transport'!A130,3),'Master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22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-703200</v>
      </c>
      <c r="N130" s="112" t="n">
        <f aca="false">SUM(J$6:J130)</f>
        <v>-1471896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0.022</v>
      </c>
      <c r="V130" s="114" t="n">
        <f aca="false">M130/$R$3</f>
        <v>-703.2</v>
      </c>
      <c r="W130" s="114" t="n">
        <f aca="false">N130/$R$3</f>
        <v>-1471.896</v>
      </c>
    </row>
    <row r="131" customFormat="false" ht="13.5" hidden="true" customHeight="true" outlineLevel="0" collapsed="false">
      <c r="A131" s="108" t="n">
        <f aca="false">A130+1</f>
        <v>37017</v>
      </c>
      <c r="B131" s="119" t="str">
        <f aca="false">INDEX('Master Data'!$A$2:$B$8,MATCH(WEEKDAY('ARG Gas Transport'!A131,3),'Master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22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-703200</v>
      </c>
      <c r="N131" s="112" t="n">
        <f aca="false">SUM(J$6:J131)</f>
        <v>-1471896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0.022</v>
      </c>
      <c r="V131" s="114" t="n">
        <f aca="false">M131/$R$3</f>
        <v>-703.2</v>
      </c>
      <c r="W131" s="114" t="n">
        <f aca="false">N131/$R$3</f>
        <v>-1471.896</v>
      </c>
    </row>
    <row r="132" customFormat="false" ht="13.5" hidden="true" customHeight="true" outlineLevel="0" collapsed="false">
      <c r="A132" s="108" t="n">
        <f aca="false">A131+1</f>
        <v>37018</v>
      </c>
      <c r="B132" s="119" t="str">
        <f aca="false">INDEX('Master Data'!$A$2:$B$8,MATCH(WEEKDAY('ARG Gas Transport'!A132,3),'Master Data'!$A$2:$A$8,0),2)</f>
        <v>M</v>
      </c>
      <c r="D132" s="112" t="n">
        <v>0</v>
      </c>
      <c r="E132" s="112" t="n">
        <v>0</v>
      </c>
      <c r="F132" s="112" t="n">
        <v>0</v>
      </c>
      <c r="G132" s="112" t="n">
        <v>24</v>
      </c>
      <c r="I132" s="112" t="n">
        <f aca="false">IF(MONTH($A132)=MONTH($A131),IF(G132=0,I131,G132),G132)</f>
        <v>24</v>
      </c>
      <c r="J132" s="112" t="n">
        <f aca="false">IF(MONTH($A132)=MONTH($A131),SUM(I132-I131),I132)</f>
        <v>2</v>
      </c>
      <c r="K132" s="112" t="n">
        <f aca="false">IF(WEEKDAY(A132,3)&gt;4,0,(IF(A132&lt;K$2,0,IF(A132&lt;=K$3,1,0))))</f>
        <v>0</v>
      </c>
      <c r="L132" s="112" t="n">
        <f aca="false">J132*K132</f>
        <v>0</v>
      </c>
      <c r="M132" s="112" t="n">
        <f aca="false">SUM(J$97:J132)</f>
        <v>-703198</v>
      </c>
      <c r="N132" s="112" t="n">
        <f aca="false">SUM(J$6:J132)</f>
        <v>-1471894</v>
      </c>
      <c r="P132" s="112" t="n">
        <f aca="false">D132/P$3</f>
        <v>0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0.002</v>
      </c>
      <c r="T132" s="114" t="n">
        <f aca="false">L132/$R$3</f>
        <v>0</v>
      </c>
      <c r="U132" s="114" t="n">
        <f aca="false">I132/$R$3</f>
        <v>0.024</v>
      </c>
      <c r="V132" s="114" t="n">
        <f aca="false">M132/$R$3</f>
        <v>-703.198</v>
      </c>
      <c r="W132" s="114" t="n">
        <f aca="false">N132/$R$3</f>
        <v>-1471.894</v>
      </c>
    </row>
    <row r="133" customFormat="false" ht="13.5" hidden="true" customHeight="true" outlineLevel="0" collapsed="false">
      <c r="A133" s="108" t="n">
        <f aca="false">A132+1</f>
        <v>37019</v>
      </c>
      <c r="B133" s="119" t="str">
        <f aca="false">INDEX('Master Data'!$A$2:$B$8,MATCH(WEEKDAY('ARG Gas Transport'!A133,3),'Master Data'!$A$2:$A$8,0),2)</f>
        <v>T</v>
      </c>
      <c r="D133" s="112" t="n">
        <v>0</v>
      </c>
      <c r="E133" s="112" t="n">
        <v>0</v>
      </c>
      <c r="F133" s="112" t="n">
        <v>0</v>
      </c>
      <c r="G133" s="112" t="n">
        <v>25</v>
      </c>
      <c r="I133" s="112" t="n">
        <f aca="false">IF(MONTH($A133)=MONTH($A132),IF(G133=0,I132,G133),G133)</f>
        <v>25</v>
      </c>
      <c r="J133" s="112" t="n">
        <f aca="false">IF(MONTH($A133)=MONTH($A132),SUM(I133-I132),I133)</f>
        <v>1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-703197</v>
      </c>
      <c r="N133" s="112" t="n">
        <f aca="false">SUM(J$6:J133)</f>
        <v>-1471893</v>
      </c>
      <c r="P133" s="112" t="n">
        <f aca="false">D133/P$3</f>
        <v>0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0.001</v>
      </c>
      <c r="T133" s="114" t="n">
        <f aca="false">L133/$R$3</f>
        <v>0</v>
      </c>
      <c r="U133" s="114" t="n">
        <f aca="false">I133/$R$3</f>
        <v>0.025</v>
      </c>
      <c r="V133" s="114" t="n">
        <f aca="false">M133/$R$3</f>
        <v>-703.197</v>
      </c>
      <c r="W133" s="114" t="n">
        <f aca="false">N133/$R$3</f>
        <v>-1471.893</v>
      </c>
    </row>
    <row r="134" customFormat="false" ht="13.5" hidden="true" customHeight="true" outlineLevel="0" collapsed="false">
      <c r="A134" s="108" t="n">
        <f aca="false">A133+1</f>
        <v>37020</v>
      </c>
      <c r="B134" s="119" t="str">
        <f aca="false">INDEX('Master Data'!$A$2:$B$8,MATCH(WEEKDAY('ARG Gas Transport'!A134,3),'Master Data'!$A$2:$A$8,0),2)</f>
        <v>W</v>
      </c>
      <c r="D134" s="112" t="n">
        <v>0</v>
      </c>
      <c r="E134" s="112" t="n">
        <v>0</v>
      </c>
      <c r="F134" s="112" t="n">
        <v>0</v>
      </c>
      <c r="G134" s="112" t="n">
        <v>25</v>
      </c>
      <c r="I134" s="112" t="n">
        <f aca="false">IF(MONTH($A134)=MONTH($A133),IF(G134=0,I133,G134),G134)</f>
        <v>25</v>
      </c>
      <c r="J134" s="112" t="n">
        <f aca="false">IF(MONTH($A134)=MONTH($A133),SUM(I134-I133),I134)</f>
        <v>0</v>
      </c>
      <c r="K134" s="112" t="n">
        <f aca="false">IF(WEEKDAY(A134,3)&gt;4,0,(IF(A134&lt;K$2,0,IF(A134&lt;=K$3,1,0))))</f>
        <v>0</v>
      </c>
      <c r="L134" s="112" t="n">
        <f aca="false">J134*K134</f>
        <v>0</v>
      </c>
      <c r="M134" s="112" t="n">
        <f aca="false">SUM(J$97:J134)</f>
        <v>-703197</v>
      </c>
      <c r="N134" s="112" t="n">
        <f aca="false">SUM(J$6:J134)</f>
        <v>-1471893</v>
      </c>
      <c r="P134" s="112" t="n">
        <f aca="false">D134/P$3</f>
        <v>0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0</v>
      </c>
      <c r="T134" s="114" t="n">
        <f aca="false">L134/$R$3</f>
        <v>0</v>
      </c>
      <c r="U134" s="114" t="n">
        <f aca="false">I134/$R$3</f>
        <v>0.025</v>
      </c>
      <c r="V134" s="114" t="n">
        <f aca="false">M134/$R$3</f>
        <v>-703.197</v>
      </c>
      <c r="W134" s="114" t="n">
        <f aca="false">N134/$R$3</f>
        <v>-1471.893</v>
      </c>
    </row>
    <row r="135" customFormat="false" ht="13.5" hidden="true" customHeight="true" outlineLevel="0" collapsed="false">
      <c r="A135" s="108" t="n">
        <f aca="false">A134+1</f>
        <v>37021</v>
      </c>
      <c r="B135" s="119" t="str">
        <f aca="false">INDEX('Master Data'!$A$2:$B$8,MATCH(WEEKDAY('ARG Gas Transport'!A135,3),'Master Data'!$A$2:$A$8,0),2)</f>
        <v>Th</v>
      </c>
      <c r="D135" s="112" t="n">
        <v>0</v>
      </c>
      <c r="E135" s="112" t="n">
        <v>0</v>
      </c>
      <c r="F135" s="112" t="n">
        <v>0</v>
      </c>
      <c r="G135" s="112" t="n">
        <v>24</v>
      </c>
      <c r="I135" s="112" t="n">
        <f aca="false">IF(MONTH($A135)=MONTH($A134),IF(G135=0,I134,G135),G135)</f>
        <v>24</v>
      </c>
      <c r="J135" s="112" t="n">
        <f aca="false">IF(MONTH($A135)=MONTH($A134),SUM(I135-I134),I135)</f>
        <v>-1</v>
      </c>
      <c r="K135" s="112" t="n">
        <f aca="false">IF(WEEKDAY(A135,3)&gt;4,0,(IF(A135&lt;K$2,0,IF(A135&lt;=K$3,1,0))))</f>
        <v>0</v>
      </c>
      <c r="L135" s="112" t="n">
        <f aca="false">J135*K135</f>
        <v>-0</v>
      </c>
      <c r="M135" s="112" t="n">
        <f aca="false">SUM(J$97:J135)</f>
        <v>-703198</v>
      </c>
      <c r="N135" s="112" t="n">
        <f aca="false">SUM(J$6:J135)</f>
        <v>-1471894</v>
      </c>
      <c r="P135" s="112" t="n">
        <f aca="false">D135/P$3</f>
        <v>0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-0.001</v>
      </c>
      <c r="T135" s="114" t="n">
        <f aca="false">L135/$R$3</f>
        <v>-0</v>
      </c>
      <c r="U135" s="114" t="n">
        <f aca="false">I135/$R$3</f>
        <v>0.024</v>
      </c>
      <c r="V135" s="114" t="n">
        <f aca="false">M135/$R$3</f>
        <v>-703.198</v>
      </c>
      <c r="W135" s="114" t="n">
        <f aca="false">N135/$R$3</f>
        <v>-1471.894</v>
      </c>
    </row>
    <row r="136" customFormat="false" ht="13.5" hidden="true" customHeight="true" outlineLevel="0" collapsed="false">
      <c r="A136" s="108" t="n">
        <f aca="false">A135+1</f>
        <v>37022</v>
      </c>
      <c r="B136" s="119" t="str">
        <f aca="false">INDEX('Master Data'!$A$2:$B$8,MATCH(WEEKDAY('ARG Gas Transport'!A136,3),'Master Data'!$A$2:$A$8,0),2)</f>
        <v>F</v>
      </c>
      <c r="D136" s="112" t="n">
        <v>0</v>
      </c>
      <c r="E136" s="112" t="n">
        <v>0</v>
      </c>
      <c r="F136" s="112" t="n">
        <v>0</v>
      </c>
      <c r="G136" s="112" t="n">
        <v>22</v>
      </c>
      <c r="I136" s="112" t="n">
        <f aca="false">IF(MONTH($A136)=MONTH($A135),IF(G136=0,I135,G136),G136)</f>
        <v>22</v>
      </c>
      <c r="J136" s="112" t="n">
        <f aca="false">IF(MONTH($A136)=MONTH($A135),SUM(I136-I135),I136)</f>
        <v>-2</v>
      </c>
      <c r="K136" s="112" t="n">
        <f aca="false">IF(WEEKDAY(A136,3)&gt;4,0,(IF(A136&lt;K$2,0,IF(A136&lt;=K$3,1,0))))</f>
        <v>0</v>
      </c>
      <c r="L136" s="112" t="n">
        <f aca="false">J136*K136</f>
        <v>-0</v>
      </c>
      <c r="M136" s="112" t="n">
        <f aca="false">SUM(J$97:J136)</f>
        <v>-703200</v>
      </c>
      <c r="N136" s="112" t="n">
        <f aca="false">SUM(J$6:J136)</f>
        <v>-1471896</v>
      </c>
      <c r="P136" s="112" t="n">
        <f aca="false">D136/P$3</f>
        <v>0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-0.002</v>
      </c>
      <c r="T136" s="114" t="n">
        <f aca="false">L136/$R$3</f>
        <v>-0</v>
      </c>
      <c r="U136" s="114" t="n">
        <f aca="false">I136/$R$3</f>
        <v>0.022</v>
      </c>
      <c r="V136" s="114" t="n">
        <f aca="false">M136/$R$3</f>
        <v>-703.2</v>
      </c>
      <c r="W136" s="114" t="n">
        <f aca="false">N136/$R$3</f>
        <v>-1471.896</v>
      </c>
    </row>
    <row r="137" customFormat="false" ht="13.5" hidden="true" customHeight="true" outlineLevel="0" collapsed="false">
      <c r="A137" s="108" t="n">
        <f aca="false">A136+1</f>
        <v>37023</v>
      </c>
      <c r="B137" s="119" t="str">
        <f aca="false">INDEX('Master Data'!$A$2:$B$8,MATCH(WEEKDAY('ARG Gas Transport'!A137,3),'Master Data'!$A$2:$A$8,0),2)</f>
        <v>Sa</v>
      </c>
      <c r="D137" s="112"/>
      <c r="E137" s="112"/>
      <c r="F137" s="112"/>
      <c r="G137" s="112"/>
      <c r="I137" s="112" t="n">
        <f aca="false">IF(MONTH($A137)=MONTH($A136),IF(G137=0,I136,G137),G137)</f>
        <v>22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-703200</v>
      </c>
      <c r="N137" s="112" t="n">
        <f aca="false">SUM(J$6:J137)</f>
        <v>-1471896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0.022</v>
      </c>
      <c r="V137" s="114" t="n">
        <f aca="false">M137/$R$3</f>
        <v>-703.2</v>
      </c>
      <c r="W137" s="114" t="n">
        <f aca="false">N137/$R$3</f>
        <v>-1471.896</v>
      </c>
    </row>
    <row r="138" customFormat="false" ht="13.5" hidden="true" customHeight="true" outlineLevel="0" collapsed="false">
      <c r="A138" s="108" t="n">
        <f aca="false">A137+1</f>
        <v>37024</v>
      </c>
      <c r="B138" s="119" t="str">
        <f aca="false">INDEX('Master Data'!$A$2:$B$8,MATCH(WEEKDAY('ARG Gas Transport'!A138,3),'Master Data'!$A$2:$A$8,0),2)</f>
        <v>Su</v>
      </c>
      <c r="D138" s="112"/>
      <c r="E138" s="112"/>
      <c r="F138" s="112"/>
      <c r="G138" s="112"/>
      <c r="I138" s="112" t="n">
        <f aca="false">IF(MONTH($A138)=MONTH($A137),IF(G138=0,I137,G138),G138)</f>
        <v>22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-703200</v>
      </c>
      <c r="N138" s="112" t="n">
        <f aca="false">SUM(J$6:J138)</f>
        <v>-1471896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0.022</v>
      </c>
      <c r="V138" s="114" t="n">
        <f aca="false">M138/$R$3</f>
        <v>-703.2</v>
      </c>
      <c r="W138" s="114" t="n">
        <f aca="false">N138/$R$3</f>
        <v>-1471.896</v>
      </c>
    </row>
    <row r="139" customFormat="false" ht="13.5" hidden="true" customHeight="true" outlineLevel="0" collapsed="false">
      <c r="A139" s="108" t="n">
        <f aca="false">A138+1</f>
        <v>37025</v>
      </c>
      <c r="B139" s="119" t="str">
        <f aca="false">INDEX('Master Data'!$A$2:$B$8,MATCH(WEEKDAY('ARG Gas Transport'!A139,3),'Master Data'!$A$2:$A$8,0),2)</f>
        <v>M</v>
      </c>
      <c r="D139" s="112" t="n">
        <v>0</v>
      </c>
      <c r="E139" s="112" t="n">
        <v>0</v>
      </c>
      <c r="F139" s="112" t="n">
        <v>0</v>
      </c>
      <c r="G139" s="112" t="n">
        <v>26</v>
      </c>
      <c r="I139" s="112" t="n">
        <f aca="false">IF(MONTH($A139)=MONTH($A138),IF(G139=0,I138,G139),G139)</f>
        <v>26</v>
      </c>
      <c r="J139" s="112" t="n">
        <f aca="false">IF(MONTH($A139)=MONTH($A138),SUM(I139-I138),I139)</f>
        <v>4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-703196</v>
      </c>
      <c r="N139" s="112" t="n">
        <f aca="false">SUM(J$6:J139)</f>
        <v>-1471892</v>
      </c>
      <c r="P139" s="112" t="n">
        <f aca="false">D139/P$3</f>
        <v>0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0.004</v>
      </c>
      <c r="T139" s="114" t="n">
        <f aca="false">L139/$R$3</f>
        <v>0</v>
      </c>
      <c r="U139" s="114" t="n">
        <f aca="false">I139/$R$3</f>
        <v>0.026</v>
      </c>
      <c r="V139" s="114" t="n">
        <f aca="false">M139/$R$3</f>
        <v>-703.196</v>
      </c>
      <c r="W139" s="114" t="n">
        <f aca="false">N139/$R$3</f>
        <v>-1471.892</v>
      </c>
    </row>
    <row r="140" customFormat="false" ht="13.5" hidden="true" customHeight="true" outlineLevel="0" collapsed="false">
      <c r="A140" s="108" t="n">
        <f aca="false">A139+1</f>
        <v>37026</v>
      </c>
      <c r="B140" s="119" t="str">
        <f aca="false">INDEX('Master Data'!$A$2:$B$8,MATCH(WEEKDAY('ARG Gas Transport'!A140,3),'Master Data'!$A$2:$A$8,0),2)</f>
        <v>T</v>
      </c>
      <c r="D140" s="112" t="n">
        <v>0</v>
      </c>
      <c r="E140" s="112" t="n">
        <v>0</v>
      </c>
      <c r="F140" s="112" t="n">
        <v>0</v>
      </c>
      <c r="G140" s="112" t="n">
        <v>27</v>
      </c>
      <c r="I140" s="112" t="n">
        <f aca="false">IF(MONTH($A140)=MONTH($A139),IF(G140=0,I139,G140),G140)</f>
        <v>27</v>
      </c>
      <c r="J140" s="112" t="n">
        <f aca="false">IF(MONTH($A140)=MONTH($A139),SUM(I140-I139),I140)</f>
        <v>1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-703195</v>
      </c>
      <c r="N140" s="112" t="n">
        <f aca="false">SUM(J$6:J140)</f>
        <v>-1471891</v>
      </c>
      <c r="P140" s="112" t="n">
        <f aca="false">D140/P$3</f>
        <v>0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0.001</v>
      </c>
      <c r="T140" s="114" t="n">
        <f aca="false">L140/$R$3</f>
        <v>0</v>
      </c>
      <c r="U140" s="114" t="n">
        <f aca="false">I140/$R$3</f>
        <v>0.027</v>
      </c>
      <c r="V140" s="114" t="n">
        <f aca="false">M140/$R$3</f>
        <v>-703.195</v>
      </c>
      <c r="W140" s="114" t="n">
        <f aca="false">N140/$R$3</f>
        <v>-1471.891</v>
      </c>
    </row>
    <row r="141" customFormat="false" ht="13.5" hidden="true" customHeight="true" outlineLevel="0" collapsed="false">
      <c r="A141" s="108" t="n">
        <f aca="false">A140+1</f>
        <v>37027</v>
      </c>
      <c r="B141" s="119" t="str">
        <f aca="false">INDEX('Master Data'!$A$2:$B$8,MATCH(WEEKDAY('ARG Gas Transport'!A141,3),'Master Data'!$A$2:$A$8,0),2)</f>
        <v>W</v>
      </c>
      <c r="D141" s="112" t="n">
        <v>0</v>
      </c>
      <c r="E141" s="112" t="n">
        <v>0</v>
      </c>
      <c r="F141" s="112" t="n">
        <v>0</v>
      </c>
      <c r="G141" s="112" t="n">
        <v>27</v>
      </c>
      <c r="I141" s="112" t="n">
        <f aca="false">IF(MONTH($A141)=MONTH($A140),IF(G141=0,I140,G141),G141)</f>
        <v>27</v>
      </c>
      <c r="J141" s="112" t="n">
        <f aca="false">IF(MONTH($A141)=MONTH($A140),SUM(I141-I140),I141)</f>
        <v>0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-703195</v>
      </c>
      <c r="N141" s="112" t="n">
        <f aca="false">SUM(J$6:J141)</f>
        <v>-1471891</v>
      </c>
      <c r="P141" s="112" t="n">
        <f aca="false">D141/P$3</f>
        <v>0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0</v>
      </c>
      <c r="T141" s="114" t="n">
        <f aca="false">L141/$R$3</f>
        <v>0</v>
      </c>
      <c r="U141" s="114" t="n">
        <f aca="false">I141/$R$3</f>
        <v>0.027</v>
      </c>
      <c r="V141" s="114" t="n">
        <f aca="false">M141/$R$3</f>
        <v>-703.195</v>
      </c>
      <c r="W141" s="114" t="n">
        <f aca="false">N141/$R$3</f>
        <v>-1471.891</v>
      </c>
    </row>
    <row r="142" customFormat="false" ht="13.5" hidden="true" customHeight="true" outlineLevel="0" collapsed="false">
      <c r="A142" s="108" t="n">
        <f aca="false">A141+1</f>
        <v>37028</v>
      </c>
      <c r="B142" s="119" t="str">
        <f aca="false">INDEX('Master Data'!$A$2:$B$8,MATCH(WEEKDAY('ARG Gas Transport'!A142,3),'Master Data'!$A$2:$A$8,0),2)</f>
        <v>Th</v>
      </c>
      <c r="D142" s="112" t="n">
        <v>0</v>
      </c>
      <c r="E142" s="112" t="n">
        <v>0</v>
      </c>
      <c r="F142" s="112" t="n">
        <v>0</v>
      </c>
      <c r="G142" s="112" t="n">
        <v>26</v>
      </c>
      <c r="I142" s="112" t="n">
        <f aca="false">IF(MONTH($A142)=MONTH($A141),IF(G142=0,I141,G142),G142)</f>
        <v>26</v>
      </c>
      <c r="J142" s="112" t="n">
        <f aca="false">IF(MONTH($A142)=MONTH($A141),SUM(I142-I141),I142)</f>
        <v>-1</v>
      </c>
      <c r="K142" s="112" t="n">
        <f aca="false">IF(WEEKDAY(A142,3)&gt;4,0,(IF(A142&lt;K$2,0,IF(A142&lt;=K$3,1,0))))</f>
        <v>0</v>
      </c>
      <c r="L142" s="112" t="n">
        <f aca="false">J142*K142</f>
        <v>-0</v>
      </c>
      <c r="M142" s="112" t="n">
        <f aca="false">SUM(J$97:J142)</f>
        <v>-703196</v>
      </c>
      <c r="N142" s="112" t="n">
        <f aca="false">SUM(J$6:J142)</f>
        <v>-1471892</v>
      </c>
      <c r="P142" s="112" t="n">
        <f aca="false">D142/P$3</f>
        <v>0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-0.001</v>
      </c>
      <c r="T142" s="114" t="n">
        <f aca="false">L142/$R$3</f>
        <v>-0</v>
      </c>
      <c r="U142" s="114" t="n">
        <f aca="false">I142/$R$3</f>
        <v>0.026</v>
      </c>
      <c r="V142" s="114" t="n">
        <f aca="false">M142/$R$3</f>
        <v>-703.196</v>
      </c>
      <c r="W142" s="114" t="n">
        <f aca="false">N142/$R$3</f>
        <v>-1471.892</v>
      </c>
    </row>
    <row r="143" customFormat="false" ht="13.5" hidden="true" customHeight="true" outlineLevel="0" collapsed="false">
      <c r="A143" s="108" t="n">
        <f aca="false">A142+1</f>
        <v>37029</v>
      </c>
      <c r="B143" s="119" t="str">
        <f aca="false">INDEX('Master Data'!$A$2:$B$8,MATCH(WEEKDAY('ARG Gas Transport'!A143,3),'Master Data'!$A$2:$A$8,0),2)</f>
        <v>F</v>
      </c>
      <c r="D143" s="112" t="n">
        <v>0</v>
      </c>
      <c r="E143" s="112" t="n">
        <v>0</v>
      </c>
      <c r="F143" s="112" t="n">
        <v>0</v>
      </c>
      <c r="G143" s="112" t="n">
        <v>-62011</v>
      </c>
      <c r="I143" s="112" t="n">
        <f aca="false">IF(MONTH($A143)=MONTH($A142),IF(G143=0,I142,G143),G143)</f>
        <v>-62011</v>
      </c>
      <c r="J143" s="112" t="n">
        <f aca="false">IF(MONTH($A143)=MONTH($A142),SUM(I143-I142),I143)</f>
        <v>-62037</v>
      </c>
      <c r="K143" s="112" t="n">
        <f aca="false">IF(WEEKDAY(A143,3)&gt;4,0,(IF(A143&lt;K$2,0,IF(A143&lt;=K$3,1,0))))</f>
        <v>0</v>
      </c>
      <c r="L143" s="112" t="n">
        <f aca="false">J143*K143</f>
        <v>-0</v>
      </c>
      <c r="M143" s="112" t="n">
        <f aca="false">SUM(J$97:J143)</f>
        <v>-765233</v>
      </c>
      <c r="N143" s="112" t="n">
        <f aca="false">SUM(J$6:J143)</f>
        <v>-1533929</v>
      </c>
      <c r="P143" s="112" t="n">
        <f aca="false">D143/P$3</f>
        <v>0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-62.037</v>
      </c>
      <c r="T143" s="114" t="n">
        <f aca="false">L143/$R$3</f>
        <v>-0</v>
      </c>
      <c r="U143" s="114" t="n">
        <f aca="false">I143/$R$3</f>
        <v>-62.011</v>
      </c>
      <c r="V143" s="114" t="n">
        <f aca="false">M143/$R$3</f>
        <v>-765.233</v>
      </c>
      <c r="W143" s="114" t="n">
        <f aca="false">N143/$R$3</f>
        <v>-1533.929</v>
      </c>
    </row>
    <row r="144" customFormat="false" ht="13.5" hidden="true" customHeight="true" outlineLevel="0" collapsed="false">
      <c r="A144" s="108" t="n">
        <f aca="false">A143+1</f>
        <v>37030</v>
      </c>
      <c r="B144" s="119" t="str">
        <f aca="false">INDEX('Master Data'!$A$2:$B$8,MATCH(WEEKDAY('ARG Gas Transport'!A144,3),'Master Data'!$A$2:$A$8,0),2)</f>
        <v>Sa</v>
      </c>
      <c r="D144" s="112"/>
      <c r="E144" s="112"/>
      <c r="F144" s="112"/>
      <c r="G144" s="112"/>
      <c r="I144" s="112" t="n">
        <f aca="false">IF(MONTH($A144)=MONTH($A143),IF(G144=0,I143,G144),G144)</f>
        <v>-62011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-765233</v>
      </c>
      <c r="N144" s="112" t="n">
        <f aca="false">SUM(J$6:J144)</f>
        <v>-1533929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-62.011</v>
      </c>
      <c r="V144" s="114" t="n">
        <f aca="false">M144/$R$3</f>
        <v>-765.233</v>
      </c>
      <c r="W144" s="114" t="n">
        <f aca="false">N144/$R$3</f>
        <v>-1533.929</v>
      </c>
    </row>
    <row r="145" customFormat="false" ht="13.5" hidden="true" customHeight="true" outlineLevel="0" collapsed="false">
      <c r="A145" s="108" t="n">
        <f aca="false">A144+1</f>
        <v>37031</v>
      </c>
      <c r="B145" s="119" t="str">
        <f aca="false">INDEX('Master Data'!$A$2:$B$8,MATCH(WEEKDAY('ARG Gas Transport'!A145,3),'Master Data'!$A$2:$A$8,0),2)</f>
        <v>Su</v>
      </c>
      <c r="D145" s="112"/>
      <c r="E145" s="112"/>
      <c r="F145" s="112"/>
      <c r="G145" s="112"/>
      <c r="I145" s="112" t="n">
        <f aca="false">IF(MONTH($A145)=MONTH($A144),IF(G145=0,I144,G145),G145)</f>
        <v>-62011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-765233</v>
      </c>
      <c r="N145" s="112" t="n">
        <f aca="false">SUM(J$6:J145)</f>
        <v>-1533929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-62.011</v>
      </c>
      <c r="V145" s="114" t="n">
        <f aca="false">M145/$R$3</f>
        <v>-765.233</v>
      </c>
      <c r="W145" s="114" t="n">
        <f aca="false">N145/$R$3</f>
        <v>-1533.929</v>
      </c>
    </row>
    <row r="146" customFormat="false" ht="13.5" hidden="true" customHeight="true" outlineLevel="0" collapsed="false">
      <c r="A146" s="108" t="n">
        <f aca="false">A145+1</f>
        <v>37032</v>
      </c>
      <c r="B146" s="119" t="str">
        <f aca="false">INDEX('Master Data'!$A$2:$B$8,MATCH(WEEKDAY('ARG Gas Transport'!A146,3),'Master Data'!$A$2:$A$8,0),2)</f>
        <v>M</v>
      </c>
      <c r="D146" s="112" t="n">
        <v>0</v>
      </c>
      <c r="E146" s="112" t="n">
        <v>0</v>
      </c>
      <c r="F146" s="112" t="n">
        <v>0</v>
      </c>
      <c r="G146" s="112" t="n">
        <v>-62011</v>
      </c>
      <c r="I146" s="112" t="n">
        <f aca="false">IF(MONTH($A146)=MONTH($A145),IF(G146=0,I145,G146),G146)</f>
        <v>-62011</v>
      </c>
      <c r="J146" s="112" t="n">
        <f aca="false">IF(MONTH($A146)=MONTH($A145),SUM(I146-I145),I146)</f>
        <v>0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-765233</v>
      </c>
      <c r="N146" s="112" t="n">
        <f aca="false">SUM(J$6:J146)</f>
        <v>-1533929</v>
      </c>
      <c r="P146" s="112" t="n">
        <f aca="false">D146/P$3</f>
        <v>0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0</v>
      </c>
      <c r="T146" s="114" t="n">
        <f aca="false">L146/$R$3</f>
        <v>0</v>
      </c>
      <c r="U146" s="114" t="n">
        <f aca="false">I146/$R$3</f>
        <v>-62.011</v>
      </c>
      <c r="V146" s="114" t="n">
        <f aca="false">M146/$R$3</f>
        <v>-765.233</v>
      </c>
      <c r="W146" s="114" t="n">
        <f aca="false">N146/$R$3</f>
        <v>-1533.929</v>
      </c>
    </row>
    <row r="147" customFormat="false" ht="13.5" hidden="true" customHeight="true" outlineLevel="0" collapsed="false">
      <c r="A147" s="108" t="n">
        <f aca="false">A146+1</f>
        <v>37033</v>
      </c>
      <c r="B147" s="119" t="str">
        <f aca="false">INDEX('Master Data'!$A$2:$B$8,MATCH(WEEKDAY('ARG Gas Transport'!A147,3),'Master Data'!$A$2:$A$8,0),2)</f>
        <v>T</v>
      </c>
      <c r="D147" s="112" t="n">
        <v>0</v>
      </c>
      <c r="E147" s="112" t="n">
        <v>0</v>
      </c>
      <c r="F147" s="112" t="n">
        <v>0</v>
      </c>
      <c r="G147" s="112" t="n">
        <v>-62011</v>
      </c>
      <c r="I147" s="112" t="n">
        <f aca="false">IF(MONTH($A147)=MONTH($A146),IF(G147=0,I146,G147),G147)</f>
        <v>-62011</v>
      </c>
      <c r="J147" s="112" t="n">
        <f aca="false">IF(MONTH($A147)=MONTH($A146),SUM(I147-I146),I147)</f>
        <v>0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-765233</v>
      </c>
      <c r="N147" s="112" t="n">
        <f aca="false">SUM(J$6:J147)</f>
        <v>-1533929</v>
      </c>
      <c r="P147" s="112" t="n">
        <f aca="false">D147/P$3</f>
        <v>0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0</v>
      </c>
      <c r="T147" s="114" t="n">
        <f aca="false">L147/$R$3</f>
        <v>0</v>
      </c>
      <c r="U147" s="114" t="n">
        <f aca="false">I147/$R$3</f>
        <v>-62.011</v>
      </c>
      <c r="V147" s="114" t="n">
        <f aca="false">M147/$R$3</f>
        <v>-765.233</v>
      </c>
      <c r="W147" s="114" t="n">
        <f aca="false">N147/$R$3</f>
        <v>-1533.929</v>
      </c>
    </row>
    <row r="148" customFormat="false" ht="13.5" hidden="true" customHeight="true" outlineLevel="0" collapsed="false">
      <c r="A148" s="108" t="n">
        <f aca="false">A147+1</f>
        <v>37034</v>
      </c>
      <c r="B148" s="119" t="str">
        <f aca="false">INDEX('Master Data'!$A$2:$B$8,MATCH(WEEKDAY('ARG Gas Transport'!A148,3),'Master Data'!$A$2:$A$8,0),2)</f>
        <v>W</v>
      </c>
      <c r="D148" s="112" t="n">
        <v>0</v>
      </c>
      <c r="E148" s="112" t="n">
        <v>0</v>
      </c>
      <c r="F148" s="112" t="n">
        <v>0</v>
      </c>
      <c r="G148" s="112" t="n">
        <v>-62010</v>
      </c>
      <c r="I148" s="112" t="n">
        <f aca="false">IF(MONTH($A148)=MONTH($A147),IF(G148=0,I147,G148),G148)</f>
        <v>-62010</v>
      </c>
      <c r="J148" s="112" t="n">
        <f aca="false">IF(MONTH($A148)=MONTH($A147),SUM(I148-I147),I148)</f>
        <v>1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-765232</v>
      </c>
      <c r="N148" s="112" t="n">
        <f aca="false">SUM(J$6:J148)</f>
        <v>-1533928</v>
      </c>
      <c r="P148" s="112" t="n">
        <f aca="false">D148/P$3</f>
        <v>0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0.001</v>
      </c>
      <c r="T148" s="114" t="n">
        <f aca="false">L148/$R$3</f>
        <v>0</v>
      </c>
      <c r="U148" s="114" t="n">
        <f aca="false">I148/$R$3</f>
        <v>-62.01</v>
      </c>
      <c r="V148" s="114" t="n">
        <f aca="false">M148/$R$3</f>
        <v>-765.232</v>
      </c>
      <c r="W148" s="114" t="n">
        <f aca="false">N148/$R$3</f>
        <v>-1533.928</v>
      </c>
    </row>
    <row r="149" customFormat="false" ht="13.5" hidden="true" customHeight="true" outlineLevel="0" collapsed="false">
      <c r="A149" s="108" t="n">
        <f aca="false">A148+1</f>
        <v>37035</v>
      </c>
      <c r="B149" s="119" t="str">
        <f aca="false">INDEX('Master Data'!$A$2:$B$8,MATCH(WEEKDAY('ARG Gas Transport'!A149,3),'Master Data'!$A$2:$A$8,0),2)</f>
        <v>Th</v>
      </c>
      <c r="D149" s="112"/>
      <c r="E149" s="112"/>
      <c r="F149" s="112"/>
      <c r="G149" s="112" t="n">
        <v>-62011</v>
      </c>
      <c r="I149" s="112" t="n">
        <f aca="false">IF(MONTH($A149)=MONTH($A148),IF(G149=0,I148,G149),G149)</f>
        <v>-62011</v>
      </c>
      <c r="J149" s="112" t="n">
        <f aca="false">IF(MONTH($A149)=MONTH($A148),SUM(I149-I148),I149)</f>
        <v>-1</v>
      </c>
      <c r="K149" s="112" t="n">
        <f aca="false">IF(WEEKDAY(A149,3)&gt;4,0,(IF(A149&lt;K$2,0,IF(A149&lt;=K$3,1,0))))</f>
        <v>0</v>
      </c>
      <c r="L149" s="112" t="n">
        <f aca="false">J149*K149</f>
        <v>-0</v>
      </c>
      <c r="M149" s="112" t="n">
        <f aca="false">SUM(J$97:J149)</f>
        <v>-765233</v>
      </c>
      <c r="N149" s="112" t="n">
        <f aca="false">SUM(J$6:J149)</f>
        <v>-1533929</v>
      </c>
      <c r="P149" s="112" t="n">
        <f aca="false">D149/P$3</f>
        <v>0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-0.001</v>
      </c>
      <c r="T149" s="114" t="n">
        <f aca="false">L149/$R$3</f>
        <v>-0</v>
      </c>
      <c r="U149" s="114" t="n">
        <f aca="false">I149/$R$3</f>
        <v>-62.011</v>
      </c>
      <c r="V149" s="114" t="n">
        <f aca="false">M149/$R$3</f>
        <v>-765.233</v>
      </c>
      <c r="W149" s="114" t="n">
        <f aca="false">N149/$R$3</f>
        <v>-1533.929</v>
      </c>
    </row>
    <row r="150" customFormat="false" ht="13.5" hidden="true" customHeight="true" outlineLevel="0" collapsed="false">
      <c r="A150" s="108" t="n">
        <f aca="false">A149+1</f>
        <v>37036</v>
      </c>
      <c r="B150" s="119" t="str">
        <f aca="false">INDEX('Master Data'!$A$2:$B$8,MATCH(WEEKDAY('ARG Gas Transport'!A150,3),'Master Data'!$A$2:$A$8,0),2)</f>
        <v>F</v>
      </c>
      <c r="D150" s="112"/>
      <c r="E150" s="112"/>
      <c r="F150" s="112"/>
      <c r="G150" s="112" t="n">
        <v>-62009</v>
      </c>
      <c r="I150" s="112" t="n">
        <f aca="false">IF(MONTH($A150)=MONTH($A149),IF(G150=0,I149,G150),G150)</f>
        <v>-62009</v>
      </c>
      <c r="J150" s="112" t="n">
        <f aca="false">IF(MONTH($A150)=MONTH($A149),SUM(I150-I149),I150)</f>
        <v>2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-765231</v>
      </c>
      <c r="N150" s="112" t="n">
        <f aca="false">SUM(J$6:J150)</f>
        <v>-1533927</v>
      </c>
      <c r="P150" s="112" t="n">
        <f aca="false">D150/P$3</f>
        <v>0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0.002</v>
      </c>
      <c r="T150" s="114" t="n">
        <f aca="false">L150/$R$3</f>
        <v>0</v>
      </c>
      <c r="U150" s="114" t="n">
        <f aca="false">I150/$R$3</f>
        <v>-62.009</v>
      </c>
      <c r="V150" s="114" t="n">
        <f aca="false">M150/$R$3</f>
        <v>-765.231</v>
      </c>
      <c r="W150" s="114" t="n">
        <f aca="false">N150/$R$3</f>
        <v>-1533.927</v>
      </c>
    </row>
    <row r="151" customFormat="false" ht="13.5" hidden="true" customHeight="true" outlineLevel="0" collapsed="false">
      <c r="A151" s="108" t="n">
        <f aca="false">A150+1</f>
        <v>37037</v>
      </c>
      <c r="B151" s="119" t="str">
        <f aca="false">INDEX('Master Data'!$A$2:$B$8,MATCH(WEEKDAY('ARG Gas Transport'!A151,3),'Master Data'!$A$2:$A$8,0),2)</f>
        <v>Sa</v>
      </c>
      <c r="D151" s="112"/>
      <c r="E151" s="112"/>
      <c r="F151" s="112"/>
      <c r="G151" s="112"/>
      <c r="I151" s="112" t="n">
        <f aca="false">IF(MONTH($A151)=MONTH($A150),IF(G151=0,I150,G151),G151)</f>
        <v>-62009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-765231</v>
      </c>
      <c r="N151" s="112" t="n">
        <f aca="false">SUM(J$6:J151)</f>
        <v>-1533927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-62.009</v>
      </c>
      <c r="V151" s="114" t="n">
        <f aca="false">M151/$R$3</f>
        <v>-765.231</v>
      </c>
      <c r="W151" s="114" t="n">
        <f aca="false">N151/$R$3</f>
        <v>-1533.927</v>
      </c>
    </row>
    <row r="152" customFormat="false" ht="13.5" hidden="true" customHeight="true" outlineLevel="0" collapsed="false">
      <c r="A152" s="108" t="n">
        <f aca="false">A151+1</f>
        <v>37038</v>
      </c>
      <c r="B152" s="119" t="str">
        <f aca="false">INDEX('Master Data'!$A$2:$B$8,MATCH(WEEKDAY('ARG Gas Transport'!A152,3),'Master Data'!$A$2:$A$8,0),2)</f>
        <v>Su</v>
      </c>
      <c r="D152" s="112"/>
      <c r="E152" s="112"/>
      <c r="F152" s="112"/>
      <c r="G152" s="112"/>
      <c r="I152" s="112" t="n">
        <f aca="false">IF(MONTH($A152)=MONTH($A151),IF(G152=0,I151,G152),G152)</f>
        <v>-62009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-765231</v>
      </c>
      <c r="N152" s="112" t="n">
        <f aca="false">SUM(J$6:J152)</f>
        <v>-1533927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-62.009</v>
      </c>
      <c r="V152" s="114" t="n">
        <f aca="false">M152/$R$3</f>
        <v>-765.231</v>
      </c>
      <c r="W152" s="114" t="n">
        <f aca="false">N152/$R$3</f>
        <v>-1533.927</v>
      </c>
    </row>
    <row r="153" customFormat="false" ht="13.5" hidden="true" customHeight="true" outlineLevel="0" collapsed="false">
      <c r="A153" s="108" t="n">
        <f aca="false">A152+1</f>
        <v>37039</v>
      </c>
      <c r="B153" s="119" t="str">
        <f aca="false">INDEX('Master Data'!$A$2:$B$8,MATCH(WEEKDAY('ARG Gas Transport'!A153,3),'Master Data'!$A$2:$A$8,0),2)</f>
        <v>M</v>
      </c>
      <c r="D153" s="112"/>
      <c r="E153" s="112"/>
      <c r="F153" s="112"/>
      <c r="G153" s="112"/>
      <c r="I153" s="112" t="n">
        <f aca="false">IF(MONTH($A153)=MONTH($A152),IF(G153=0,I152,G153),G153)</f>
        <v>-62009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-765231</v>
      </c>
      <c r="N153" s="112" t="n">
        <f aca="false">SUM(J$6:J153)</f>
        <v>-1533927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-62.009</v>
      </c>
      <c r="V153" s="114" t="n">
        <f aca="false">M153/$R$3</f>
        <v>-765.231</v>
      </c>
      <c r="W153" s="114" t="n">
        <f aca="false">N153/$R$3</f>
        <v>-1533.927</v>
      </c>
    </row>
    <row r="154" customFormat="false" ht="13.5" hidden="true" customHeight="true" outlineLevel="0" collapsed="false">
      <c r="A154" s="108" t="n">
        <f aca="false">A153+1</f>
        <v>37040</v>
      </c>
      <c r="B154" s="119" t="str">
        <f aca="false">INDEX('Master Data'!$A$2:$B$8,MATCH(WEEKDAY('ARG Gas Transport'!A154,3),'Master Data'!$A$2:$A$8,0),2)</f>
        <v>T</v>
      </c>
      <c r="D154" s="112"/>
      <c r="E154" s="112"/>
      <c r="F154" s="112"/>
      <c r="G154" s="112" t="n">
        <v>-62010</v>
      </c>
      <c r="I154" s="112" t="n">
        <f aca="false">IF(MONTH($A154)=MONTH($A153),IF(G154=0,I153,G154),G154)</f>
        <v>-62010</v>
      </c>
      <c r="J154" s="112" t="n">
        <f aca="false">IF(MONTH($A154)=MONTH($A153),SUM(I154-I153),I154)</f>
        <v>-1</v>
      </c>
      <c r="K154" s="112" t="n">
        <f aca="false">IF(WEEKDAY(A154,3)&gt;4,0,(IF(A154&lt;K$2,0,IF(A154&lt;=K$3,1,0))))</f>
        <v>0</v>
      </c>
      <c r="L154" s="112" t="n">
        <f aca="false">J154*K154</f>
        <v>-0</v>
      </c>
      <c r="M154" s="112" t="n">
        <f aca="false">SUM(J$97:J154)</f>
        <v>-765232</v>
      </c>
      <c r="N154" s="112" t="n">
        <f aca="false">SUM(J$6:J154)</f>
        <v>-1533928</v>
      </c>
      <c r="P154" s="112" t="n">
        <f aca="false">D154/P$3</f>
        <v>0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-0.001</v>
      </c>
      <c r="T154" s="114" t="n">
        <f aca="false">L154/$R$3</f>
        <v>-0</v>
      </c>
      <c r="U154" s="114" t="n">
        <f aca="false">I154/$R$3</f>
        <v>-62.01</v>
      </c>
      <c r="V154" s="114" t="n">
        <f aca="false">M154/$R$3</f>
        <v>-765.232</v>
      </c>
      <c r="W154" s="114" t="n">
        <f aca="false">N154/$R$3</f>
        <v>-1533.928</v>
      </c>
    </row>
    <row r="155" customFormat="false" ht="13.5" hidden="true" customHeight="true" outlineLevel="0" collapsed="false">
      <c r="A155" s="108" t="n">
        <f aca="false">A154+1</f>
        <v>37041</v>
      </c>
      <c r="B155" s="119" t="str">
        <f aca="false">INDEX('Master Data'!$A$2:$B$8,MATCH(WEEKDAY('ARG Gas Transport'!A155,3),'Master Data'!$A$2:$A$8,0),2)</f>
        <v>W</v>
      </c>
      <c r="D155" s="112"/>
      <c r="E155" s="112"/>
      <c r="F155" s="112"/>
      <c r="G155" s="112" t="n">
        <v>-62009</v>
      </c>
      <c r="I155" s="112" t="n">
        <f aca="false">IF(MONTH($A155)=MONTH($A154),IF(G155=0,I154,G155),G155)</f>
        <v>-62009</v>
      </c>
      <c r="J155" s="112" t="n">
        <f aca="false">IF(MONTH($A155)=MONTH($A154),SUM(I155-I154),I155)</f>
        <v>1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-765231</v>
      </c>
      <c r="N155" s="112" t="n">
        <f aca="false">SUM(J$6:J155)</f>
        <v>-1533927</v>
      </c>
      <c r="P155" s="112" t="n">
        <f aca="false">D155/P$3</f>
        <v>0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0.001</v>
      </c>
      <c r="T155" s="114" t="n">
        <f aca="false">L155/$R$3</f>
        <v>0</v>
      </c>
      <c r="U155" s="114" t="n">
        <f aca="false">I155/$R$3</f>
        <v>-62.009</v>
      </c>
      <c r="V155" s="114" t="n">
        <f aca="false">M155/$R$3</f>
        <v>-765.231</v>
      </c>
      <c r="W155" s="114" t="n">
        <f aca="false">N155/$R$3</f>
        <v>-1533.927</v>
      </c>
    </row>
    <row r="156" customFormat="false" ht="13.5" hidden="false" customHeight="true" outlineLevel="0" collapsed="false">
      <c r="A156" s="108" t="n">
        <f aca="false">A155+1</f>
        <v>37042</v>
      </c>
      <c r="B156" s="119" t="str">
        <f aca="false">INDEX('Master Data'!$A$2:$B$8,MATCH(WEEKDAY('ARG Gas Transport'!A156,3),'Master Data'!$A$2:$A$8,0),2)</f>
        <v>Th</v>
      </c>
      <c r="D156" s="112"/>
      <c r="E156" s="112"/>
      <c r="F156" s="112"/>
      <c r="G156" s="112" t="n">
        <v>-62007</v>
      </c>
      <c r="I156" s="112" t="n">
        <f aca="false">IF(MONTH($A156)=MONTH($A155),IF(G156=0,I155,G156),G156)</f>
        <v>-62007</v>
      </c>
      <c r="J156" s="112" t="n">
        <f aca="false">IF(MONTH($A156)=MONTH($A155),SUM(I156-I155),I156)</f>
        <v>2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-765229</v>
      </c>
      <c r="N156" s="112" t="n">
        <f aca="false">SUM(J$6:J156)</f>
        <v>-1533925</v>
      </c>
      <c r="P156" s="112" t="n">
        <f aca="false">D156/P$3</f>
        <v>0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0.002</v>
      </c>
      <c r="T156" s="114" t="n">
        <f aca="false">L156/$R$3</f>
        <v>0</v>
      </c>
      <c r="U156" s="114" t="n">
        <f aca="false">I156/$R$3</f>
        <v>-62.007</v>
      </c>
      <c r="V156" s="114" t="n">
        <f aca="false">M156/$R$3</f>
        <v>-765.229</v>
      </c>
      <c r="W156" s="114" t="n">
        <f aca="false">N156/$R$3</f>
        <v>-1533.925</v>
      </c>
    </row>
    <row r="157" customFormat="false" ht="13.5" hidden="true" customHeight="true" outlineLevel="0" collapsed="false">
      <c r="A157" s="108" t="n">
        <f aca="false">A156+1</f>
        <v>37043</v>
      </c>
      <c r="B157" s="119" t="str">
        <f aca="false">INDEX('Master Data'!$A$2:$B$8,MATCH(WEEKDAY('ARG Gas Transport'!A157,3),'Master Data'!$A$2:$A$8,0),2)</f>
        <v>F</v>
      </c>
      <c r="D157" s="112"/>
      <c r="E157" s="112"/>
      <c r="F157" s="112"/>
      <c r="G157" s="112" t="n">
        <v>-2</v>
      </c>
      <c r="I157" s="112" t="n">
        <f aca="false">IF(MONTH($A157)=MONTH($A156),IF(G157=0,I156,G157),G157)</f>
        <v>-2</v>
      </c>
      <c r="J157" s="112" t="n">
        <f aca="false">IF(MONTH($A157)=MONTH($A156),SUM(I157-I156),I157)</f>
        <v>-2</v>
      </c>
      <c r="K157" s="112" t="n">
        <f aca="false">IF(WEEKDAY(A157,3)&gt;4,0,(IF(A157&lt;K$2,0,IF(A157&lt;=K$3,1,0))))</f>
        <v>0</v>
      </c>
      <c r="L157" s="112" t="n">
        <f aca="false">J157*K157</f>
        <v>-0</v>
      </c>
      <c r="M157" s="112" t="n">
        <f aca="false">SUM(J$97:J157)</f>
        <v>-765231</v>
      </c>
      <c r="N157" s="112" t="n">
        <f aca="false">SUM(J$6:J157)</f>
        <v>-1533927</v>
      </c>
      <c r="P157" s="112" t="n">
        <f aca="false">D157/P$3</f>
        <v>0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-0.002</v>
      </c>
      <c r="T157" s="114" t="n">
        <f aca="false">L157/$R$3</f>
        <v>-0</v>
      </c>
      <c r="U157" s="114" t="n">
        <f aca="false">I157/$R$3</f>
        <v>-0.002</v>
      </c>
      <c r="V157" s="114" t="n">
        <f aca="false">M157/$R$3</f>
        <v>-765.231</v>
      </c>
      <c r="W157" s="114" t="n">
        <f aca="false">N157/$R$3</f>
        <v>-1533.927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Data'!$A$2:$B$8,MATCH(WEEKDAY('ARG Gas Transport'!A158,3),'Master Data'!$A$2:$A$8,0),2)</f>
        <v>Sa</v>
      </c>
      <c r="D158" s="112"/>
      <c r="E158" s="112"/>
      <c r="F158" s="112"/>
      <c r="G158" s="112"/>
      <c r="I158" s="112" t="n">
        <f aca="false">IF(MONTH($A158)=MONTH($A157),IF(G158=0,I157,G158),G158)</f>
        <v>-2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-765231</v>
      </c>
      <c r="N158" s="112" t="n">
        <f aca="false">SUM(J$6:J158)</f>
        <v>-1533927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-0.002</v>
      </c>
      <c r="V158" s="114" t="n">
        <f aca="false">M158/$R$3</f>
        <v>-765.231</v>
      </c>
      <c r="W158" s="114" t="n">
        <f aca="false">N158/$R$3</f>
        <v>-1533.927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Data'!$A$2:$B$8,MATCH(WEEKDAY('ARG Gas Transport'!A159,3),'Master Data'!$A$2:$A$8,0),2)</f>
        <v>Su</v>
      </c>
      <c r="D159" s="112"/>
      <c r="E159" s="112"/>
      <c r="F159" s="112"/>
      <c r="G159" s="112"/>
      <c r="I159" s="112" t="n">
        <f aca="false">IF(MONTH($A159)=MONTH($A158),IF(G159=0,I158,G159),G159)</f>
        <v>-2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-765231</v>
      </c>
      <c r="N159" s="112" t="n">
        <f aca="false">SUM(J$6:J159)</f>
        <v>-1533927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-0.002</v>
      </c>
      <c r="V159" s="114" t="n">
        <f aca="false">M159/$R$3</f>
        <v>-765.231</v>
      </c>
      <c r="W159" s="114" t="n">
        <f aca="false">N159/$R$3</f>
        <v>-1533.927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Data'!$A$2:$B$8,MATCH(WEEKDAY('ARG Gas Transport'!A160,3),'Master Data'!$A$2:$A$8,0),2)</f>
        <v>M</v>
      </c>
      <c r="D160" s="112"/>
      <c r="E160" s="112"/>
      <c r="F160" s="112"/>
      <c r="G160" s="112" t="n">
        <v>-1</v>
      </c>
      <c r="I160" s="112" t="n">
        <f aca="false">IF(MONTH($A160)=MONTH($A159),IF(G160=0,I159,G160),G160)</f>
        <v>-1</v>
      </c>
      <c r="J160" s="112" t="n">
        <f aca="false">IF(MONTH($A160)=MONTH($A159),SUM(I160-I159),I160)</f>
        <v>1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-765230</v>
      </c>
      <c r="N160" s="112" t="n">
        <f aca="false">SUM(J$6:J160)</f>
        <v>-1533926</v>
      </c>
      <c r="P160" s="112" t="n">
        <f aca="false">D160/P$3</f>
        <v>0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0.001</v>
      </c>
      <c r="T160" s="114" t="n">
        <f aca="false">L160/$R$3</f>
        <v>0</v>
      </c>
      <c r="U160" s="114" t="n">
        <f aca="false">I160/$R$3</f>
        <v>-0.001</v>
      </c>
      <c r="V160" s="114" t="n">
        <f aca="false">M160/$R$3</f>
        <v>-765.23</v>
      </c>
      <c r="W160" s="114" t="n">
        <f aca="false">N160/$R$3</f>
        <v>-1533.926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Data'!$A$2:$B$8,MATCH(WEEKDAY('ARG Gas Transport'!A161,3),'Master Data'!$A$2:$A$8,0),2)</f>
        <v>T</v>
      </c>
      <c r="D161" s="112"/>
      <c r="E161" s="112"/>
      <c r="F161" s="112"/>
      <c r="G161" s="112" t="n">
        <v>-1</v>
      </c>
      <c r="I161" s="112" t="n">
        <f aca="false">IF(MONTH($A161)=MONTH($A160),IF(G161=0,I160,G161),G161)</f>
        <v>-1</v>
      </c>
      <c r="J161" s="112" t="n">
        <f aca="false">IF(MONTH($A161)=MONTH($A160),SUM(I161-I160),I161)</f>
        <v>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-765230</v>
      </c>
      <c r="N161" s="112" t="n">
        <f aca="false">SUM(J$6:J161)</f>
        <v>-1533926</v>
      </c>
      <c r="P161" s="112" t="n">
        <f aca="false">D161/P$3</f>
        <v>0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0</v>
      </c>
      <c r="T161" s="114" t="n">
        <f aca="false">L161/$R$3</f>
        <v>0</v>
      </c>
      <c r="U161" s="114" t="n">
        <f aca="false">I161/$R$3</f>
        <v>-0.001</v>
      </c>
      <c r="V161" s="114" t="n">
        <f aca="false">M161/$R$3</f>
        <v>-765.23</v>
      </c>
      <c r="W161" s="114" t="n">
        <f aca="false">N161/$R$3</f>
        <v>-1533.926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Data'!$A$2:$B$8,MATCH(WEEKDAY('ARG Gas Transport'!A162,3),'Master Data'!$A$2:$A$8,0),2)</f>
        <v>W</v>
      </c>
      <c r="D162" s="112"/>
      <c r="E162" s="112"/>
      <c r="F162" s="112"/>
      <c r="G162" s="112" t="n">
        <v>-1</v>
      </c>
      <c r="I162" s="112" t="n">
        <f aca="false">IF(MONTH($A162)=MONTH($A161),IF(G162=0,I161,G162),G162)</f>
        <v>-1</v>
      </c>
      <c r="J162" s="112" t="n">
        <f aca="false">IF(MONTH($A162)=MONTH($A161),SUM(I162-I161),I162)</f>
        <v>0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-765230</v>
      </c>
      <c r="N162" s="112" t="n">
        <f aca="false">SUM(J$6:J162)</f>
        <v>-1533926</v>
      </c>
      <c r="P162" s="112" t="n">
        <f aca="false">D162/P$3</f>
        <v>0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0</v>
      </c>
      <c r="T162" s="114" t="n">
        <f aca="false">L162/$R$3</f>
        <v>0</v>
      </c>
      <c r="U162" s="114" t="n">
        <f aca="false">I162/$R$3</f>
        <v>-0.001</v>
      </c>
      <c r="V162" s="114" t="n">
        <f aca="false">M162/$R$3</f>
        <v>-765.23</v>
      </c>
      <c r="W162" s="114" t="n">
        <f aca="false">N162/$R$3</f>
        <v>-1533.926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Data'!$A$2:$B$8,MATCH(WEEKDAY('ARG Gas Transport'!A163,3),'Master Data'!$A$2:$A$8,0),2)</f>
        <v>Th</v>
      </c>
      <c r="D163" s="112"/>
      <c r="E163" s="112"/>
      <c r="F163" s="112"/>
      <c r="G163" s="112" t="n">
        <v>0</v>
      </c>
      <c r="I163" s="112" t="n">
        <f aca="false">IF(MONTH($A163)=MONTH($A162),IF(G163=0,I162,G163),G163)</f>
        <v>-1</v>
      </c>
      <c r="J163" s="112" t="n">
        <f aca="false">IF(MONTH($A163)=MONTH($A162),SUM(I163-I162),I163)</f>
        <v>0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-765230</v>
      </c>
      <c r="N163" s="112" t="n">
        <f aca="false">SUM(J$6:J163)</f>
        <v>-1533926</v>
      </c>
      <c r="P163" s="112" t="n">
        <f aca="false">D163/P$3</f>
        <v>0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0</v>
      </c>
      <c r="T163" s="114" t="n">
        <f aca="false">L163/$R$3</f>
        <v>0</v>
      </c>
      <c r="U163" s="114" t="n">
        <f aca="false">I163/$R$3</f>
        <v>-0.001</v>
      </c>
      <c r="V163" s="114" t="n">
        <f aca="false">M163/$R$3</f>
        <v>-765.23</v>
      </c>
      <c r="W163" s="114" t="n">
        <f aca="false">N163/$R$3</f>
        <v>-1533.926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Data'!$A$2:$B$8,MATCH(WEEKDAY('ARG Gas Transport'!A164,3),'Master Data'!$A$2:$A$8,0),2)</f>
        <v>F</v>
      </c>
      <c r="D164" s="112"/>
      <c r="E164" s="112"/>
      <c r="F164" s="112"/>
      <c r="G164" s="112" t="n">
        <v>-2</v>
      </c>
      <c r="I164" s="112" t="n">
        <f aca="false">IF(MONTH($A164)=MONTH($A163),IF(G164=0,I163,G164),G164)</f>
        <v>-2</v>
      </c>
      <c r="J164" s="112" t="n">
        <f aca="false">IF(MONTH($A164)=MONTH($A163),SUM(I164-I163),I164)</f>
        <v>-1</v>
      </c>
      <c r="K164" s="112" t="n">
        <f aca="false">IF(WEEKDAY(A164,3)&gt;4,0,(IF(A164&lt;K$2,0,IF(A164&lt;=K$3,1,0))))</f>
        <v>0</v>
      </c>
      <c r="L164" s="112" t="n">
        <f aca="false">J164*K164</f>
        <v>-0</v>
      </c>
      <c r="M164" s="112" t="n">
        <f aca="false">SUM(J$97:J164)</f>
        <v>-765231</v>
      </c>
      <c r="N164" s="112" t="n">
        <f aca="false">SUM(J$6:J164)</f>
        <v>-1533927</v>
      </c>
      <c r="P164" s="112" t="n">
        <f aca="false">D164/P$3</f>
        <v>0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-0.001</v>
      </c>
      <c r="T164" s="114" t="n">
        <f aca="false">L164/$R$3</f>
        <v>-0</v>
      </c>
      <c r="U164" s="114" t="n">
        <f aca="false">I164/$R$3</f>
        <v>-0.002</v>
      </c>
      <c r="V164" s="114" t="n">
        <f aca="false">M164/$R$3</f>
        <v>-765.231</v>
      </c>
      <c r="W164" s="114" t="n">
        <f aca="false">N164/$R$3</f>
        <v>-1533.927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Data'!$A$2:$B$8,MATCH(WEEKDAY('ARG Gas Transport'!A165,3),'Master Data'!$A$2:$A$8,0),2)</f>
        <v>Sa</v>
      </c>
      <c r="D165" s="112"/>
      <c r="E165" s="112"/>
      <c r="F165" s="112"/>
      <c r="G165" s="112"/>
      <c r="I165" s="112" t="n">
        <f aca="false">IF(MONTH($A165)=MONTH($A164),IF(G165=0,I164,G165),G165)</f>
        <v>-2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-765231</v>
      </c>
      <c r="N165" s="112" t="n">
        <f aca="false">SUM(J$6:J165)</f>
        <v>-1533927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-0.002</v>
      </c>
      <c r="V165" s="114" t="n">
        <f aca="false">M165/$R$3</f>
        <v>-765.231</v>
      </c>
      <c r="W165" s="114" t="n">
        <f aca="false">N165/$R$3</f>
        <v>-1533.927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Data'!$A$2:$B$8,MATCH(WEEKDAY('ARG Gas Transport'!A166,3),'Master Data'!$A$2:$A$8,0),2)</f>
        <v>Su</v>
      </c>
      <c r="D166" s="112"/>
      <c r="E166" s="112"/>
      <c r="F166" s="112"/>
      <c r="G166" s="112"/>
      <c r="I166" s="112" t="n">
        <f aca="false">IF(MONTH($A166)=MONTH($A165),IF(G166=0,I165,G166),G166)</f>
        <v>-2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-765231</v>
      </c>
      <c r="N166" s="112" t="n">
        <f aca="false">SUM(J$6:J166)</f>
        <v>-1533927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-0.002</v>
      </c>
      <c r="V166" s="114" t="n">
        <f aca="false">M166/$R$3</f>
        <v>-765.231</v>
      </c>
      <c r="W166" s="114" t="n">
        <f aca="false">N166/$R$3</f>
        <v>-1533.927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Data'!$A$2:$B$8,MATCH(WEEKDAY('ARG Gas Transport'!A167,3),'Master Data'!$A$2:$A$8,0),2)</f>
        <v>M</v>
      </c>
      <c r="D167" s="112"/>
      <c r="E167" s="112"/>
      <c r="F167" s="112"/>
      <c r="G167" s="112" t="n">
        <v>1</v>
      </c>
      <c r="I167" s="112" t="n">
        <f aca="false">IF(MONTH($A167)=MONTH($A166),IF(G167=0,I166,G167),G167)</f>
        <v>1</v>
      </c>
      <c r="J167" s="112" t="n">
        <f aca="false">IF(MONTH($A167)=MONTH($A166),SUM(I167-I166),I167)</f>
        <v>3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-765228</v>
      </c>
      <c r="N167" s="112" t="n">
        <f aca="false">SUM(J$6:J167)</f>
        <v>-1533924</v>
      </c>
      <c r="P167" s="112" t="n">
        <f aca="false">D167/P$3</f>
        <v>0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0.003</v>
      </c>
      <c r="T167" s="114" t="n">
        <f aca="false">L167/$R$3</f>
        <v>0</v>
      </c>
      <c r="U167" s="114" t="n">
        <f aca="false">I167/$R$3</f>
        <v>0.001</v>
      </c>
      <c r="V167" s="114" t="n">
        <f aca="false">M167/$R$3</f>
        <v>-765.228</v>
      </c>
      <c r="W167" s="114" t="n">
        <f aca="false">N167/$R$3</f>
        <v>-1533.924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Data'!$A$2:$B$8,MATCH(WEEKDAY('ARG Gas Transport'!A168,3),'Master Data'!$A$2:$A$8,0),2)</f>
        <v>T</v>
      </c>
      <c r="D168" s="112"/>
      <c r="E168" s="112"/>
      <c r="F168" s="112"/>
      <c r="G168" s="112" t="n">
        <v>2</v>
      </c>
      <c r="I168" s="112" t="n">
        <f aca="false">IF(MONTH($A168)=MONTH($A167),IF(G168=0,I167,G168),G168)</f>
        <v>2</v>
      </c>
      <c r="J168" s="112" t="n">
        <f aca="false">IF(MONTH($A168)=MONTH($A167),SUM(I168-I167),I168)</f>
        <v>1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-765227</v>
      </c>
      <c r="N168" s="112" t="n">
        <f aca="false">SUM(J$6:J168)</f>
        <v>-1533923</v>
      </c>
      <c r="P168" s="112" t="n">
        <f aca="false">D168/P$3</f>
        <v>0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0.001</v>
      </c>
      <c r="T168" s="114" t="n">
        <f aca="false">L168/$R$3</f>
        <v>0</v>
      </c>
      <c r="U168" s="114" t="n">
        <f aca="false">I168/$R$3</f>
        <v>0.002</v>
      </c>
      <c r="V168" s="114" t="n">
        <f aca="false">M168/$R$3</f>
        <v>-765.227</v>
      </c>
      <c r="W168" s="114" t="n">
        <f aca="false">N168/$R$3</f>
        <v>-1533.923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Data'!$A$2:$B$8,MATCH(WEEKDAY('ARG Gas Transport'!A169,3),'Master Data'!$A$2:$A$8,0),2)</f>
        <v>W</v>
      </c>
      <c r="D169" s="112"/>
      <c r="E169" s="112"/>
      <c r="F169" s="112"/>
      <c r="G169" s="112" t="n">
        <v>3</v>
      </c>
      <c r="I169" s="112" t="n">
        <f aca="false">IF(MONTH($A169)=MONTH($A168),IF(G169=0,I168,G169),G169)</f>
        <v>3</v>
      </c>
      <c r="J169" s="112" t="n">
        <f aca="false">IF(MONTH($A169)=MONTH($A168),SUM(I169-I168),I169)</f>
        <v>1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-765226</v>
      </c>
      <c r="N169" s="112" t="n">
        <f aca="false">SUM(J$6:J169)</f>
        <v>-1533922</v>
      </c>
      <c r="P169" s="112" t="n">
        <f aca="false">D169/P$3</f>
        <v>0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0.001</v>
      </c>
      <c r="T169" s="114" t="n">
        <f aca="false">L169/$R$3</f>
        <v>0</v>
      </c>
      <c r="U169" s="114" t="n">
        <f aca="false">I169/$R$3</f>
        <v>0.003</v>
      </c>
      <c r="V169" s="114" t="n">
        <f aca="false">M169/$R$3</f>
        <v>-765.226</v>
      </c>
      <c r="W169" s="114" t="n">
        <f aca="false">N169/$R$3</f>
        <v>-1533.922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Data'!$A$2:$B$8,MATCH(WEEKDAY('ARG Gas Transport'!A170,3),'Master Data'!$A$2:$A$8,0),2)</f>
        <v>Th</v>
      </c>
      <c r="D170" s="112"/>
      <c r="E170" s="112"/>
      <c r="F170" s="112"/>
      <c r="G170" s="112" t="n">
        <v>3</v>
      </c>
      <c r="I170" s="112" t="n">
        <f aca="false">IF(MONTH($A170)=MONTH($A169),IF(G170=0,I169,G170),G170)</f>
        <v>3</v>
      </c>
      <c r="J170" s="112" t="n">
        <f aca="false">IF(MONTH($A170)=MONTH($A169),SUM(I170-I169),I170)</f>
        <v>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-765226</v>
      </c>
      <c r="N170" s="112" t="n">
        <f aca="false">SUM(J$6:J170)</f>
        <v>-1533922</v>
      </c>
      <c r="P170" s="112" t="n">
        <f aca="false">D170/P$3</f>
        <v>0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0</v>
      </c>
      <c r="T170" s="114" t="n">
        <f aca="false">L170/$R$3</f>
        <v>0</v>
      </c>
      <c r="U170" s="114" t="n">
        <f aca="false">I170/$R$3</f>
        <v>0.003</v>
      </c>
      <c r="V170" s="114" t="n">
        <f aca="false">M170/$R$3</f>
        <v>-765.226</v>
      </c>
      <c r="W170" s="114" t="n">
        <f aca="false">N170/$R$3</f>
        <v>-1533.922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Data'!$A$2:$B$8,MATCH(WEEKDAY('ARG Gas Transport'!A171,3),'Master Data'!$A$2:$A$8,0),2)</f>
        <v>F</v>
      </c>
      <c r="D171" s="112"/>
      <c r="E171" s="112"/>
      <c r="F171" s="112"/>
      <c r="G171" s="112" t="n">
        <v>4</v>
      </c>
      <c r="I171" s="112" t="n">
        <f aca="false">IF(MONTH($A171)=MONTH($A170),IF(G171=0,I170,G171),G171)</f>
        <v>4</v>
      </c>
      <c r="J171" s="112" t="n">
        <f aca="false">IF(MONTH($A171)=MONTH($A170),SUM(I171-I170),I171)</f>
        <v>1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-765225</v>
      </c>
      <c r="N171" s="112" t="n">
        <f aca="false">SUM(J$6:J171)</f>
        <v>-1533921</v>
      </c>
      <c r="P171" s="112" t="n">
        <f aca="false">D171/P$3</f>
        <v>0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0.001</v>
      </c>
      <c r="T171" s="114" t="n">
        <f aca="false">L171/$R$3</f>
        <v>0</v>
      </c>
      <c r="U171" s="114" t="n">
        <f aca="false">I171/$R$3</f>
        <v>0.004</v>
      </c>
      <c r="V171" s="114" t="n">
        <f aca="false">M171/$R$3</f>
        <v>-765.225</v>
      </c>
      <c r="W171" s="114" t="n">
        <f aca="false">N171/$R$3</f>
        <v>-1533.921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Data'!$A$2:$B$8,MATCH(WEEKDAY('ARG Gas Transport'!A172,3),'Master Data'!$A$2:$A$8,0),2)</f>
        <v>Sa</v>
      </c>
      <c r="D172" s="112"/>
      <c r="E172" s="112"/>
      <c r="F172" s="112"/>
      <c r="G172" s="112"/>
      <c r="I172" s="112" t="n">
        <f aca="false">IF(MONTH($A172)=MONTH($A171),IF(G172=0,I171,G172),G172)</f>
        <v>4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-765225</v>
      </c>
      <c r="N172" s="112" t="n">
        <f aca="false">SUM(J$6:J172)</f>
        <v>-1533921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0.004</v>
      </c>
      <c r="V172" s="114" t="n">
        <f aca="false">M172/$R$3</f>
        <v>-765.225</v>
      </c>
      <c r="W172" s="114" t="n">
        <f aca="false">N172/$R$3</f>
        <v>-1533.921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Data'!$A$2:$B$8,MATCH(WEEKDAY('ARG Gas Transport'!A173,3),'Master Data'!$A$2:$A$8,0),2)</f>
        <v>Su</v>
      </c>
      <c r="D173" s="112"/>
      <c r="E173" s="112"/>
      <c r="F173" s="112"/>
      <c r="G173" s="112"/>
      <c r="I173" s="112" t="n">
        <f aca="false">IF(MONTH($A173)=MONTH($A172),IF(G173=0,I172,G173),G173)</f>
        <v>4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-765225</v>
      </c>
      <c r="N173" s="112" t="n">
        <f aca="false">SUM(J$6:J173)</f>
        <v>-1533921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0.004</v>
      </c>
      <c r="V173" s="114" t="n">
        <f aca="false">M173/$R$3</f>
        <v>-765.225</v>
      </c>
      <c r="W173" s="114" t="n">
        <f aca="false">N173/$R$3</f>
        <v>-1533.921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Data'!$A$2:$B$8,MATCH(WEEKDAY('ARG Gas Transport'!A174,3),'Master Data'!$A$2:$A$8,0),2)</f>
        <v>M</v>
      </c>
      <c r="D174" s="112"/>
      <c r="E174" s="112"/>
      <c r="F174" s="112"/>
      <c r="G174" s="112" t="n">
        <v>8</v>
      </c>
      <c r="I174" s="112" t="n">
        <f aca="false">IF(MONTH($A174)=MONTH($A173),IF(G174=0,I173,G174),G174)</f>
        <v>8</v>
      </c>
      <c r="J174" s="112" t="n">
        <f aca="false">IF(MONTH($A174)=MONTH($A173),SUM(I174-I173),I174)</f>
        <v>4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-765221</v>
      </c>
      <c r="N174" s="112" t="n">
        <f aca="false">SUM(J$6:J174)</f>
        <v>-1533917</v>
      </c>
      <c r="P174" s="112" t="n">
        <f aca="false">D174/P$3</f>
        <v>0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0.004</v>
      </c>
      <c r="T174" s="114" t="n">
        <f aca="false">L174/$R$3</f>
        <v>0</v>
      </c>
      <c r="U174" s="114" t="n">
        <f aca="false">I174/$R$3</f>
        <v>0.008</v>
      </c>
      <c r="V174" s="114" t="n">
        <f aca="false">M174/$R$3</f>
        <v>-765.221</v>
      </c>
      <c r="W174" s="114" t="n">
        <f aca="false">N174/$R$3</f>
        <v>-1533.917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Data'!$A$2:$B$8,MATCH(WEEKDAY('ARG Gas Transport'!A175,3),'Master Data'!$A$2:$A$8,0),2)</f>
        <v>T</v>
      </c>
      <c r="D175" s="112"/>
      <c r="E175" s="112"/>
      <c r="F175" s="112"/>
      <c r="G175" s="112" t="n">
        <v>8</v>
      </c>
      <c r="I175" s="112" t="n">
        <f aca="false">IF(MONTH($A175)=MONTH($A174),IF(G175=0,I174,G175),G175)</f>
        <v>8</v>
      </c>
      <c r="J175" s="112" t="n">
        <f aca="false">IF(MONTH($A175)=MONTH($A174),SUM(I175-I174),I175)</f>
        <v>0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-765221</v>
      </c>
      <c r="N175" s="112" t="n">
        <f aca="false">SUM(J$6:J175)</f>
        <v>-1533917</v>
      </c>
      <c r="P175" s="112" t="n">
        <f aca="false">D175/P$3</f>
        <v>0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0</v>
      </c>
      <c r="T175" s="114" t="n">
        <f aca="false">L175/$R$3</f>
        <v>0</v>
      </c>
      <c r="U175" s="114" t="n">
        <f aca="false">I175/$R$3</f>
        <v>0.008</v>
      </c>
      <c r="V175" s="114" t="n">
        <f aca="false">M175/$R$3</f>
        <v>-765.221</v>
      </c>
      <c r="W175" s="114" t="n">
        <f aca="false">N175/$R$3</f>
        <v>-1533.917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Data'!$A$2:$B$8,MATCH(WEEKDAY('ARG Gas Transport'!A176,3),'Master Data'!$A$2:$A$8,0),2)</f>
        <v>W</v>
      </c>
      <c r="D176" s="112"/>
      <c r="E176" s="112"/>
      <c r="F176" s="112"/>
      <c r="G176" s="112" t="n">
        <v>9</v>
      </c>
      <c r="I176" s="112" t="n">
        <f aca="false">IF(MONTH($A176)=MONTH($A175),IF(G176=0,I175,G176),G176)</f>
        <v>9</v>
      </c>
      <c r="J176" s="112" t="n">
        <f aca="false">IF(MONTH($A176)=MONTH($A175),SUM(I176-I175),I176)</f>
        <v>1</v>
      </c>
      <c r="K176" s="112" t="n">
        <f aca="false">IF(WEEKDAY(A176,3)&gt;4,0,(IF(A176&lt;K$2,0,IF(A176&lt;=K$3,1,0))))</f>
        <v>0</v>
      </c>
      <c r="L176" s="112" t="n">
        <f aca="false">J176*K176</f>
        <v>0</v>
      </c>
      <c r="M176" s="112" t="n">
        <f aca="false">SUM(J$97:J176)</f>
        <v>-765220</v>
      </c>
      <c r="N176" s="112" t="n">
        <f aca="false">SUM(J$6:J176)</f>
        <v>-1533916</v>
      </c>
      <c r="P176" s="112" t="n">
        <f aca="false">D176/P$3</f>
        <v>0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0.001</v>
      </c>
      <c r="T176" s="114" t="n">
        <f aca="false">L176/$R$3</f>
        <v>0</v>
      </c>
      <c r="U176" s="114" t="n">
        <f aca="false">I176/$R$3</f>
        <v>0.009</v>
      </c>
      <c r="V176" s="114" t="n">
        <f aca="false">M176/$R$3</f>
        <v>-765.22</v>
      </c>
      <c r="W176" s="114" t="n">
        <f aca="false">N176/$R$3</f>
        <v>-1533.916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Data'!$A$2:$B$8,MATCH(WEEKDAY('ARG Gas Transport'!A177,3),'Master Data'!$A$2:$A$8,0),2)</f>
        <v>Th</v>
      </c>
      <c r="D177" s="112"/>
      <c r="E177" s="112"/>
      <c r="F177" s="112"/>
      <c r="G177" s="112" t="n">
        <v>8</v>
      </c>
      <c r="I177" s="112" t="n">
        <f aca="false">IF(MONTH($A177)=MONTH($A176),IF(G177=0,I176,G177),G177)</f>
        <v>8</v>
      </c>
      <c r="J177" s="112" t="n">
        <f aca="false">IF(MONTH($A177)=MONTH($A176),SUM(I177-I176),I177)</f>
        <v>-1</v>
      </c>
      <c r="K177" s="112" t="n">
        <f aca="false">IF(WEEKDAY(A177,3)&gt;4,0,(IF(A177&lt;K$2,0,IF(A177&lt;=K$3,1,0))))</f>
        <v>0</v>
      </c>
      <c r="L177" s="112" t="n">
        <f aca="false">J177*K177</f>
        <v>-0</v>
      </c>
      <c r="M177" s="112" t="n">
        <f aca="false">SUM(J$97:J177)</f>
        <v>-765221</v>
      </c>
      <c r="N177" s="112" t="n">
        <f aca="false">SUM(J$6:J177)</f>
        <v>-1533917</v>
      </c>
      <c r="P177" s="112" t="n">
        <f aca="false">D177/P$3</f>
        <v>0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-0.001</v>
      </c>
      <c r="T177" s="114" t="n">
        <f aca="false">L177/$R$3</f>
        <v>-0</v>
      </c>
      <c r="U177" s="114" t="n">
        <f aca="false">I177/$R$3</f>
        <v>0.008</v>
      </c>
      <c r="V177" s="114" t="n">
        <f aca="false">M177/$R$3</f>
        <v>-765.221</v>
      </c>
      <c r="W177" s="114" t="n">
        <f aca="false">N177/$R$3</f>
        <v>-1533.917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Data'!$A$2:$B$8,MATCH(WEEKDAY('ARG Gas Transport'!A178,3),'Master Data'!$A$2:$A$8,0),2)</f>
        <v>F</v>
      </c>
      <c r="D178" s="112"/>
      <c r="E178" s="112"/>
      <c r="F178" s="112"/>
      <c r="G178" s="112" t="n">
        <v>9</v>
      </c>
      <c r="I178" s="112" t="n">
        <f aca="false">IF(MONTH($A178)=MONTH($A177),IF(G178=0,I177,G178),G178)</f>
        <v>9</v>
      </c>
      <c r="J178" s="112" t="n">
        <f aca="false">IF(MONTH($A178)=MONTH($A177),SUM(I178-I177),I178)</f>
        <v>1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-765220</v>
      </c>
      <c r="N178" s="112" t="n">
        <f aca="false">SUM(J$6:J178)</f>
        <v>-1533916</v>
      </c>
      <c r="P178" s="112" t="n">
        <f aca="false">D178/P$3</f>
        <v>0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0.001</v>
      </c>
      <c r="T178" s="114" t="n">
        <f aca="false">L178/$R$3</f>
        <v>0</v>
      </c>
      <c r="U178" s="114" t="n">
        <f aca="false">I178/$R$3</f>
        <v>0.009</v>
      </c>
      <c r="V178" s="114" t="n">
        <f aca="false">M178/$R$3</f>
        <v>-765.22</v>
      </c>
      <c r="W178" s="114" t="n">
        <f aca="false">N178/$R$3</f>
        <v>-1533.916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Data'!$A$2:$B$8,MATCH(WEEKDAY('ARG Gas Transport'!A179,3),'Master Data'!$A$2:$A$8,0),2)</f>
        <v>Sa</v>
      </c>
      <c r="D179" s="112"/>
      <c r="E179" s="112"/>
      <c r="F179" s="112"/>
      <c r="G179" s="112"/>
      <c r="I179" s="112" t="n">
        <f aca="false">IF(MONTH($A179)=MONTH($A178),IF(G179=0,I178,G179),G179)</f>
        <v>9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-765220</v>
      </c>
      <c r="N179" s="112" t="n">
        <f aca="false">SUM(J$6:J179)</f>
        <v>-1533916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0.009</v>
      </c>
      <c r="V179" s="114" t="n">
        <f aca="false">M179/$R$3</f>
        <v>-765.22</v>
      </c>
      <c r="W179" s="114" t="n">
        <f aca="false">N179/$R$3</f>
        <v>-1533.916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Data'!$A$2:$B$8,MATCH(WEEKDAY('ARG Gas Transport'!A180,3),'Master Data'!$A$2:$A$8,0),2)</f>
        <v>Su</v>
      </c>
      <c r="D180" s="112"/>
      <c r="E180" s="112"/>
      <c r="F180" s="112"/>
      <c r="G180" s="112"/>
      <c r="I180" s="112" t="n">
        <f aca="false">IF(MONTH($A180)=MONTH($A179),IF(G180=0,I179,G180),G180)</f>
        <v>9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-765220</v>
      </c>
      <c r="N180" s="112" t="n">
        <f aca="false">SUM(J$6:J180)</f>
        <v>-1533916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0.009</v>
      </c>
      <c r="V180" s="114" t="n">
        <f aca="false">M180/$R$3</f>
        <v>-765.22</v>
      </c>
      <c r="W180" s="114" t="n">
        <f aca="false">N180/$R$3</f>
        <v>-1533.916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Data'!$A$2:$B$8,MATCH(WEEKDAY('ARG Gas Transport'!A181,3),'Master Data'!$A$2:$A$8,0),2)</f>
        <v>M</v>
      </c>
      <c r="D181" s="112"/>
      <c r="E181" s="112"/>
      <c r="F181" s="112"/>
      <c r="G181" s="112" t="n">
        <v>10</v>
      </c>
      <c r="I181" s="112" t="n">
        <f aca="false">IF(MONTH($A181)=MONTH($A180),IF(G181=0,I180,G181),G181)</f>
        <v>10</v>
      </c>
      <c r="J181" s="112" t="n">
        <f aca="false">IF(MONTH($A181)=MONTH($A180),SUM(I181-I180),I181)</f>
        <v>1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-765219</v>
      </c>
      <c r="N181" s="112" t="n">
        <f aca="false">SUM(J$6:J181)</f>
        <v>-1533915</v>
      </c>
      <c r="P181" s="112" t="n">
        <f aca="false">D181/P$3</f>
        <v>0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0.001</v>
      </c>
      <c r="T181" s="114" t="n">
        <f aca="false">L181/$R$3</f>
        <v>0</v>
      </c>
      <c r="U181" s="114" t="n">
        <f aca="false">I181/$R$3</f>
        <v>0.01</v>
      </c>
      <c r="V181" s="114" t="n">
        <f aca="false">M181/$R$3</f>
        <v>-765.219</v>
      </c>
      <c r="W181" s="114" t="n">
        <f aca="false">N181/$R$3</f>
        <v>-1533.915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Data'!$A$2:$B$8,MATCH(WEEKDAY('ARG Gas Transport'!A182,3),'Master Data'!$A$2:$A$8,0),2)</f>
        <v>T</v>
      </c>
      <c r="D182" s="112"/>
      <c r="E182" s="112"/>
      <c r="F182" s="112"/>
      <c r="G182" s="112" t="n">
        <v>9</v>
      </c>
      <c r="I182" s="112" t="n">
        <f aca="false">IF(MONTH($A182)=MONTH($A181),IF(G182=0,I181,G182),G182)</f>
        <v>9</v>
      </c>
      <c r="J182" s="112" t="n">
        <f aca="false">IF(MONTH($A182)=MONTH($A181),SUM(I182-I181),I182)</f>
        <v>-1</v>
      </c>
      <c r="K182" s="112" t="n">
        <f aca="false">IF(WEEKDAY(A182,3)&gt;4,0,(IF(A182&lt;K$2,0,IF(A182&lt;=K$3,1,0))))</f>
        <v>0</v>
      </c>
      <c r="L182" s="112" t="n">
        <f aca="false">J182*K182</f>
        <v>-0</v>
      </c>
      <c r="M182" s="112" t="n">
        <f aca="false">SUM(J$97:J182)</f>
        <v>-765220</v>
      </c>
      <c r="N182" s="112" t="n">
        <f aca="false">SUM(J$6:J182)</f>
        <v>-1533916</v>
      </c>
      <c r="P182" s="112" t="n">
        <f aca="false">D182/P$3</f>
        <v>0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-0.001</v>
      </c>
      <c r="T182" s="114" t="n">
        <f aca="false">L182/$R$3</f>
        <v>-0</v>
      </c>
      <c r="U182" s="114" t="n">
        <f aca="false">I182/$R$3</f>
        <v>0.009</v>
      </c>
      <c r="V182" s="114" t="n">
        <f aca="false">M182/$R$3</f>
        <v>-765.22</v>
      </c>
      <c r="W182" s="114" t="n">
        <f aca="false">N182/$R$3</f>
        <v>-1533.916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Data'!$A$2:$B$8,MATCH(WEEKDAY('ARG Gas Transport'!A183,3),'Master Data'!$A$2:$A$8,0),2)</f>
        <v>W</v>
      </c>
      <c r="D183" s="112"/>
      <c r="E183" s="112"/>
      <c r="F183" s="112"/>
      <c r="G183" s="112" t="n">
        <v>9</v>
      </c>
      <c r="I183" s="112" t="n">
        <f aca="false">IF(MONTH($A183)=MONTH($A182),IF(G183=0,I182,G183),G183)</f>
        <v>9</v>
      </c>
      <c r="J183" s="112" t="n">
        <f aca="false">IF(MONTH($A183)=MONTH($A182),SUM(I183-I182),I183)</f>
        <v>0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-765220</v>
      </c>
      <c r="N183" s="112" t="n">
        <f aca="false">SUM(J$6:J183)</f>
        <v>-1533916</v>
      </c>
      <c r="P183" s="112" t="n">
        <f aca="false">D183/P$3</f>
        <v>0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0</v>
      </c>
      <c r="T183" s="114" t="n">
        <f aca="false">L183/$R$3</f>
        <v>0</v>
      </c>
      <c r="U183" s="114" t="n">
        <f aca="false">I183/$R$3</f>
        <v>0.009</v>
      </c>
      <c r="V183" s="114" t="n">
        <f aca="false">M183/$R$3</f>
        <v>-765.22</v>
      </c>
      <c r="W183" s="114" t="n">
        <f aca="false">N183/$R$3</f>
        <v>-1533.916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Data'!$A$2:$B$8,MATCH(WEEKDAY('ARG Gas Transport'!A184,3),'Master Data'!$A$2:$A$8,0),2)</f>
        <v>Th</v>
      </c>
      <c r="D184" s="112"/>
      <c r="E184" s="112"/>
      <c r="F184" s="112"/>
      <c r="G184" s="112" t="n">
        <v>7</v>
      </c>
      <c r="I184" s="112" t="n">
        <f aca="false">IF(MONTH($A184)=MONTH($A183),IF(G184=0,I183,G184),G184)</f>
        <v>7</v>
      </c>
      <c r="J184" s="112" t="n">
        <f aca="false">IF(MONTH($A184)=MONTH($A183),SUM(I184-I183),I184)</f>
        <v>-2</v>
      </c>
      <c r="K184" s="112" t="n">
        <f aca="false">IF(WEEKDAY(A184,3)&gt;4,0,(IF(A184&lt;K$2,0,IF(A184&lt;=K$3,1,0))))</f>
        <v>0</v>
      </c>
      <c r="L184" s="112" t="n">
        <f aca="false">J184*K184</f>
        <v>-0</v>
      </c>
      <c r="M184" s="112" t="n">
        <f aca="false">SUM(J$97:J184)</f>
        <v>-765222</v>
      </c>
      <c r="N184" s="112" t="n">
        <f aca="false">SUM(J$6:J184)</f>
        <v>-1533918</v>
      </c>
      <c r="P184" s="112" t="n">
        <f aca="false">D184/P$3</f>
        <v>0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-0.002</v>
      </c>
      <c r="T184" s="114" t="n">
        <f aca="false">L184/$R$3</f>
        <v>-0</v>
      </c>
      <c r="U184" s="114" t="n">
        <f aca="false">I184/$R$3</f>
        <v>0.007</v>
      </c>
      <c r="V184" s="114" t="n">
        <f aca="false">M184/$R$3</f>
        <v>-765.222</v>
      </c>
      <c r="W184" s="114" t="n">
        <f aca="false">N184/$R$3</f>
        <v>-1533.918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Data'!$A$2:$B$8,MATCH(WEEKDAY('ARG Gas Transport'!A185,3),'Master Data'!$A$2:$A$8,0),2)</f>
        <v>F</v>
      </c>
      <c r="D185" s="112"/>
      <c r="E185" s="112"/>
      <c r="F185" s="112"/>
      <c r="G185" s="112" t="n">
        <v>-143</v>
      </c>
      <c r="I185" s="112" t="n">
        <f aca="false">IF(MONTH($A185)=MONTH($A184),IF(G185=0,I184,G185),G185)</f>
        <v>-143</v>
      </c>
      <c r="J185" s="112" t="n">
        <f aca="false">IF(MONTH($A185)=MONTH($A184),SUM(I185-I184),I185)</f>
        <v>-150</v>
      </c>
      <c r="K185" s="112" t="n">
        <f aca="false">IF(WEEKDAY(A185,3)&gt;4,0,(IF(A185&lt;K$2,0,IF(A185&lt;=K$3,1,0))))</f>
        <v>0</v>
      </c>
      <c r="L185" s="112" t="n">
        <f aca="false">J185*K185</f>
        <v>-0</v>
      </c>
      <c r="M185" s="112" t="n">
        <f aca="false">SUM(J$97:J185)</f>
        <v>-765372</v>
      </c>
      <c r="N185" s="112" t="n">
        <f aca="false">SUM(J$6:J185)</f>
        <v>-1534068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-0.15</v>
      </c>
      <c r="T185" s="114" t="n">
        <f aca="false">L185/$R$3</f>
        <v>-0</v>
      </c>
      <c r="U185" s="114" t="n">
        <f aca="false">I185/$R$3</f>
        <v>-0.143</v>
      </c>
      <c r="V185" s="114" t="n">
        <f aca="false">M185/$R$3</f>
        <v>-765.372</v>
      </c>
      <c r="W185" s="114" t="n">
        <f aca="false">N185/$R$3</f>
        <v>-1534.068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Data'!$A$2:$B$8,MATCH(WEEKDAY('ARG Gas Transport'!A186,3),'Master Data'!$A$2:$A$8,0),2)</f>
        <v>Sa</v>
      </c>
      <c r="D186" s="112"/>
      <c r="E186" s="112"/>
      <c r="F186" s="112"/>
      <c r="G186" s="112"/>
      <c r="I186" s="112" t="n">
        <f aca="false">IF(MONTH($A186)=MONTH($A185),IF(G186=0,I185,G186),G186)</f>
        <v>-143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-765372</v>
      </c>
      <c r="N186" s="112" t="n">
        <f aca="false">SUM(J$6:J186)</f>
        <v>-1534068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-0.143</v>
      </c>
      <c r="V186" s="114" t="n">
        <f aca="false">M186/$R$3</f>
        <v>-765.372</v>
      </c>
      <c r="W186" s="114" t="n">
        <f aca="false">N186/$R$3</f>
        <v>-1534.068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Data'!$A$2:$B$8,MATCH(WEEKDAY('ARG Gas Transport'!A187,3),'Master Data'!$A$2:$A$8,0),2)</f>
        <v>Su</v>
      </c>
      <c r="D187" s="112"/>
      <c r="E187" s="112"/>
      <c r="F187" s="112"/>
      <c r="G187" s="112"/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-765372</v>
      </c>
      <c r="N187" s="112" t="n">
        <f aca="false">SUM(J$6:J187)</f>
        <v>-1534068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-765.372</v>
      </c>
      <c r="W187" s="114" t="n">
        <f aca="false">N187/$R$3</f>
        <v>-1534.068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Data'!$A$2:$B$8,MATCH(WEEKDAY('ARG Gas Transport'!A188,3),'Master Data'!$A$2:$A$8,0),2)</f>
        <v>M</v>
      </c>
      <c r="D188" s="112"/>
      <c r="E188" s="112"/>
      <c r="F188" s="112"/>
      <c r="G188" s="112" t="n">
        <v>184</v>
      </c>
      <c r="I188" s="112" t="n">
        <f aca="false">IF(MONTH($A188)=MONTH($A187),IF(G188=0,I187,G188),G188)</f>
        <v>184</v>
      </c>
      <c r="J188" s="112" t="n">
        <f aca="false">IF(MONTH($A188)=MONTH($A187),SUM(I188-I187),I188)</f>
        <v>184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184</v>
      </c>
      <c r="N188" s="112" t="n">
        <f aca="false">SUM(J$6:J188)</f>
        <v>-1533884</v>
      </c>
      <c r="P188" s="112" t="n">
        <f aca="false">D188/P$3</f>
        <v>0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0.184</v>
      </c>
      <c r="T188" s="114" t="n">
        <f aca="false">L188/$R$3</f>
        <v>0</v>
      </c>
      <c r="U188" s="114" t="n">
        <f aca="false">I188/$R$3</f>
        <v>0.184</v>
      </c>
      <c r="V188" s="114" t="n">
        <f aca="false">M188/$R$3</f>
        <v>0.184</v>
      </c>
      <c r="W188" s="114" t="n">
        <f aca="false">N188/$R$3</f>
        <v>-1533.884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Data'!$A$2:$B$8,MATCH(WEEKDAY('ARG Gas Transport'!A189,3),'Master Data'!$A$2:$A$8,0),2)</f>
        <v>T</v>
      </c>
      <c r="D189" s="112"/>
      <c r="E189" s="112"/>
      <c r="F189" s="112"/>
      <c r="G189" s="112" t="n">
        <v>184</v>
      </c>
      <c r="I189" s="112" t="n">
        <f aca="false">IF(MONTH($A189)=MONTH($A188),IF(G189=0,I188,G189),G189)</f>
        <v>184</v>
      </c>
      <c r="J189" s="112" t="n">
        <f aca="false">IF(MONTH($A189)=MONTH($A188),SUM(I189-I188),I189)</f>
        <v>0</v>
      </c>
      <c r="K189" s="112" t="n">
        <f aca="false">IF(WEEKDAY(A189,3)&gt;4,0,(IF(A189&lt;K$2,0,IF(A189&lt;=K$3,1,0))))</f>
        <v>1</v>
      </c>
      <c r="L189" s="112" t="n">
        <f aca="false">J189*K189</f>
        <v>0</v>
      </c>
      <c r="M189" s="112" t="n">
        <f aca="false">SUM(J$188:J189)</f>
        <v>184</v>
      </c>
      <c r="N189" s="112" t="n">
        <f aca="false">SUM(J$6:J189)</f>
        <v>-1533884</v>
      </c>
      <c r="P189" s="112" t="n">
        <f aca="false">D189/P$3</f>
        <v>0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0</v>
      </c>
      <c r="T189" s="114" t="n">
        <f aca="false">L189/$R$3</f>
        <v>0</v>
      </c>
      <c r="U189" s="114" t="n">
        <f aca="false">I189/$R$3</f>
        <v>0.184</v>
      </c>
      <c r="V189" s="114" t="n">
        <f aca="false">M189/$R$3</f>
        <v>0.184</v>
      </c>
      <c r="W189" s="114" t="n">
        <f aca="false">N189/$R$3</f>
        <v>-1533.884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Data'!$A$2:$B$8,MATCH(WEEKDAY('ARG Gas Transport'!A190,3),'Master Data'!$A$2:$A$8,0),2)</f>
        <v>W</v>
      </c>
      <c r="D190" s="112"/>
      <c r="E190" s="112"/>
      <c r="F190" s="112"/>
      <c r="G190" s="112"/>
      <c r="I190" s="112" t="n">
        <f aca="false">IF(MONTH($A190)=MONTH($A189),IF(G190=0,I189,G190),G190)</f>
        <v>184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184</v>
      </c>
      <c r="N190" s="112" t="n">
        <f aca="false">SUM(J$6:J190)</f>
        <v>-1533884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0.184</v>
      </c>
      <c r="V190" s="114" t="n">
        <f aca="false">M190/$R$3</f>
        <v>0.184</v>
      </c>
      <c r="W190" s="114" t="n">
        <f aca="false">N190/$R$3</f>
        <v>-1533.884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Data'!$A$2:$B$8,MATCH(WEEKDAY('ARG Gas Transport'!A191,3),'Master Data'!$A$2:$A$8,0),2)</f>
        <v>Th</v>
      </c>
      <c r="D191" s="112"/>
      <c r="E191" s="112"/>
      <c r="F191" s="112"/>
      <c r="G191" s="112" t="n">
        <v>184</v>
      </c>
      <c r="I191" s="112" t="n">
        <f aca="false">IF(MONTH($A191)=MONTH($A190),IF(G191=0,I190,G191),G191)</f>
        <v>184</v>
      </c>
      <c r="J191" s="112" t="n">
        <f aca="false">IF(MONTH($A191)=MONTH($A190),SUM(I191-I190),I191)</f>
        <v>0</v>
      </c>
      <c r="K191" s="112" t="n">
        <f aca="false">IF(WEEKDAY(A191,3)&gt;4,0,(IF(A191&lt;K$2,0,IF(A191&lt;=K$3,1,0))))</f>
        <v>1</v>
      </c>
      <c r="L191" s="112" t="n">
        <f aca="false">J191*K191</f>
        <v>0</v>
      </c>
      <c r="M191" s="112" t="n">
        <f aca="false">SUM(J$188:J191)</f>
        <v>184</v>
      </c>
      <c r="N191" s="112" t="n">
        <f aca="false">SUM(J$6:J191)</f>
        <v>-1533884</v>
      </c>
      <c r="P191" s="112" t="n">
        <f aca="false">D191/P$3</f>
        <v>0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0</v>
      </c>
      <c r="T191" s="114" t="n">
        <f aca="false">L191/$R$3</f>
        <v>0</v>
      </c>
      <c r="U191" s="114" t="n">
        <f aca="false">I191/$R$3</f>
        <v>0.184</v>
      </c>
      <c r="V191" s="114" t="n">
        <f aca="false">M191/$R$3</f>
        <v>0.184</v>
      </c>
      <c r="W191" s="114" t="n">
        <f aca="false">N191/$R$3</f>
        <v>-1533.884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Data'!$A$2:$B$8,MATCH(WEEKDAY('ARG Gas Transport'!A192,3),'Master Data'!$A$2:$A$8,0),2)</f>
        <v>F</v>
      </c>
      <c r="D192" s="112"/>
      <c r="E192" s="112"/>
      <c r="F192" s="112"/>
      <c r="G192" s="112" t="n">
        <v>185</v>
      </c>
      <c r="I192" s="112" t="n">
        <f aca="false">IF(MONTH($A192)=MONTH($A191),IF(G192=0,I191,G192),G192)</f>
        <v>185</v>
      </c>
      <c r="J192" s="112" t="n">
        <f aca="false">IF(MONTH($A192)=MONTH($A191),SUM(I192-I191),I192)</f>
        <v>1</v>
      </c>
      <c r="K192" s="112" t="n">
        <f aca="false">IF(WEEKDAY(A192,3)&gt;4,0,(IF(A192&lt;K$2,0,IF(A192&lt;=K$3,1,0))))</f>
        <v>1</v>
      </c>
      <c r="L192" s="112" t="n">
        <f aca="false">J192*K192</f>
        <v>1</v>
      </c>
      <c r="M192" s="112" t="n">
        <f aca="false">SUM(J$188:J192)</f>
        <v>185</v>
      </c>
      <c r="N192" s="112" t="n">
        <f aca="false">SUM(J$6:J192)</f>
        <v>-1533883</v>
      </c>
      <c r="P192" s="112" t="n">
        <f aca="false">D192/P$3</f>
        <v>0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0.001</v>
      </c>
      <c r="T192" s="114" t="n">
        <f aca="false">L192/$R$3</f>
        <v>0.001</v>
      </c>
      <c r="U192" s="114" t="n">
        <f aca="false">I192/$R$3</f>
        <v>0.185</v>
      </c>
      <c r="V192" s="114" t="n">
        <f aca="false">M192/$R$3</f>
        <v>0.185</v>
      </c>
      <c r="W192" s="114" t="n">
        <f aca="false">N192/$R$3</f>
        <v>-1533.883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Data'!$A$2:$B$8,MATCH(WEEKDAY('ARG Gas Transport'!A193,3),'Master Data'!$A$2:$A$8,0),2)</f>
        <v>Sa</v>
      </c>
      <c r="D193" s="112"/>
      <c r="E193" s="112"/>
      <c r="F193" s="112"/>
      <c r="G193" s="112"/>
      <c r="I193" s="112" t="n">
        <f aca="false">IF(MONTH($A193)=MONTH($A192),IF(G193=0,I192,G193),G193)</f>
        <v>185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185</v>
      </c>
      <c r="N193" s="112" t="n">
        <f aca="false">SUM(J$6:J193)</f>
        <v>-1533883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0.185</v>
      </c>
      <c r="V193" s="114" t="n">
        <f aca="false">M193/$R$3</f>
        <v>0.185</v>
      </c>
      <c r="W193" s="114" t="n">
        <f aca="false">N193/$R$3</f>
        <v>-1533.883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Data'!$A$2:$B$8,MATCH(WEEKDAY('ARG Gas Transport'!A194,3),'Master Data'!$A$2:$A$8,0),2)</f>
        <v>Su</v>
      </c>
      <c r="D194" s="112"/>
      <c r="E194" s="112"/>
      <c r="F194" s="112"/>
      <c r="G194" s="112"/>
      <c r="I194" s="112" t="n">
        <f aca="false">IF(MONTH($A194)=MONTH($A193),IF(G194=0,I193,G194),G194)</f>
        <v>185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185</v>
      </c>
      <c r="N194" s="112" t="n">
        <f aca="false">SUM(J$6:J194)</f>
        <v>-1533883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0.185</v>
      </c>
      <c r="V194" s="114" t="n">
        <f aca="false">M194/$R$3</f>
        <v>0.185</v>
      </c>
      <c r="W194" s="114" t="n">
        <f aca="false">N194/$R$3</f>
        <v>-1533.883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Data'!$A$2:$B$8,MATCH(WEEKDAY('ARG Gas Transport'!A195,3),'Master Data'!$A$2:$A$8,0),2)</f>
        <v>M</v>
      </c>
      <c r="D195" s="112"/>
      <c r="E195" s="112"/>
      <c r="F195" s="112"/>
      <c r="G195" s="112" t="n">
        <v>186</v>
      </c>
      <c r="I195" s="112" t="n">
        <f aca="false">IF(MONTH($A195)=MONTH($A194),IF(G195=0,I194,G195),G195)</f>
        <v>186</v>
      </c>
      <c r="J195" s="112" t="n">
        <f aca="false">IF(MONTH($A195)=MONTH($A194),SUM(I195-I194),I195)</f>
        <v>1</v>
      </c>
      <c r="K195" s="112" t="n">
        <f aca="false">IF(WEEKDAY(A195,3)&gt;4,0,(IF(A195&lt;K$2,0,IF(A195&lt;=K$3,1,0))))</f>
        <v>1</v>
      </c>
      <c r="L195" s="112" t="n">
        <f aca="false">J195*K195</f>
        <v>1</v>
      </c>
      <c r="M195" s="112" t="n">
        <f aca="false">SUM(J$188:J195)</f>
        <v>186</v>
      </c>
      <c r="N195" s="112" t="n">
        <f aca="false">SUM(J$6:J195)</f>
        <v>-1533882</v>
      </c>
      <c r="P195" s="112" t="n">
        <f aca="false">D195/P$3</f>
        <v>0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0.001</v>
      </c>
      <c r="T195" s="114" t="n">
        <f aca="false">L195/$R$3</f>
        <v>0.001</v>
      </c>
      <c r="U195" s="114" t="n">
        <f aca="false">I195/$R$3</f>
        <v>0.186</v>
      </c>
      <c r="V195" s="114" t="n">
        <f aca="false">M195/$R$3</f>
        <v>0.186</v>
      </c>
      <c r="W195" s="114" t="n">
        <f aca="false">N195/$R$3</f>
        <v>-1533.882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Data'!$A$2:$B$8,MATCH(WEEKDAY('ARG Gas Transport'!A196,3),'Master Data'!$A$2:$A$8,0),2)</f>
        <v>T</v>
      </c>
      <c r="D196" s="112"/>
      <c r="E196" s="112"/>
      <c r="F196" s="112"/>
      <c r="G196" s="112"/>
      <c r="I196" s="112" t="n">
        <f aca="false">IF(MONTH($A196)=MONTH($A195),IF(G196=0,I195,G196),G196)</f>
        <v>186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186</v>
      </c>
      <c r="N196" s="112" t="n">
        <f aca="false">SUM(J$6:J196)</f>
        <v>-1533882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0.186</v>
      </c>
      <c r="V196" s="114" t="n">
        <f aca="false">M196/$R$3</f>
        <v>0.186</v>
      </c>
      <c r="W196" s="114" t="n">
        <f aca="false">N196/$R$3</f>
        <v>-1533.882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Data'!$A$2:$B$8,MATCH(WEEKDAY('ARG Gas Transport'!A197,3),'Master Data'!$A$2:$A$8,0),2)</f>
        <v>W</v>
      </c>
      <c r="D197" s="112"/>
      <c r="E197" s="112"/>
      <c r="F197" s="112"/>
      <c r="G197" s="112"/>
      <c r="I197" s="112" t="n">
        <f aca="false">IF(MONTH($A197)=MONTH($A196),IF(G197=0,I196,G197),G197)</f>
        <v>186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186</v>
      </c>
      <c r="N197" s="112" t="n">
        <f aca="false">SUM(J$6:J197)</f>
        <v>-1533882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0.186</v>
      </c>
      <c r="V197" s="114" t="n">
        <f aca="false">M197/$R$3</f>
        <v>0.186</v>
      </c>
      <c r="W197" s="114" t="n">
        <f aca="false">N197/$R$3</f>
        <v>-1533.882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Data'!$A$2:$B$8,MATCH(WEEKDAY('ARG Gas Transport'!A198,3),'Master Data'!$A$2:$A$8,0),2)</f>
        <v>Th</v>
      </c>
      <c r="D198" s="112"/>
      <c r="E198" s="112"/>
      <c r="F198" s="112"/>
      <c r="G198" s="112"/>
      <c r="I198" s="112" t="n">
        <f aca="false">IF(MONTH($A198)=MONTH($A197),IF(G198=0,I197,G198),G198)</f>
        <v>186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186</v>
      </c>
      <c r="N198" s="112" t="n">
        <f aca="false">SUM(J$6:J198)</f>
        <v>-1533882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0.186</v>
      </c>
      <c r="V198" s="114" t="n">
        <f aca="false">M198/$R$3</f>
        <v>0.186</v>
      </c>
      <c r="W198" s="114" t="n">
        <f aca="false">N198/$R$3</f>
        <v>-1533.882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Data'!$A$2:$B$8,MATCH(WEEKDAY('ARG Gas Transport'!A199,3),'Master Data'!$A$2:$A$8,0),2)</f>
        <v>F</v>
      </c>
      <c r="D199" s="112"/>
      <c r="E199" s="112"/>
      <c r="F199" s="112"/>
      <c r="G199" s="112"/>
      <c r="I199" s="112" t="n">
        <f aca="false">IF(MONTH($A199)=MONTH($A198),IF(G199=0,I198,G199),G199)</f>
        <v>186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186</v>
      </c>
      <c r="N199" s="112" t="n">
        <f aca="false">SUM(J$6:J199)</f>
        <v>-1533882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0.186</v>
      </c>
      <c r="V199" s="114" t="n">
        <f aca="false">M199/$R$3</f>
        <v>0.186</v>
      </c>
      <c r="W199" s="114" t="n">
        <f aca="false">N199/$R$3</f>
        <v>-1533.882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Data'!$A$2:$B$8,MATCH(WEEKDAY('ARG Gas Transport'!A200,3),'Master Data'!$A$2:$A$8,0),2)</f>
        <v>Sa</v>
      </c>
      <c r="D200" s="112"/>
      <c r="E200" s="112"/>
      <c r="F200" s="112"/>
      <c r="G200" s="112"/>
      <c r="I200" s="112" t="n">
        <f aca="false">IF(MONTH($A200)=MONTH($A199),IF(G200=0,I199,G200),G200)</f>
        <v>186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186</v>
      </c>
      <c r="N200" s="112" t="n">
        <f aca="false">SUM(J$6:J200)</f>
        <v>-1533882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0.186</v>
      </c>
      <c r="V200" s="114" t="n">
        <f aca="false">M200/$R$3</f>
        <v>0.186</v>
      </c>
      <c r="W200" s="114" t="n">
        <f aca="false">N200/$R$3</f>
        <v>-1533.882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Data'!$A$2:$B$8,MATCH(WEEKDAY('ARG Gas Transport'!A201,3),'Master Data'!$A$2:$A$8,0),2)</f>
        <v>Su</v>
      </c>
      <c r="D201" s="112"/>
      <c r="E201" s="112"/>
      <c r="F201" s="112"/>
      <c r="G201" s="112"/>
      <c r="I201" s="112" t="n">
        <f aca="false">IF(MONTH($A201)=MONTH($A200),IF(G201=0,I200,G201),G201)</f>
        <v>186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186</v>
      </c>
      <c r="N201" s="112" t="n">
        <f aca="false">SUM(J$6:J201)</f>
        <v>-1533882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0.186</v>
      </c>
      <c r="V201" s="114" t="n">
        <f aca="false">M201/$R$3</f>
        <v>0.186</v>
      </c>
      <c r="W201" s="114" t="n">
        <f aca="false">N201/$R$3</f>
        <v>-1533.882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Data'!$A$2:$B$8,MATCH(WEEKDAY('ARG Gas Transport'!A202,3),'Master Data'!$A$2:$A$8,0),2)</f>
        <v>M</v>
      </c>
      <c r="D202" s="112"/>
      <c r="E202" s="112"/>
      <c r="F202" s="112"/>
      <c r="G202" s="112"/>
      <c r="I202" s="112" t="n">
        <f aca="false">IF(MONTH($A202)=MONTH($A201),IF(G202=0,I201,G202),G202)</f>
        <v>186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186</v>
      </c>
      <c r="N202" s="112" t="n">
        <f aca="false">SUM(J$6:J202)</f>
        <v>-1533882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0.186</v>
      </c>
      <c r="V202" s="114" t="n">
        <f aca="false">M202/$R$3</f>
        <v>0.186</v>
      </c>
      <c r="W202" s="114" t="n">
        <f aca="false">N202/$R$3</f>
        <v>-1533.882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Data'!$A$2:$B$8,MATCH(WEEKDAY('ARG Gas Transport'!A203,3),'Master Data'!$A$2:$A$8,0),2)</f>
        <v>T</v>
      </c>
      <c r="D203" s="112"/>
      <c r="E203" s="112"/>
      <c r="F203" s="112"/>
      <c r="G203" s="112"/>
      <c r="I203" s="112" t="n">
        <f aca="false">IF(MONTH($A203)=MONTH($A202),IF(G203=0,I202,G203),G203)</f>
        <v>186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186</v>
      </c>
      <c r="N203" s="112" t="n">
        <f aca="false">SUM(J$6:J203)</f>
        <v>-1533882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0.186</v>
      </c>
      <c r="V203" s="114" t="n">
        <f aca="false">M203/$R$3</f>
        <v>0.186</v>
      </c>
      <c r="W203" s="114" t="n">
        <f aca="false">N203/$R$3</f>
        <v>-1533.882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Data'!$A$2:$B$8,MATCH(WEEKDAY('ARG Gas Transport'!A204,3),'Master Data'!$A$2:$A$8,0),2)</f>
        <v>W</v>
      </c>
      <c r="D204" s="112"/>
      <c r="E204" s="112"/>
      <c r="F204" s="112"/>
      <c r="G204" s="112"/>
      <c r="I204" s="112" t="n">
        <f aca="false">IF(MONTH($A204)=MONTH($A203),IF(G204=0,I203,G204),G204)</f>
        <v>186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186</v>
      </c>
      <c r="N204" s="112" t="n">
        <f aca="false">SUM(J$6:J204)</f>
        <v>-1533882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0.186</v>
      </c>
      <c r="V204" s="114" t="n">
        <f aca="false">M204/$R$3</f>
        <v>0.186</v>
      </c>
      <c r="W204" s="114" t="n">
        <f aca="false">N204/$R$3</f>
        <v>-1533.882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Data'!$A$2:$B$8,MATCH(WEEKDAY('ARG Gas Transport'!A205,3),'Master Data'!$A$2:$A$8,0),2)</f>
        <v>Th</v>
      </c>
      <c r="D205" s="112"/>
      <c r="E205" s="112"/>
      <c r="F205" s="112"/>
      <c r="G205" s="112"/>
      <c r="I205" s="112" t="n">
        <f aca="false">IF(MONTH($A205)=MONTH($A204),IF(G205=0,I204,G205),G205)</f>
        <v>186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186</v>
      </c>
      <c r="N205" s="112" t="n">
        <f aca="false">SUM(J$6:J205)</f>
        <v>-1533882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0.186</v>
      </c>
      <c r="V205" s="114" t="n">
        <f aca="false">M205/$R$3</f>
        <v>0.186</v>
      </c>
      <c r="W205" s="114" t="n">
        <f aca="false">N205/$R$3</f>
        <v>-1533.882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Data'!$A$2:$B$8,MATCH(WEEKDAY('ARG Gas Transport'!A206,3),'Master Data'!$A$2:$A$8,0),2)</f>
        <v>F</v>
      </c>
      <c r="D206" s="112"/>
      <c r="E206" s="112"/>
      <c r="F206" s="112"/>
      <c r="G206" s="112"/>
      <c r="I206" s="112" t="n">
        <f aca="false">IF(MONTH($A206)=MONTH($A205),IF(G206=0,I205,G206),G206)</f>
        <v>186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186</v>
      </c>
      <c r="N206" s="112" t="n">
        <f aca="false">SUM(J$6:J206)</f>
        <v>-1533882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0.186</v>
      </c>
      <c r="V206" s="114" t="n">
        <f aca="false">M206/$R$3</f>
        <v>0.186</v>
      </c>
      <c r="W206" s="114" t="n">
        <f aca="false">N206/$R$3</f>
        <v>-1533.882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Data'!$A$2:$B$8,MATCH(WEEKDAY('ARG Gas Transport'!A207,3),'Master Data'!$A$2:$A$8,0),2)</f>
        <v>Sa</v>
      </c>
      <c r="D207" s="112"/>
      <c r="E207" s="112"/>
      <c r="F207" s="112"/>
      <c r="G207" s="112"/>
      <c r="I207" s="112" t="n">
        <f aca="false">IF(MONTH($A207)=MONTH($A206),IF(G207=0,I206,G207),G207)</f>
        <v>186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186</v>
      </c>
      <c r="N207" s="112" t="n">
        <f aca="false">SUM(J$6:J207)</f>
        <v>-1533882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0.186</v>
      </c>
      <c r="V207" s="114" t="n">
        <f aca="false">M207/$R$3</f>
        <v>0.186</v>
      </c>
      <c r="W207" s="114" t="n">
        <f aca="false">N207/$R$3</f>
        <v>-1533.882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Data'!$A$2:$B$8,MATCH(WEEKDAY('ARG Gas Transport'!A208,3),'Master Data'!$A$2:$A$8,0),2)</f>
        <v>Su</v>
      </c>
      <c r="D208" s="112"/>
      <c r="E208" s="112"/>
      <c r="F208" s="112"/>
      <c r="G208" s="112"/>
      <c r="I208" s="112" t="n">
        <f aca="false">IF(MONTH($A208)=MONTH($A207),IF(G208=0,I207,G208),G208)</f>
        <v>186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186</v>
      </c>
      <c r="N208" s="112" t="n">
        <f aca="false">SUM(J$6:J208)</f>
        <v>-1533882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0.186</v>
      </c>
      <c r="V208" s="114" t="n">
        <f aca="false">M208/$R$3</f>
        <v>0.186</v>
      </c>
      <c r="W208" s="114" t="n">
        <f aca="false">N208/$R$3</f>
        <v>-1533.882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Data'!$A$2:$B$8,MATCH(WEEKDAY('ARG Gas Transport'!A209,3),'Master Data'!$A$2:$A$8,0),2)</f>
        <v>M</v>
      </c>
      <c r="D209" s="112"/>
      <c r="E209" s="112"/>
      <c r="F209" s="112"/>
      <c r="G209" s="112"/>
      <c r="I209" s="112" t="n">
        <f aca="false">IF(MONTH($A209)=MONTH($A208),IF(G209=0,I208,G209),G209)</f>
        <v>186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186</v>
      </c>
      <c r="N209" s="112" t="n">
        <f aca="false">SUM(J$6:J209)</f>
        <v>-1533882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0.186</v>
      </c>
      <c r="V209" s="114" t="n">
        <f aca="false">M209/$R$3</f>
        <v>0.186</v>
      </c>
      <c r="W209" s="114" t="n">
        <f aca="false">N209/$R$3</f>
        <v>-1533.882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Data'!$A$2:$B$8,MATCH(WEEKDAY('ARG Gas Transport'!A210,3),'Master Data'!$A$2:$A$8,0),2)</f>
        <v>T</v>
      </c>
      <c r="D210" s="112"/>
      <c r="E210" s="112"/>
      <c r="F210" s="112"/>
      <c r="G210" s="112"/>
      <c r="I210" s="112" t="n">
        <f aca="false">IF(MONTH($A210)=MONTH($A209),IF(G210=0,I209,G210),G210)</f>
        <v>186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186</v>
      </c>
      <c r="N210" s="112" t="n">
        <f aca="false">SUM(J$6:J210)</f>
        <v>-1533882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0.186</v>
      </c>
      <c r="V210" s="114" t="n">
        <f aca="false">M210/$R$3</f>
        <v>0.186</v>
      </c>
      <c r="W210" s="114" t="n">
        <f aca="false">N210/$R$3</f>
        <v>-1533.882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Data'!$A$2:$B$8,MATCH(WEEKDAY('ARG Gas Transport'!A211,3),'Master Data'!$A$2:$A$8,0),2)</f>
        <v>W</v>
      </c>
      <c r="D211" s="112"/>
      <c r="E211" s="112"/>
      <c r="F211" s="112"/>
      <c r="G211" s="112"/>
      <c r="I211" s="112" t="n">
        <f aca="false">IF(MONTH($A211)=MONTH($A210),IF(G211=0,I210,G211),G211)</f>
        <v>186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186</v>
      </c>
      <c r="N211" s="112" t="n">
        <f aca="false">SUM(J$6:J211)</f>
        <v>-1533882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0.186</v>
      </c>
      <c r="V211" s="114" t="n">
        <f aca="false">M211/$R$3</f>
        <v>0.186</v>
      </c>
      <c r="W211" s="114" t="n">
        <f aca="false">N211/$R$3</f>
        <v>-1533.882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Data'!$A$2:$B$8,MATCH(WEEKDAY('ARG Gas Transport'!A212,3),'Master Data'!$A$2:$A$8,0),2)</f>
        <v>Th</v>
      </c>
      <c r="D212" s="112"/>
      <c r="E212" s="112"/>
      <c r="F212" s="112"/>
      <c r="G212" s="112"/>
      <c r="I212" s="112" t="n">
        <f aca="false">IF(MONTH($A212)=MONTH($A211),IF(G212=0,I211,G212),G212)</f>
        <v>186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186</v>
      </c>
      <c r="N212" s="112" t="n">
        <f aca="false">SUM(J$6:J212)</f>
        <v>-1533882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0.186</v>
      </c>
      <c r="V212" s="114" t="n">
        <f aca="false">M212/$R$3</f>
        <v>0.186</v>
      </c>
      <c r="W212" s="114" t="n">
        <f aca="false">N212/$R$3</f>
        <v>-1533.882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Data'!$A$2:$B$8,MATCH(WEEKDAY('ARG Gas Transport'!A213,3),'Master Data'!$A$2:$A$8,0),2)</f>
        <v>F</v>
      </c>
      <c r="D213" s="112"/>
      <c r="E213" s="112"/>
      <c r="F213" s="112"/>
      <c r="G213" s="112"/>
      <c r="I213" s="112" t="n">
        <f aca="false">IF(MONTH($A213)=MONTH($A212),IF(G213=0,I212,G213),G213)</f>
        <v>186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186</v>
      </c>
      <c r="N213" s="112" t="n">
        <f aca="false">SUM(J$6:J213)</f>
        <v>-1533882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0.186</v>
      </c>
      <c r="V213" s="114" t="n">
        <f aca="false">M213/$R$3</f>
        <v>0.186</v>
      </c>
      <c r="W213" s="114" t="n">
        <f aca="false">N213/$R$3</f>
        <v>-1533.882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Data'!$A$2:$B$8,MATCH(WEEKDAY('ARG Gas Transport'!A214,3),'Master Data'!$A$2:$A$8,0),2)</f>
        <v>Sa</v>
      </c>
      <c r="D214" s="112"/>
      <c r="E214" s="112"/>
      <c r="F214" s="112"/>
      <c r="G214" s="112"/>
      <c r="I214" s="112" t="n">
        <f aca="false">IF(MONTH($A214)=MONTH($A213),IF(G214=0,I213,G214),G214)</f>
        <v>186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186</v>
      </c>
      <c r="N214" s="112" t="n">
        <f aca="false">SUM(J$6:J214)</f>
        <v>-1533882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0.186</v>
      </c>
      <c r="V214" s="114" t="n">
        <f aca="false">M214/$R$3</f>
        <v>0.186</v>
      </c>
      <c r="W214" s="114" t="n">
        <f aca="false">N214/$R$3</f>
        <v>-1533.882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Data'!$A$2:$B$8,MATCH(WEEKDAY('ARG Gas Transport'!A215,3),'Master Data'!$A$2:$A$8,0),2)</f>
        <v>Su</v>
      </c>
      <c r="D215" s="112"/>
      <c r="E215" s="112"/>
      <c r="F215" s="112"/>
      <c r="G215" s="112"/>
      <c r="I215" s="112" t="n">
        <f aca="false">IF(MONTH($A215)=MONTH($A214),IF(G215=0,I214,G215),G215)</f>
        <v>186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186</v>
      </c>
      <c r="N215" s="112" t="n">
        <f aca="false">SUM(J$6:J215)</f>
        <v>-1533882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0.186</v>
      </c>
      <c r="V215" s="114" t="n">
        <f aca="false">M215/$R$3</f>
        <v>0.186</v>
      </c>
      <c r="W215" s="114" t="n">
        <f aca="false">N215/$R$3</f>
        <v>-1533.882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Data'!$A$2:$B$8,MATCH(WEEKDAY('ARG Gas Transport'!A216,3),'Master Data'!$A$2:$A$8,0),2)</f>
        <v>M</v>
      </c>
      <c r="D216" s="112"/>
      <c r="E216" s="112"/>
      <c r="F216" s="112"/>
      <c r="G216" s="112"/>
      <c r="I216" s="112" t="n">
        <f aca="false">IF(MONTH($A216)=MONTH($A215),IF(G216=0,I215,G216),G216)</f>
        <v>186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186</v>
      </c>
      <c r="N216" s="112" t="n">
        <f aca="false">SUM(J$6:J216)</f>
        <v>-1533882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0.186</v>
      </c>
      <c r="V216" s="114" t="n">
        <f aca="false">M216/$R$3</f>
        <v>0.186</v>
      </c>
      <c r="W216" s="114" t="n">
        <f aca="false">N216/$R$3</f>
        <v>-1533.882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Data'!$A$2:$B$8,MATCH(WEEKDAY('ARG Gas Transport'!A217,3),'Master Data'!$A$2:$A$8,0),2)</f>
        <v>T</v>
      </c>
      <c r="D217" s="112"/>
      <c r="E217" s="112"/>
      <c r="F217" s="112"/>
      <c r="G217" s="112"/>
      <c r="I217" s="112" t="n">
        <f aca="false">IF(MONTH($A217)=MONTH($A216),IF(G217=0,I216,G217),G217)</f>
        <v>186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186</v>
      </c>
      <c r="N217" s="112" t="n">
        <f aca="false">SUM(J$6:J217)</f>
        <v>-1533882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0.186</v>
      </c>
      <c r="V217" s="114" t="n">
        <f aca="false">M217/$R$3</f>
        <v>0.186</v>
      </c>
      <c r="W217" s="114" t="n">
        <f aca="false">N217/$R$3</f>
        <v>-1533.882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Data'!$A$2:$B$8,MATCH(WEEKDAY('ARG Gas Transport'!A218,3),'Master Data'!$A$2:$A$8,0),2)</f>
        <v>W</v>
      </c>
      <c r="D218" s="112"/>
      <c r="E218" s="112"/>
      <c r="F218" s="112"/>
      <c r="G218" s="112"/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186</v>
      </c>
      <c r="N218" s="112" t="n">
        <f aca="false">SUM(J$6:J218)</f>
        <v>-1533882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0.186</v>
      </c>
      <c r="W218" s="114" t="n">
        <f aca="false">N218/$R$3</f>
        <v>-1533.882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Data'!$A$2:$B$8,MATCH(WEEKDAY('ARG Gas Transport'!A219,3),'Master Data'!$A$2:$A$8,0),2)</f>
        <v>Th</v>
      </c>
      <c r="D219" s="112"/>
      <c r="E219" s="112"/>
      <c r="F219" s="112"/>
      <c r="G219" s="112"/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186</v>
      </c>
      <c r="N219" s="112" t="n">
        <f aca="false">SUM(J$6:J219)</f>
        <v>-1533882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0.186</v>
      </c>
      <c r="W219" s="114" t="n">
        <f aca="false">N219/$R$3</f>
        <v>-1533.882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Data'!$A$2:$B$8,MATCH(WEEKDAY('ARG Gas Transport'!A220,3),'Master Data'!$A$2:$A$8,0),2)</f>
        <v>F</v>
      </c>
      <c r="D220" s="112"/>
      <c r="E220" s="112"/>
      <c r="F220" s="112"/>
      <c r="G220" s="112"/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186</v>
      </c>
      <c r="N220" s="112" t="n">
        <f aca="false">SUM(J$6:J220)</f>
        <v>-1533882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0.186</v>
      </c>
      <c r="W220" s="114" t="n">
        <f aca="false">N220/$R$3</f>
        <v>-1533.882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Data'!$A$2:$B$8,MATCH(WEEKDAY('ARG Gas Transport'!A221,3),'Master Data'!$A$2:$A$8,0),2)</f>
        <v>Sa</v>
      </c>
      <c r="D221" s="112"/>
      <c r="E221" s="112"/>
      <c r="F221" s="112"/>
      <c r="G221" s="112"/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186</v>
      </c>
      <c r="N221" s="112" t="n">
        <f aca="false">SUM(J$6:J221)</f>
        <v>-1533882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0.186</v>
      </c>
      <c r="W221" s="114" t="n">
        <f aca="false">N221/$R$3</f>
        <v>-1533.882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Data'!$A$2:$B$8,MATCH(WEEKDAY('ARG Gas Transport'!A222,3),'Master Data'!$A$2:$A$8,0),2)</f>
        <v>Su</v>
      </c>
      <c r="D222" s="112"/>
      <c r="E222" s="112"/>
      <c r="F222" s="112"/>
      <c r="G222" s="112"/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186</v>
      </c>
      <c r="N222" s="112" t="n">
        <f aca="false">SUM(J$6:J222)</f>
        <v>-1533882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0.186</v>
      </c>
      <c r="W222" s="114" t="n">
        <f aca="false">N222/$R$3</f>
        <v>-1533.882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Data'!$A$2:$B$8,MATCH(WEEKDAY('ARG Gas Transport'!A223,3),'Master Data'!$A$2:$A$8,0),2)</f>
        <v>M</v>
      </c>
      <c r="D223" s="112"/>
      <c r="E223" s="112"/>
      <c r="F223" s="112"/>
      <c r="G223" s="112"/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186</v>
      </c>
      <c r="N223" s="112" t="n">
        <f aca="false">SUM(J$6:J223)</f>
        <v>-1533882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0.186</v>
      </c>
      <c r="W223" s="114" t="n">
        <f aca="false">N223/$R$3</f>
        <v>-1533.882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Data'!$A$2:$B$8,MATCH(WEEKDAY('ARG Gas Transport'!A224,3),'Master Data'!$A$2:$A$8,0),2)</f>
        <v>T</v>
      </c>
      <c r="D224" s="112"/>
      <c r="E224" s="112"/>
      <c r="F224" s="112"/>
      <c r="G224" s="112"/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186</v>
      </c>
      <c r="N224" s="112" t="n">
        <f aca="false">SUM(J$6:J224)</f>
        <v>-1533882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0.186</v>
      </c>
      <c r="W224" s="114" t="n">
        <f aca="false">N224/$R$3</f>
        <v>-1533.882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Data'!$A$2:$B$8,MATCH(WEEKDAY('ARG Gas Transport'!A225,3),'Master Data'!$A$2:$A$8,0),2)</f>
        <v>W</v>
      </c>
      <c r="D225" s="112"/>
      <c r="E225" s="112"/>
      <c r="F225" s="112"/>
      <c r="G225" s="112"/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186</v>
      </c>
      <c r="N225" s="112" t="n">
        <f aca="false">SUM(J$6:J225)</f>
        <v>-1533882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0.186</v>
      </c>
      <c r="W225" s="114" t="n">
        <f aca="false">N225/$R$3</f>
        <v>-1533.882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Data'!$A$2:$B$8,MATCH(WEEKDAY('ARG Gas Transport'!A226,3),'Master Data'!$A$2:$A$8,0),2)</f>
        <v>Th</v>
      </c>
      <c r="D226" s="112"/>
      <c r="E226" s="112"/>
      <c r="F226" s="112"/>
      <c r="G226" s="112"/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186</v>
      </c>
      <c r="N226" s="112" t="n">
        <f aca="false">SUM(J$6:J226)</f>
        <v>-1533882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0.186</v>
      </c>
      <c r="W226" s="114" t="n">
        <f aca="false">N226/$R$3</f>
        <v>-1533.882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Data'!$A$2:$B$8,MATCH(WEEKDAY('ARG Gas Transport'!A227,3),'Master Data'!$A$2:$A$8,0),2)</f>
        <v>F</v>
      </c>
      <c r="D227" s="112"/>
      <c r="E227" s="112"/>
      <c r="F227" s="112"/>
      <c r="G227" s="112"/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186</v>
      </c>
      <c r="N227" s="112" t="n">
        <f aca="false">SUM(J$6:J227)</f>
        <v>-1533882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0.186</v>
      </c>
      <c r="W227" s="114" t="n">
        <f aca="false">N227/$R$3</f>
        <v>-1533.882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Data'!$A$2:$B$8,MATCH(WEEKDAY('ARG Gas Transport'!A228,3),'Master Data'!$A$2:$A$8,0),2)</f>
        <v>Sa</v>
      </c>
      <c r="D228" s="112"/>
      <c r="E228" s="112"/>
      <c r="F228" s="112"/>
      <c r="G228" s="112"/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186</v>
      </c>
      <c r="N228" s="112" t="n">
        <f aca="false">SUM(J$6:J228)</f>
        <v>-1533882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0.186</v>
      </c>
      <c r="W228" s="114" t="n">
        <f aca="false">N228/$R$3</f>
        <v>-1533.882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Data'!$A$2:$B$8,MATCH(WEEKDAY('ARG Gas Transport'!A229,3),'Master Data'!$A$2:$A$8,0),2)</f>
        <v>Su</v>
      </c>
      <c r="D229" s="112"/>
      <c r="E229" s="112"/>
      <c r="F229" s="112"/>
      <c r="G229" s="112"/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186</v>
      </c>
      <c r="N229" s="112" t="n">
        <f aca="false">SUM(J$6:J229)</f>
        <v>-1533882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0.186</v>
      </c>
      <c r="W229" s="114" t="n">
        <f aca="false">N229/$R$3</f>
        <v>-1533.882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Data'!$A$2:$B$8,MATCH(WEEKDAY('ARG Gas Transport'!A230,3),'Master Data'!$A$2:$A$8,0),2)</f>
        <v>M</v>
      </c>
      <c r="D230" s="112"/>
      <c r="E230" s="112"/>
      <c r="F230" s="112"/>
      <c r="G230" s="112"/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186</v>
      </c>
      <c r="N230" s="112" t="n">
        <f aca="false">SUM(J$6:J230)</f>
        <v>-1533882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0.186</v>
      </c>
      <c r="W230" s="114" t="n">
        <f aca="false">N230/$R$3</f>
        <v>-1533.882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Data'!$A$2:$B$8,MATCH(WEEKDAY('ARG Gas Transport'!A231,3),'Master Data'!$A$2:$A$8,0),2)</f>
        <v>T</v>
      </c>
      <c r="D231" s="112"/>
      <c r="E231" s="112"/>
      <c r="F231" s="112"/>
      <c r="G231" s="112"/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186</v>
      </c>
      <c r="N231" s="112" t="n">
        <f aca="false">SUM(J$6:J231)</f>
        <v>-1533882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0.186</v>
      </c>
      <c r="W231" s="114" t="n">
        <f aca="false">N231/$R$3</f>
        <v>-1533.882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Data'!$A$2:$B$8,MATCH(WEEKDAY('ARG Gas Transport'!A232,3),'Master Data'!$A$2:$A$8,0),2)</f>
        <v>W</v>
      </c>
      <c r="D232" s="112"/>
      <c r="E232" s="112"/>
      <c r="F232" s="112"/>
      <c r="G232" s="112"/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186</v>
      </c>
      <c r="N232" s="112" t="n">
        <f aca="false">SUM(J$6:J232)</f>
        <v>-1533882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0.186</v>
      </c>
      <c r="W232" s="114" t="n">
        <f aca="false">N232/$R$3</f>
        <v>-1533.882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Data'!$A$2:$B$8,MATCH(WEEKDAY('ARG Gas Transport'!A233,3),'Master Data'!$A$2:$A$8,0),2)</f>
        <v>Th</v>
      </c>
      <c r="D233" s="112"/>
      <c r="E233" s="112"/>
      <c r="F233" s="112"/>
      <c r="G233" s="112"/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186</v>
      </c>
      <c r="N233" s="112" t="n">
        <f aca="false">SUM(J$6:J233)</f>
        <v>-1533882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0.186</v>
      </c>
      <c r="W233" s="114" t="n">
        <f aca="false">N233/$R$3</f>
        <v>-1533.882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Data'!$A$2:$B$8,MATCH(WEEKDAY('ARG Gas Transport'!A234,3),'Master Data'!$A$2:$A$8,0),2)</f>
        <v>F</v>
      </c>
      <c r="D234" s="112"/>
      <c r="E234" s="112"/>
      <c r="F234" s="112"/>
      <c r="G234" s="112"/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186</v>
      </c>
      <c r="N234" s="112" t="n">
        <f aca="false">SUM(J$6:J234)</f>
        <v>-1533882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0.186</v>
      </c>
      <c r="W234" s="114" t="n">
        <f aca="false">N234/$R$3</f>
        <v>-1533.882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Data'!$A$2:$B$8,MATCH(WEEKDAY('ARG Gas Transport'!A235,3),'Master Data'!$A$2:$A$8,0),2)</f>
        <v>Sa</v>
      </c>
      <c r="D235" s="112"/>
      <c r="E235" s="112"/>
      <c r="F235" s="112"/>
      <c r="G235" s="112"/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186</v>
      </c>
      <c r="N235" s="112" t="n">
        <f aca="false">SUM(J$6:J235)</f>
        <v>-1533882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0.186</v>
      </c>
      <c r="W235" s="114" t="n">
        <f aca="false">N235/$R$3</f>
        <v>-1533.882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Data'!$A$2:$B$8,MATCH(WEEKDAY('ARG Gas Transport'!A236,3),'Master Data'!$A$2:$A$8,0),2)</f>
        <v>Su</v>
      </c>
      <c r="D236" s="112"/>
      <c r="E236" s="112"/>
      <c r="F236" s="112"/>
      <c r="G236" s="112"/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186</v>
      </c>
      <c r="N236" s="112" t="n">
        <f aca="false">SUM(J$6:J236)</f>
        <v>-1533882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0.186</v>
      </c>
      <c r="W236" s="114" t="n">
        <f aca="false">N236/$R$3</f>
        <v>-1533.882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Data'!$A$2:$B$8,MATCH(WEEKDAY('ARG Gas Transport'!A237,3),'Master Data'!$A$2:$A$8,0),2)</f>
        <v>M</v>
      </c>
      <c r="D237" s="112"/>
      <c r="E237" s="112"/>
      <c r="F237" s="112"/>
      <c r="G237" s="112"/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186</v>
      </c>
      <c r="N237" s="112" t="n">
        <f aca="false">SUM(J$6:J237)</f>
        <v>-1533882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0.186</v>
      </c>
      <c r="W237" s="114" t="n">
        <f aca="false">N237/$R$3</f>
        <v>-1533.882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Data'!$A$2:$B$8,MATCH(WEEKDAY('ARG Gas Transport'!A238,3),'Master Data'!$A$2:$A$8,0),2)</f>
        <v>T</v>
      </c>
      <c r="D238" s="112"/>
      <c r="E238" s="112"/>
      <c r="F238" s="112"/>
      <c r="G238" s="112"/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186</v>
      </c>
      <c r="N238" s="112" t="n">
        <f aca="false">SUM(J$6:J238)</f>
        <v>-1533882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0.186</v>
      </c>
      <c r="W238" s="114" t="n">
        <f aca="false">N238/$R$3</f>
        <v>-1533.882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Data'!$A$2:$B$8,MATCH(WEEKDAY('ARG Gas Transport'!A239,3),'Master Data'!$A$2:$A$8,0),2)</f>
        <v>W</v>
      </c>
      <c r="D239" s="112"/>
      <c r="E239" s="112"/>
      <c r="F239" s="112"/>
      <c r="G239" s="112"/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186</v>
      </c>
      <c r="N239" s="112" t="n">
        <f aca="false">SUM(J$6:J239)</f>
        <v>-1533882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0.186</v>
      </c>
      <c r="W239" s="114" t="n">
        <f aca="false">N239/$R$3</f>
        <v>-1533.882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Data'!$A$2:$B$8,MATCH(WEEKDAY('ARG Gas Transport'!A240,3),'Master Data'!$A$2:$A$8,0),2)</f>
        <v>Th</v>
      </c>
      <c r="D240" s="112"/>
      <c r="E240" s="112"/>
      <c r="F240" s="112"/>
      <c r="G240" s="112"/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186</v>
      </c>
      <c r="N240" s="112" t="n">
        <f aca="false">SUM(J$6:J240)</f>
        <v>-1533882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0.186</v>
      </c>
      <c r="W240" s="114" t="n">
        <f aca="false">N240/$R$3</f>
        <v>-1533.882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Data'!$A$2:$B$8,MATCH(WEEKDAY('ARG Gas Transport'!A241,3),'Master Data'!$A$2:$A$8,0),2)</f>
        <v>F</v>
      </c>
      <c r="D241" s="112"/>
      <c r="E241" s="112"/>
      <c r="F241" s="112"/>
      <c r="G241" s="112"/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186</v>
      </c>
      <c r="N241" s="112" t="n">
        <f aca="false">SUM(J$6:J241)</f>
        <v>-1533882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0.186</v>
      </c>
      <c r="W241" s="114" t="n">
        <f aca="false">N241/$R$3</f>
        <v>-1533.882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Data'!$A$2:$B$8,MATCH(WEEKDAY('ARG Gas Transport'!A242,3),'Master Data'!$A$2:$A$8,0),2)</f>
        <v>Sa</v>
      </c>
      <c r="D242" s="112"/>
      <c r="E242" s="112"/>
      <c r="F242" s="112"/>
      <c r="G242" s="112"/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186</v>
      </c>
      <c r="N242" s="112" t="n">
        <f aca="false">SUM(J$6:J242)</f>
        <v>-1533882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0.186</v>
      </c>
      <c r="W242" s="114" t="n">
        <f aca="false">N242/$R$3</f>
        <v>-1533.882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Data'!$A$2:$B$8,MATCH(WEEKDAY('ARG Gas Transport'!A243,3),'Master Data'!$A$2:$A$8,0),2)</f>
        <v>Su</v>
      </c>
      <c r="D243" s="112"/>
      <c r="E243" s="112"/>
      <c r="F243" s="112"/>
      <c r="G243" s="112"/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186</v>
      </c>
      <c r="N243" s="112" t="n">
        <f aca="false">SUM(J$6:J243)</f>
        <v>-1533882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0.186</v>
      </c>
      <c r="W243" s="114" t="n">
        <f aca="false">N243/$R$3</f>
        <v>-1533.882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Data'!$A$2:$B$8,MATCH(WEEKDAY('ARG Gas Transport'!A244,3),'Master Data'!$A$2:$A$8,0),2)</f>
        <v>M</v>
      </c>
      <c r="D244" s="112"/>
      <c r="E244" s="112"/>
      <c r="F244" s="112"/>
      <c r="G244" s="112"/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186</v>
      </c>
      <c r="N244" s="112" t="n">
        <f aca="false">SUM(J$6:J244)</f>
        <v>-1533882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0.186</v>
      </c>
      <c r="W244" s="114" t="n">
        <f aca="false">N244/$R$3</f>
        <v>-1533.882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Data'!$A$2:$B$8,MATCH(WEEKDAY('ARG Gas Transport'!A245,3),'Master Data'!$A$2:$A$8,0),2)</f>
        <v>T</v>
      </c>
      <c r="D245" s="112"/>
      <c r="E245" s="112"/>
      <c r="F245" s="112"/>
      <c r="G245" s="112"/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186</v>
      </c>
      <c r="N245" s="112" t="n">
        <f aca="false">SUM(J$6:J245)</f>
        <v>-1533882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0.186</v>
      </c>
      <c r="W245" s="114" t="n">
        <f aca="false">N245/$R$3</f>
        <v>-1533.882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Data'!$A$2:$B$8,MATCH(WEEKDAY('ARG Gas Transport'!A246,3),'Master Data'!$A$2:$A$8,0),2)</f>
        <v>W</v>
      </c>
      <c r="D246" s="112"/>
      <c r="E246" s="112"/>
      <c r="F246" s="112"/>
      <c r="G246" s="112"/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186</v>
      </c>
      <c r="N246" s="112" t="n">
        <f aca="false">SUM(J$6:J246)</f>
        <v>-1533882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0.186</v>
      </c>
      <c r="W246" s="114" t="n">
        <f aca="false">N246/$R$3</f>
        <v>-1533.882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Data'!$A$2:$B$8,MATCH(WEEKDAY('ARG Gas Transport'!A247,3),'Master Data'!$A$2:$A$8,0),2)</f>
        <v>Th</v>
      </c>
      <c r="D247" s="112"/>
      <c r="E247" s="112"/>
      <c r="F247" s="112"/>
      <c r="G247" s="112"/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186</v>
      </c>
      <c r="N247" s="112" t="n">
        <f aca="false">SUM(J$6:J247)</f>
        <v>-1533882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0.186</v>
      </c>
      <c r="W247" s="114" t="n">
        <f aca="false">N247/$R$3</f>
        <v>-1533.882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Data'!$A$2:$B$8,MATCH(WEEKDAY('ARG Gas Transport'!A248,3),'Master Data'!$A$2:$A$8,0),2)</f>
        <v>F</v>
      </c>
      <c r="D248" s="112"/>
      <c r="E248" s="112"/>
      <c r="F248" s="112"/>
      <c r="G248" s="112"/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186</v>
      </c>
      <c r="N248" s="112" t="n">
        <f aca="false">SUM(J$6:J248)</f>
        <v>-1533882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0.186</v>
      </c>
      <c r="W248" s="114" t="n">
        <f aca="false">N248/$R$3</f>
        <v>-1533.882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Data'!$A$2:$B$8,MATCH(WEEKDAY('ARG Gas Transport'!A249,3),'Master Data'!$A$2:$A$8,0),2)</f>
        <v>Sa</v>
      </c>
      <c r="D249" s="112"/>
      <c r="E249" s="112"/>
      <c r="F249" s="112"/>
      <c r="G249" s="112"/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186</v>
      </c>
      <c r="N249" s="112" t="n">
        <f aca="false">SUM(J$6:J249)</f>
        <v>-1533882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0.186</v>
      </c>
      <c r="W249" s="114" t="n">
        <f aca="false">N249/$R$3</f>
        <v>-1533.882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Data'!$A$2:$B$8,MATCH(WEEKDAY('ARG Gas Transport'!A250,3),'Master Data'!$A$2:$A$8,0),2)</f>
        <v>Su</v>
      </c>
      <c r="D250" s="112"/>
      <c r="E250" s="112"/>
      <c r="F250" s="112"/>
      <c r="G250" s="112"/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186</v>
      </c>
      <c r="N250" s="112" t="n">
        <f aca="false">SUM(J$6:J250)</f>
        <v>-1533882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0.186</v>
      </c>
      <c r="W250" s="114" t="n">
        <f aca="false">N250/$R$3</f>
        <v>-1533.882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Data'!$A$2:$B$8,MATCH(WEEKDAY('ARG Gas Transport'!A251,3),'Master Data'!$A$2:$A$8,0),2)</f>
        <v>M</v>
      </c>
      <c r="D251" s="112"/>
      <c r="E251" s="112"/>
      <c r="F251" s="112"/>
      <c r="G251" s="112"/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186</v>
      </c>
      <c r="N251" s="112" t="n">
        <f aca="false">SUM(J$6:J251)</f>
        <v>-1533882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0.186</v>
      </c>
      <c r="W251" s="114" t="n">
        <f aca="false">N251/$R$3</f>
        <v>-1533.882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Data'!$A$2:$B$8,MATCH(WEEKDAY('ARG Gas Transport'!A252,3),'Master Data'!$A$2:$A$8,0),2)</f>
        <v>T</v>
      </c>
      <c r="D252" s="112"/>
      <c r="E252" s="112"/>
      <c r="F252" s="112"/>
      <c r="G252" s="112"/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186</v>
      </c>
      <c r="N252" s="112" t="n">
        <f aca="false">SUM(J$6:J252)</f>
        <v>-1533882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0.186</v>
      </c>
      <c r="W252" s="114" t="n">
        <f aca="false">N252/$R$3</f>
        <v>-1533.882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Data'!$A$2:$B$8,MATCH(WEEKDAY('ARG Gas Transport'!A253,3),'Master Data'!$A$2:$A$8,0),2)</f>
        <v>W</v>
      </c>
      <c r="D253" s="112"/>
      <c r="E253" s="112"/>
      <c r="F253" s="112"/>
      <c r="G253" s="112"/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186</v>
      </c>
      <c r="N253" s="112" t="n">
        <f aca="false">SUM(J$6:J253)</f>
        <v>-1533882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0.186</v>
      </c>
      <c r="W253" s="114" t="n">
        <f aca="false">N253/$R$3</f>
        <v>-1533.882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Data'!$A$2:$B$8,MATCH(WEEKDAY('ARG Gas Transport'!A254,3),'Master Data'!$A$2:$A$8,0),2)</f>
        <v>Th</v>
      </c>
      <c r="D254" s="112"/>
      <c r="E254" s="112"/>
      <c r="F254" s="112"/>
      <c r="G254" s="112"/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186</v>
      </c>
      <c r="N254" s="112" t="n">
        <f aca="false">SUM(J$6:J254)</f>
        <v>-1533882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0.186</v>
      </c>
      <c r="W254" s="114" t="n">
        <f aca="false">N254/$R$3</f>
        <v>-1533.882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Data'!$A$2:$B$8,MATCH(WEEKDAY('ARG Gas Transport'!A255,3),'Master Data'!$A$2:$A$8,0),2)</f>
        <v>F</v>
      </c>
      <c r="D255" s="112"/>
      <c r="E255" s="112"/>
      <c r="F255" s="112"/>
      <c r="G255" s="112"/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186</v>
      </c>
      <c r="N255" s="112" t="n">
        <f aca="false">SUM(J$6:J255)</f>
        <v>-1533882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0.186</v>
      </c>
      <c r="W255" s="114" t="n">
        <f aca="false">N255/$R$3</f>
        <v>-1533.882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Data'!$A$2:$B$8,MATCH(WEEKDAY('ARG Gas Transport'!A256,3),'Master Data'!$A$2:$A$8,0),2)</f>
        <v>Sa</v>
      </c>
      <c r="D256" s="112"/>
      <c r="E256" s="112"/>
      <c r="F256" s="112"/>
      <c r="G256" s="112"/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186</v>
      </c>
      <c r="N256" s="112" t="n">
        <f aca="false">SUM(J$6:J256)</f>
        <v>-1533882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0.186</v>
      </c>
      <c r="W256" s="114" t="n">
        <f aca="false">N256/$R$3</f>
        <v>-1533.882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Data'!$A$2:$B$8,MATCH(WEEKDAY('ARG Gas Transport'!A257,3),'Master Data'!$A$2:$A$8,0),2)</f>
        <v>Su</v>
      </c>
      <c r="D257" s="112"/>
      <c r="E257" s="112"/>
      <c r="F257" s="112"/>
      <c r="G257" s="112"/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186</v>
      </c>
      <c r="N257" s="112" t="n">
        <f aca="false">SUM(J$6:J257)</f>
        <v>-1533882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0.186</v>
      </c>
      <c r="W257" s="114" t="n">
        <f aca="false">N257/$R$3</f>
        <v>-1533.882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Data'!$A$2:$B$8,MATCH(WEEKDAY('ARG Gas Transport'!A258,3),'Master Data'!$A$2:$A$8,0),2)</f>
        <v>M</v>
      </c>
      <c r="D258" s="112"/>
      <c r="E258" s="112"/>
      <c r="F258" s="112"/>
      <c r="G258" s="112"/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186</v>
      </c>
      <c r="N258" s="112" t="n">
        <f aca="false">SUM(J$6:J258)</f>
        <v>-1533882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0.186</v>
      </c>
      <c r="W258" s="114" t="n">
        <f aca="false">N258/$R$3</f>
        <v>-1533.882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Data'!$A$2:$B$8,MATCH(WEEKDAY('ARG Gas Transport'!A259,3),'Master Data'!$A$2:$A$8,0),2)</f>
        <v>T</v>
      </c>
      <c r="D259" s="112"/>
      <c r="E259" s="112"/>
      <c r="F259" s="112"/>
      <c r="G259" s="112"/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186</v>
      </c>
      <c r="N259" s="112" t="n">
        <f aca="false">SUM(J$6:J259)</f>
        <v>-1533882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0.186</v>
      </c>
      <c r="W259" s="114" t="n">
        <f aca="false">N259/$R$3</f>
        <v>-1533.882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Data'!$A$2:$B$8,MATCH(WEEKDAY('ARG Gas Transport'!A260,3),'Master Data'!$A$2:$A$8,0),2)</f>
        <v>W</v>
      </c>
      <c r="D260" s="112"/>
      <c r="E260" s="112"/>
      <c r="F260" s="112"/>
      <c r="G260" s="112"/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186</v>
      </c>
      <c r="N260" s="112" t="n">
        <f aca="false">SUM(J$6:J260)</f>
        <v>-1533882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0.186</v>
      </c>
      <c r="W260" s="114" t="n">
        <f aca="false">N260/$R$3</f>
        <v>-1533.882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Data'!$A$2:$B$8,MATCH(WEEKDAY('ARG Gas Transport'!A261,3),'Master Data'!$A$2:$A$8,0),2)</f>
        <v>Th</v>
      </c>
      <c r="D261" s="112"/>
      <c r="E261" s="112"/>
      <c r="F261" s="112"/>
      <c r="G261" s="112"/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186</v>
      </c>
      <c r="N261" s="112" t="n">
        <f aca="false">SUM(J$6:J261)</f>
        <v>-1533882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0.186</v>
      </c>
      <c r="W261" s="114" t="n">
        <f aca="false">N261/$R$3</f>
        <v>-1533.882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Data'!$A$2:$B$8,MATCH(WEEKDAY('ARG Gas Transport'!A262,3),'Master Data'!$A$2:$A$8,0),2)</f>
        <v>F</v>
      </c>
      <c r="D262" s="112"/>
      <c r="E262" s="112"/>
      <c r="F262" s="112"/>
      <c r="G262" s="112"/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186</v>
      </c>
      <c r="N262" s="112" t="n">
        <f aca="false">SUM(J$6:J262)</f>
        <v>-1533882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0.186</v>
      </c>
      <c r="W262" s="114" t="n">
        <f aca="false">N262/$R$3</f>
        <v>-1533.882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Data'!$A$2:$B$8,MATCH(WEEKDAY('ARG Gas Transport'!A263,3),'Master Data'!$A$2:$A$8,0),2)</f>
        <v>Sa</v>
      </c>
      <c r="D263" s="112"/>
      <c r="E263" s="112"/>
      <c r="F263" s="112"/>
      <c r="G263" s="112"/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186</v>
      </c>
      <c r="N263" s="112" t="n">
        <f aca="false">SUM(J$6:J263)</f>
        <v>-1533882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0.186</v>
      </c>
      <c r="W263" s="114" t="n">
        <f aca="false">N263/$R$3</f>
        <v>-1533.882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Data'!$A$2:$B$8,MATCH(WEEKDAY('ARG Gas Transport'!A264,3),'Master Data'!$A$2:$A$8,0),2)</f>
        <v>Su</v>
      </c>
      <c r="D264" s="112"/>
      <c r="E264" s="112"/>
      <c r="F264" s="112"/>
      <c r="G264" s="112"/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186</v>
      </c>
      <c r="N264" s="112" t="n">
        <f aca="false">SUM(J$6:J264)</f>
        <v>-1533882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0.186</v>
      </c>
      <c r="W264" s="114" t="n">
        <f aca="false">N264/$R$3</f>
        <v>-1533.882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Data'!$A$2:$B$8,MATCH(WEEKDAY('ARG Gas Transport'!A265,3),'Master Data'!$A$2:$A$8,0),2)</f>
        <v>M</v>
      </c>
      <c r="D265" s="112"/>
      <c r="E265" s="112"/>
      <c r="F265" s="112"/>
      <c r="G265" s="112"/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186</v>
      </c>
      <c r="N265" s="112" t="n">
        <f aca="false">SUM(J$6:J265)</f>
        <v>-1533882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0.186</v>
      </c>
      <c r="W265" s="114" t="n">
        <f aca="false">N265/$R$3</f>
        <v>-1533.882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Data'!$A$2:$B$8,MATCH(WEEKDAY('ARG Gas Transport'!A266,3),'Master Data'!$A$2:$A$8,0),2)</f>
        <v>T</v>
      </c>
      <c r="D266" s="112"/>
      <c r="E266" s="112"/>
      <c r="F266" s="112"/>
      <c r="G266" s="112"/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186</v>
      </c>
      <c r="N266" s="112" t="n">
        <f aca="false">SUM(J$6:J266)</f>
        <v>-1533882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0.186</v>
      </c>
      <c r="W266" s="114" t="n">
        <f aca="false">N266/$R$3</f>
        <v>-1533.882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Data'!$A$2:$B$8,MATCH(WEEKDAY('ARG Gas Transport'!A267,3),'Master Data'!$A$2:$A$8,0),2)</f>
        <v>W</v>
      </c>
      <c r="D267" s="112"/>
      <c r="E267" s="112"/>
      <c r="F267" s="112"/>
      <c r="G267" s="112"/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186</v>
      </c>
      <c r="N267" s="112" t="n">
        <f aca="false">SUM(J$6:J267)</f>
        <v>-1533882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0.186</v>
      </c>
      <c r="W267" s="114" t="n">
        <f aca="false">N267/$R$3</f>
        <v>-1533.882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Data'!$A$2:$B$8,MATCH(WEEKDAY('ARG Gas Transport'!A268,3),'Master Data'!$A$2:$A$8,0),2)</f>
        <v>Th</v>
      </c>
      <c r="D268" s="112"/>
      <c r="E268" s="112"/>
      <c r="F268" s="112"/>
      <c r="G268" s="112"/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186</v>
      </c>
      <c r="N268" s="112" t="n">
        <f aca="false">SUM(J$6:J268)</f>
        <v>-1533882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0.186</v>
      </c>
      <c r="W268" s="114" t="n">
        <f aca="false">N268/$R$3</f>
        <v>-1533.882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Data'!$A$2:$B$8,MATCH(WEEKDAY('ARG Gas Transport'!A269,3),'Master Data'!$A$2:$A$8,0),2)</f>
        <v>F</v>
      </c>
      <c r="D269" s="112"/>
      <c r="E269" s="112"/>
      <c r="F269" s="112"/>
      <c r="G269" s="112"/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186</v>
      </c>
      <c r="N269" s="112" t="n">
        <f aca="false">SUM(J$6:J269)</f>
        <v>-1533882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0.186</v>
      </c>
      <c r="W269" s="114" t="n">
        <f aca="false">N269/$R$3</f>
        <v>-1533.882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Data'!$A$2:$B$8,MATCH(WEEKDAY('ARG Gas Transport'!A270,3),'Master Data'!$A$2:$A$8,0),2)</f>
        <v>Sa</v>
      </c>
      <c r="D270" s="112"/>
      <c r="E270" s="112"/>
      <c r="F270" s="112"/>
      <c r="G270" s="112"/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186</v>
      </c>
      <c r="N270" s="112" t="n">
        <f aca="false">SUM(J$6:J270)</f>
        <v>-1533882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0.186</v>
      </c>
      <c r="W270" s="114" t="n">
        <f aca="false">N270/$R$3</f>
        <v>-1533.882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Data'!$A$2:$B$8,MATCH(WEEKDAY('ARG Gas Transport'!A271,3),'Master Data'!$A$2:$A$8,0),2)</f>
        <v>Su</v>
      </c>
      <c r="D271" s="112"/>
      <c r="E271" s="112"/>
      <c r="F271" s="112"/>
      <c r="G271" s="112"/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186</v>
      </c>
      <c r="N271" s="112" t="n">
        <f aca="false">SUM(J$6:J271)</f>
        <v>-1533882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0.186</v>
      </c>
      <c r="W271" s="114" t="n">
        <f aca="false">N271/$R$3</f>
        <v>-1533.882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Data'!$A$2:$B$8,MATCH(WEEKDAY('ARG Gas Transport'!A272,3),'Master Data'!$A$2:$A$8,0),2)</f>
        <v>M</v>
      </c>
      <c r="D272" s="112"/>
      <c r="E272" s="112"/>
      <c r="F272" s="112"/>
      <c r="G272" s="112"/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186</v>
      </c>
      <c r="N272" s="112" t="n">
        <f aca="false">SUM(J$6:J272)</f>
        <v>-1533882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0.186</v>
      </c>
      <c r="W272" s="114" t="n">
        <f aca="false">N272/$R$3</f>
        <v>-1533.882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Data'!$A$2:$B$8,MATCH(WEEKDAY('ARG Gas Transport'!A273,3),'Master Data'!$A$2:$A$8,0),2)</f>
        <v>T</v>
      </c>
      <c r="D273" s="112"/>
      <c r="E273" s="112"/>
      <c r="F273" s="112"/>
      <c r="G273" s="112"/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186</v>
      </c>
      <c r="N273" s="112" t="n">
        <f aca="false">SUM(J$6:J273)</f>
        <v>-1533882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0.186</v>
      </c>
      <c r="W273" s="114" t="n">
        <f aca="false">N273/$R$3</f>
        <v>-1533.882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Data'!$A$2:$B$8,MATCH(WEEKDAY('ARG Gas Transport'!A274,3),'Master Data'!$A$2:$A$8,0),2)</f>
        <v>W</v>
      </c>
      <c r="D274" s="112"/>
      <c r="E274" s="112"/>
      <c r="F274" s="112"/>
      <c r="G274" s="112"/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186</v>
      </c>
      <c r="N274" s="112" t="n">
        <f aca="false">SUM(J$6:J274)</f>
        <v>-1533882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0.186</v>
      </c>
      <c r="W274" s="114" t="n">
        <f aca="false">N274/$R$3</f>
        <v>-1533.882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Data'!$A$2:$B$8,MATCH(WEEKDAY('ARG Gas Transport'!A275,3),'Master Data'!$A$2:$A$8,0),2)</f>
        <v>Th</v>
      </c>
      <c r="D275" s="112"/>
      <c r="E275" s="112"/>
      <c r="F275" s="112"/>
      <c r="G275" s="112"/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186</v>
      </c>
      <c r="N275" s="112" t="n">
        <f aca="false">SUM(J$6:J275)</f>
        <v>-1533882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0.186</v>
      </c>
      <c r="W275" s="114" t="n">
        <f aca="false">N275/$R$3</f>
        <v>-1533.882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Data'!$A$2:$B$8,MATCH(WEEKDAY('ARG Gas Transport'!A276,3),'Master Data'!$A$2:$A$8,0),2)</f>
        <v>F</v>
      </c>
      <c r="D276" s="112"/>
      <c r="E276" s="112"/>
      <c r="F276" s="112"/>
      <c r="G276" s="112"/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186</v>
      </c>
      <c r="N276" s="112" t="n">
        <f aca="false">SUM(J$6:J276)</f>
        <v>-1533882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0.186</v>
      </c>
      <c r="W276" s="114" t="n">
        <f aca="false">N276/$R$3</f>
        <v>-1533.882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Data'!$A$2:$B$8,MATCH(WEEKDAY('ARG Gas Transport'!A277,3),'Master Data'!$A$2:$A$8,0),2)</f>
        <v>Sa</v>
      </c>
      <c r="D277" s="112"/>
      <c r="E277" s="112"/>
      <c r="F277" s="112"/>
      <c r="G277" s="112"/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186</v>
      </c>
      <c r="N277" s="112" t="n">
        <f aca="false">SUM(J$6:J277)</f>
        <v>-1533882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0.186</v>
      </c>
      <c r="W277" s="114" t="n">
        <f aca="false">N277/$R$3</f>
        <v>-1533.882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Data'!$A$2:$B$8,MATCH(WEEKDAY('ARG Gas Transport'!A278,3),'Master Data'!$A$2:$A$8,0),2)</f>
        <v>Su</v>
      </c>
      <c r="D278" s="112"/>
      <c r="E278" s="112"/>
      <c r="F278" s="112"/>
      <c r="G278" s="112"/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186</v>
      </c>
      <c r="N278" s="112" t="n">
        <f aca="false">SUM(J$6:J278)</f>
        <v>-1533882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0.186</v>
      </c>
      <c r="W278" s="114" t="n">
        <f aca="false">N278/$R$3</f>
        <v>-1533.882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Data'!$A$2:$B$8,MATCH(WEEKDAY('ARG Gas Transport'!A279,3),'Master Data'!$A$2:$A$8,0),2)</f>
        <v>M</v>
      </c>
      <c r="D279" s="112"/>
      <c r="E279" s="112"/>
      <c r="F279" s="112"/>
      <c r="G279" s="112"/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186</v>
      </c>
      <c r="N279" s="112" t="n">
        <f aca="false">SUM(J$6:J279)</f>
        <v>-1533882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0.186</v>
      </c>
      <c r="W279" s="114" t="n">
        <f aca="false">N279/$R$3</f>
        <v>-1533.882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Data'!$A$2:$B$8,MATCH(WEEKDAY('ARG Gas Transport'!A280,3),'Master Data'!$A$2:$A$8,0),2)</f>
        <v>T</v>
      </c>
      <c r="D280" s="112"/>
      <c r="E280" s="112"/>
      <c r="F280" s="112"/>
      <c r="G280" s="112"/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SUM(J$188:J280)</f>
        <v>186</v>
      </c>
      <c r="N280" s="112" t="n">
        <f aca="false">SUM(J$6:J280)</f>
        <v>-1533882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0.186</v>
      </c>
      <c r="W280" s="114" t="n">
        <f aca="false">N280/$R$3</f>
        <v>-1533.882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Data'!$A$2:$B$8,MATCH(WEEKDAY('ARG Gas Transport'!A281,3),'Master Data'!$A$2:$A$8,0),2)</f>
        <v>W</v>
      </c>
      <c r="D281" s="112"/>
      <c r="E281" s="112"/>
      <c r="F281" s="112"/>
      <c r="G281" s="112"/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SUM(J$188:J281)</f>
        <v>186</v>
      </c>
      <c r="N281" s="112" t="n">
        <f aca="false">SUM(J$6:J281)</f>
        <v>-1533882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0.186</v>
      </c>
      <c r="W281" s="114" t="n">
        <f aca="false">N281/$R$3</f>
        <v>-1533.882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Data'!$A$2:$B$8,MATCH(WEEKDAY('ARG Gas Transport'!A282,3),'Master Data'!$A$2:$A$8,0),2)</f>
        <v>Th</v>
      </c>
      <c r="D282" s="112"/>
      <c r="E282" s="112"/>
      <c r="F282" s="112"/>
      <c r="G282" s="112"/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SUM(J$188:J282)</f>
        <v>186</v>
      </c>
      <c r="N282" s="112" t="n">
        <f aca="false">SUM(J$6:J282)</f>
        <v>-1533882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0.186</v>
      </c>
      <c r="W282" s="114" t="n">
        <f aca="false">N282/$R$3</f>
        <v>-1533.882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Data'!$A$2:$B$8,MATCH(WEEKDAY('ARG Gas Transport'!A283,3),'Master Data'!$A$2:$A$8,0),2)</f>
        <v>F</v>
      </c>
      <c r="D283" s="112"/>
      <c r="E283" s="112"/>
      <c r="F283" s="112"/>
      <c r="G283" s="112"/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SUM(J$188:J283)</f>
        <v>186</v>
      </c>
      <c r="N283" s="112" t="n">
        <f aca="false">SUM(J$6:J283)</f>
        <v>-1533882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0.186</v>
      </c>
      <c r="W283" s="114" t="n">
        <f aca="false">N283/$R$3</f>
        <v>-1533.882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Data'!$A$2:$B$8,MATCH(WEEKDAY('ARG Gas Transport'!A284,3),'Master Data'!$A$2:$A$8,0),2)</f>
        <v>Sa</v>
      </c>
      <c r="D284" s="112"/>
      <c r="E284" s="112"/>
      <c r="F284" s="112"/>
      <c r="G284" s="112"/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SUM(J$188:J284)</f>
        <v>186</v>
      </c>
      <c r="N284" s="112" t="n">
        <f aca="false">SUM(J$6:J284)</f>
        <v>-1533882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0.186</v>
      </c>
      <c r="W284" s="114" t="n">
        <f aca="false">N284/$R$3</f>
        <v>-1533.882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Data'!$A$2:$B$8,MATCH(WEEKDAY('ARG Gas Transport'!A285,3),'Master Data'!$A$2:$A$8,0),2)</f>
        <v>Su</v>
      </c>
      <c r="D285" s="112"/>
      <c r="E285" s="112"/>
      <c r="F285" s="112"/>
      <c r="G285" s="112"/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SUM(J$188:J285)</f>
        <v>186</v>
      </c>
      <c r="N285" s="112" t="n">
        <f aca="false">SUM(J$6:J285)</f>
        <v>-1533882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0.186</v>
      </c>
      <c r="W285" s="114" t="n">
        <f aca="false">N285/$R$3</f>
        <v>-1533.882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Data'!$A$2:$B$8,MATCH(WEEKDAY('ARG Gas Transport'!A286,3),'Master Data'!$A$2:$A$8,0),2)</f>
        <v>M</v>
      </c>
      <c r="D286" s="112"/>
      <c r="E286" s="112"/>
      <c r="F286" s="112"/>
      <c r="G286" s="112"/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SUM(J$188:J286)</f>
        <v>186</v>
      </c>
      <c r="N286" s="112" t="n">
        <f aca="false">SUM(J$6:J286)</f>
        <v>-1533882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0.186</v>
      </c>
      <c r="W286" s="114" t="n">
        <f aca="false">N286/$R$3</f>
        <v>-1533.882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Data'!$A$2:$B$8,MATCH(WEEKDAY('ARG Gas Transport'!A287,3),'Master Data'!$A$2:$A$8,0),2)</f>
        <v>T</v>
      </c>
      <c r="D287" s="112"/>
      <c r="E287" s="112"/>
      <c r="F287" s="112"/>
      <c r="G287" s="112"/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SUM(J$188:J287)</f>
        <v>186</v>
      </c>
      <c r="N287" s="112" t="n">
        <f aca="false">SUM(J$6:J287)</f>
        <v>-1533882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0.186</v>
      </c>
      <c r="W287" s="114" t="n">
        <f aca="false">N287/$R$3</f>
        <v>-1533.882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Data'!$A$2:$B$8,MATCH(WEEKDAY('ARG Gas Transport'!A288,3),'Master Data'!$A$2:$A$8,0),2)</f>
        <v>W</v>
      </c>
      <c r="D288" s="112"/>
      <c r="E288" s="112"/>
      <c r="F288" s="112"/>
      <c r="G288" s="112"/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SUM(J$188:J288)</f>
        <v>186</v>
      </c>
      <c r="N288" s="112" t="n">
        <f aca="false">SUM(J$6:J288)</f>
        <v>-1533882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0.186</v>
      </c>
      <c r="W288" s="114" t="n">
        <f aca="false">N288/$R$3</f>
        <v>-1533.882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Data'!$A$2:$B$8,MATCH(WEEKDAY('ARG Gas Transport'!A289,3),'Master Data'!$A$2:$A$8,0),2)</f>
        <v>Th</v>
      </c>
      <c r="D289" s="112"/>
      <c r="E289" s="112"/>
      <c r="F289" s="112"/>
      <c r="G289" s="112"/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SUM(J$188:J289)</f>
        <v>186</v>
      </c>
      <c r="N289" s="112" t="n">
        <f aca="false">SUM(J$6:J289)</f>
        <v>-1533882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0.186</v>
      </c>
      <c r="W289" s="114" t="n">
        <f aca="false">N289/$R$3</f>
        <v>-1533.882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Data'!$A$2:$B$8,MATCH(WEEKDAY('ARG Gas Transport'!A290,3),'Master Data'!$A$2:$A$8,0),2)</f>
        <v>F</v>
      </c>
      <c r="D290" s="112"/>
      <c r="E290" s="112"/>
      <c r="F290" s="112"/>
      <c r="G290" s="112"/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SUM(J$188:J290)</f>
        <v>186</v>
      </c>
      <c r="N290" s="112" t="n">
        <f aca="false">SUM(J$6:J290)</f>
        <v>-1533882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0.186</v>
      </c>
      <c r="W290" s="114" t="n">
        <f aca="false">N290/$R$3</f>
        <v>-1533.882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Data'!$A$2:$B$8,MATCH(WEEKDAY('ARG Gas Transport'!A291,3),'Master Data'!$A$2:$A$8,0),2)</f>
        <v>Sa</v>
      </c>
      <c r="D291" s="112"/>
      <c r="E291" s="112"/>
      <c r="F291" s="112"/>
      <c r="G291" s="112"/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SUM(J$188:J291)</f>
        <v>186</v>
      </c>
      <c r="N291" s="112" t="n">
        <f aca="false">SUM(J$6:J291)</f>
        <v>-1533882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0.186</v>
      </c>
      <c r="W291" s="114" t="n">
        <f aca="false">N291/$R$3</f>
        <v>-1533.882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Data'!$A$2:$B$8,MATCH(WEEKDAY('ARG Gas Transport'!A292,3),'Master Data'!$A$2:$A$8,0),2)</f>
        <v>Su</v>
      </c>
      <c r="D292" s="112"/>
      <c r="E292" s="112"/>
      <c r="F292" s="112"/>
      <c r="G292" s="112"/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SUM(J$188:J292)</f>
        <v>186</v>
      </c>
      <c r="N292" s="112" t="n">
        <f aca="false">SUM(J$6:J292)</f>
        <v>-1533882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0.186</v>
      </c>
      <c r="W292" s="114" t="n">
        <f aca="false">N292/$R$3</f>
        <v>-1533.882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Data'!$A$2:$B$8,MATCH(WEEKDAY('ARG Gas Transport'!A293,3),'Master Data'!$A$2:$A$8,0),2)</f>
        <v>M</v>
      </c>
      <c r="D293" s="112"/>
      <c r="E293" s="112"/>
      <c r="F293" s="112"/>
      <c r="G293" s="112"/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SUM(J$188:J293)</f>
        <v>186</v>
      </c>
      <c r="N293" s="112" t="n">
        <f aca="false">SUM(J$6:J293)</f>
        <v>-1533882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0.186</v>
      </c>
      <c r="W293" s="114" t="n">
        <f aca="false">N293/$R$3</f>
        <v>-1533.882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Data'!$A$2:$B$8,MATCH(WEEKDAY('ARG Gas Transport'!A294,3),'Master Data'!$A$2:$A$8,0),2)</f>
        <v>T</v>
      </c>
      <c r="D294" s="112"/>
      <c r="E294" s="112"/>
      <c r="F294" s="112"/>
      <c r="G294" s="112"/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SUM(J$188:J294)</f>
        <v>186</v>
      </c>
      <c r="N294" s="112" t="n">
        <f aca="false">SUM(J$6:J294)</f>
        <v>-1533882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0.186</v>
      </c>
      <c r="W294" s="114" t="n">
        <f aca="false">N294/$R$3</f>
        <v>-1533.882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Data'!$A$2:$B$8,MATCH(WEEKDAY('ARG Gas Transport'!A295,3),'Master Data'!$A$2:$A$8,0),2)</f>
        <v>W</v>
      </c>
      <c r="D295" s="112"/>
      <c r="E295" s="112"/>
      <c r="F295" s="112"/>
      <c r="G295" s="112"/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SUM(J$188:J295)</f>
        <v>186</v>
      </c>
      <c r="N295" s="112" t="n">
        <f aca="false">SUM(J$6:J295)</f>
        <v>-1533882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0.186</v>
      </c>
      <c r="W295" s="114" t="n">
        <f aca="false">N295/$R$3</f>
        <v>-1533.882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Data'!$A$2:$B$8,MATCH(WEEKDAY('ARG Gas Transport'!A296,3),'Master Data'!$A$2:$A$8,0),2)</f>
        <v>Th</v>
      </c>
      <c r="D296" s="112"/>
      <c r="E296" s="112"/>
      <c r="F296" s="112"/>
      <c r="G296" s="112"/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SUM(J$188:J296)</f>
        <v>186</v>
      </c>
      <c r="N296" s="112" t="n">
        <f aca="false">SUM(J$6:J296)</f>
        <v>-1533882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0.186</v>
      </c>
      <c r="W296" s="114" t="n">
        <f aca="false">N296/$R$3</f>
        <v>-1533.882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Data'!$A$2:$B$8,MATCH(WEEKDAY('ARG Gas Transport'!A297,3),'Master Data'!$A$2:$A$8,0),2)</f>
        <v>F</v>
      </c>
      <c r="D297" s="112"/>
      <c r="E297" s="112"/>
      <c r="F297" s="112"/>
      <c r="G297" s="112"/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SUM(J$188:J297)</f>
        <v>186</v>
      </c>
      <c r="N297" s="112" t="n">
        <f aca="false">SUM(J$6:J297)</f>
        <v>-1533882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0.186</v>
      </c>
      <c r="W297" s="114" t="n">
        <f aca="false">N297/$R$3</f>
        <v>-1533.882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Data'!$A$2:$B$8,MATCH(WEEKDAY('ARG Gas Transport'!A298,3),'Master Data'!$A$2:$A$8,0),2)</f>
        <v>Sa</v>
      </c>
      <c r="D298" s="112"/>
      <c r="E298" s="112"/>
      <c r="F298" s="112"/>
      <c r="G298" s="112"/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SUM(J$188:J298)</f>
        <v>186</v>
      </c>
      <c r="N298" s="112" t="n">
        <f aca="false">SUM(J$6:J298)</f>
        <v>-1533882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0.186</v>
      </c>
      <c r="W298" s="114" t="n">
        <f aca="false">N298/$R$3</f>
        <v>-1533.882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Data'!$A$2:$B$8,MATCH(WEEKDAY('ARG Gas Transport'!A299,3),'Master Data'!$A$2:$A$8,0),2)</f>
        <v>Su</v>
      </c>
      <c r="D299" s="112"/>
      <c r="E299" s="112"/>
      <c r="F299" s="112"/>
      <c r="G299" s="112"/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SUM(J$188:J299)</f>
        <v>186</v>
      </c>
      <c r="N299" s="112" t="n">
        <f aca="false">SUM(J$6:J299)</f>
        <v>-1533882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0.186</v>
      </c>
      <c r="W299" s="114" t="n">
        <f aca="false">N299/$R$3</f>
        <v>-1533.882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Data'!$A$2:$B$8,MATCH(WEEKDAY('ARG Gas Transport'!A300,3),'Master Data'!$A$2:$A$8,0),2)</f>
        <v>M</v>
      </c>
      <c r="D300" s="112"/>
      <c r="E300" s="112"/>
      <c r="F300" s="112"/>
      <c r="G300" s="112"/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SUM(J$188:J300)</f>
        <v>186</v>
      </c>
      <c r="N300" s="112" t="n">
        <f aca="false">SUM(J$6:J300)</f>
        <v>-1533882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0.186</v>
      </c>
      <c r="W300" s="114" t="n">
        <f aca="false">N300/$R$3</f>
        <v>-1533.882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Data'!$A$2:$B$8,MATCH(WEEKDAY('ARG Gas Transport'!A301,3),'Master Data'!$A$2:$A$8,0),2)</f>
        <v>T</v>
      </c>
      <c r="D301" s="112"/>
      <c r="E301" s="112"/>
      <c r="F301" s="112"/>
      <c r="G301" s="112"/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SUM(J$188:J301)</f>
        <v>186</v>
      </c>
      <c r="N301" s="112" t="n">
        <f aca="false">SUM(J$6:J301)</f>
        <v>-1533882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0.186</v>
      </c>
      <c r="W301" s="114" t="n">
        <f aca="false">N301/$R$3</f>
        <v>-1533.882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Data'!$A$2:$B$8,MATCH(WEEKDAY('ARG Gas Transport'!A302,3),'Master Data'!$A$2:$A$8,0),2)</f>
        <v>W</v>
      </c>
      <c r="D302" s="112"/>
      <c r="E302" s="112"/>
      <c r="F302" s="112"/>
      <c r="G302" s="112"/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SUM(J$188:J302)</f>
        <v>186</v>
      </c>
      <c r="N302" s="112" t="n">
        <f aca="false">SUM(J$6:J302)</f>
        <v>-1533882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0.186</v>
      </c>
      <c r="W302" s="114" t="n">
        <f aca="false">N302/$R$3</f>
        <v>-1533.882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Data'!$A$2:$B$8,MATCH(WEEKDAY('ARG Gas Transport'!A303,3),'Master Data'!$A$2:$A$8,0),2)</f>
        <v>Th</v>
      </c>
      <c r="D303" s="112"/>
      <c r="E303" s="112"/>
      <c r="F303" s="112"/>
      <c r="G303" s="112"/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SUM(J$188:J303)</f>
        <v>186</v>
      </c>
      <c r="N303" s="112" t="n">
        <f aca="false">SUM(J$6:J303)</f>
        <v>-1533882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0.186</v>
      </c>
      <c r="W303" s="114" t="n">
        <f aca="false">N303/$R$3</f>
        <v>-1533.882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Data'!$A$2:$B$8,MATCH(WEEKDAY('ARG Gas Transport'!A304,3),'Master Data'!$A$2:$A$8,0),2)</f>
        <v>F</v>
      </c>
      <c r="D304" s="112"/>
      <c r="E304" s="112"/>
      <c r="F304" s="112"/>
      <c r="G304" s="112"/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SUM(J$188:J304)</f>
        <v>186</v>
      </c>
      <c r="N304" s="112" t="n">
        <f aca="false">SUM(J$6:J304)</f>
        <v>-1533882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0.186</v>
      </c>
      <c r="W304" s="114" t="n">
        <f aca="false">N304/$R$3</f>
        <v>-1533.882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Data'!$A$2:$B$8,MATCH(WEEKDAY('ARG Gas Transport'!A305,3),'Master Data'!$A$2:$A$8,0),2)</f>
        <v>Sa</v>
      </c>
      <c r="D305" s="112"/>
      <c r="E305" s="112"/>
      <c r="F305" s="112"/>
      <c r="G305" s="112"/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SUM(J$188:J305)</f>
        <v>186</v>
      </c>
      <c r="N305" s="112" t="n">
        <f aca="false">SUM(J$6:J305)</f>
        <v>-1533882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0.186</v>
      </c>
      <c r="W305" s="114" t="n">
        <f aca="false">N305/$R$3</f>
        <v>-1533.882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Data'!$A$2:$B$8,MATCH(WEEKDAY('ARG Gas Transport'!A306,3),'Master Data'!$A$2:$A$8,0),2)</f>
        <v>Su</v>
      </c>
      <c r="D306" s="112"/>
      <c r="E306" s="112"/>
      <c r="F306" s="112"/>
      <c r="G306" s="112"/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SUM(J$188:J306)</f>
        <v>186</v>
      </c>
      <c r="N306" s="112" t="n">
        <f aca="false">SUM(J$6:J306)</f>
        <v>-1533882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0.186</v>
      </c>
      <c r="W306" s="114" t="n">
        <f aca="false">N306/$R$3</f>
        <v>-1533.882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Data'!$A$2:$B$8,MATCH(WEEKDAY('ARG Gas Transport'!A307,3),'Master Data'!$A$2:$A$8,0),2)</f>
        <v>M</v>
      </c>
      <c r="D307" s="112"/>
      <c r="E307" s="112"/>
      <c r="F307" s="112"/>
      <c r="G307" s="112"/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SUM(J$188:J307)</f>
        <v>186</v>
      </c>
      <c r="N307" s="112" t="n">
        <f aca="false">SUM(J$6:J307)</f>
        <v>-1533882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0.186</v>
      </c>
      <c r="W307" s="114" t="n">
        <f aca="false">N307/$R$3</f>
        <v>-1533.882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Data'!$A$2:$B$8,MATCH(WEEKDAY('ARG Gas Transport'!A308,3),'Master Data'!$A$2:$A$8,0),2)</f>
        <v>T</v>
      </c>
      <c r="D308" s="112"/>
      <c r="E308" s="112"/>
      <c r="F308" s="112"/>
      <c r="G308" s="112"/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SUM(J$188:J308)</f>
        <v>186</v>
      </c>
      <c r="N308" s="112" t="n">
        <f aca="false">SUM(J$6:J308)</f>
        <v>-1533882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0.186</v>
      </c>
      <c r="W308" s="114" t="n">
        <f aca="false">N308/$R$3</f>
        <v>-1533.882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Data'!$A$2:$B$8,MATCH(WEEKDAY('ARG Gas Transport'!A309,3),'Master Data'!$A$2:$A$8,0),2)</f>
        <v>W</v>
      </c>
      <c r="D309" s="112"/>
      <c r="E309" s="112"/>
      <c r="F309" s="112"/>
      <c r="G309" s="112"/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SUM(J$188:J309)</f>
        <v>186</v>
      </c>
      <c r="N309" s="112" t="n">
        <f aca="false">SUM(J$6:J309)</f>
        <v>-1533882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0.186</v>
      </c>
      <c r="W309" s="114" t="n">
        <f aca="false">N309/$R$3</f>
        <v>-1533.882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Data'!$A$2:$B$8,MATCH(WEEKDAY('ARG Gas Transport'!A310,3),'Master Data'!$A$2:$A$8,0),2)</f>
        <v>Th</v>
      </c>
      <c r="D310" s="112"/>
      <c r="E310" s="112"/>
      <c r="F310" s="112"/>
      <c r="G310" s="112"/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SUM(J$188:J310)</f>
        <v>186</v>
      </c>
      <c r="N310" s="112" t="n">
        <f aca="false">SUM(J$6:J310)</f>
        <v>-1533882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0.186</v>
      </c>
      <c r="W310" s="114" t="n">
        <f aca="false">N310/$R$3</f>
        <v>-1533.882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Data'!$A$2:$B$8,MATCH(WEEKDAY('ARG Gas Transport'!A311,3),'Master Data'!$A$2:$A$8,0),2)</f>
        <v>F</v>
      </c>
      <c r="D311" s="112"/>
      <c r="E311" s="112"/>
      <c r="F311" s="112"/>
      <c r="G311" s="112"/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SUM(J$188:J311)</f>
        <v>186</v>
      </c>
      <c r="N311" s="112" t="n">
        <f aca="false">SUM(J$6:J311)</f>
        <v>-1533882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0.186</v>
      </c>
      <c r="W311" s="114" t="n">
        <f aca="false">N311/$R$3</f>
        <v>-1533.882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Data'!$A$2:$B$8,MATCH(WEEKDAY('ARG Gas Transport'!A312,3),'Master Data'!$A$2:$A$8,0),2)</f>
        <v>Sa</v>
      </c>
      <c r="D312" s="112"/>
      <c r="E312" s="112"/>
      <c r="F312" s="112"/>
      <c r="G312" s="112"/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SUM(J$188:J312)</f>
        <v>186</v>
      </c>
      <c r="N312" s="112" t="n">
        <f aca="false">SUM(J$6:J312)</f>
        <v>-1533882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0.186</v>
      </c>
      <c r="W312" s="114" t="n">
        <f aca="false">N312/$R$3</f>
        <v>-1533.882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Data'!$A$2:$B$8,MATCH(WEEKDAY('ARG Gas Transport'!A313,3),'Master Data'!$A$2:$A$8,0),2)</f>
        <v>Su</v>
      </c>
      <c r="D313" s="112"/>
      <c r="E313" s="112"/>
      <c r="F313" s="112"/>
      <c r="G313" s="112"/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SUM(J$188:J313)</f>
        <v>186</v>
      </c>
      <c r="N313" s="112" t="n">
        <f aca="false">SUM(J$6:J313)</f>
        <v>-1533882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0.186</v>
      </c>
      <c r="W313" s="114" t="n">
        <f aca="false">N313/$R$3</f>
        <v>-1533.882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Data'!$A$2:$B$8,MATCH(WEEKDAY('ARG Gas Transport'!A314,3),'Master Data'!$A$2:$A$8,0),2)</f>
        <v>M</v>
      </c>
      <c r="D314" s="112"/>
      <c r="E314" s="112"/>
      <c r="F314" s="112"/>
      <c r="G314" s="112"/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SUM(J$188:J314)</f>
        <v>186</v>
      </c>
      <c r="N314" s="112" t="n">
        <f aca="false">SUM(J$6:J314)</f>
        <v>-1533882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0.186</v>
      </c>
      <c r="W314" s="114" t="n">
        <f aca="false">N314/$R$3</f>
        <v>-1533.882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Data'!$A$2:$B$8,MATCH(WEEKDAY('ARG Gas Transport'!A315,3),'Master Data'!$A$2:$A$8,0),2)</f>
        <v>T</v>
      </c>
      <c r="D315" s="112"/>
      <c r="E315" s="112"/>
      <c r="F315" s="112"/>
      <c r="G315" s="112"/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SUM(J$188:J315)</f>
        <v>186</v>
      </c>
      <c r="N315" s="112" t="n">
        <f aca="false">SUM(J$6:J315)</f>
        <v>-1533882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0.186</v>
      </c>
      <c r="W315" s="114" t="n">
        <f aca="false">N315/$R$3</f>
        <v>-1533.882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Data'!$A$2:$B$8,MATCH(WEEKDAY('ARG Gas Transport'!A316,3),'Master Data'!$A$2:$A$8,0),2)</f>
        <v>W</v>
      </c>
      <c r="D316" s="112"/>
      <c r="E316" s="112"/>
      <c r="F316" s="112"/>
      <c r="G316" s="112"/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SUM(J$188:J316)</f>
        <v>186</v>
      </c>
      <c r="N316" s="112" t="n">
        <f aca="false">SUM(J$6:J316)</f>
        <v>-1533882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0.186</v>
      </c>
      <c r="W316" s="114" t="n">
        <f aca="false">N316/$R$3</f>
        <v>-1533.882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Data'!$A$2:$B$8,MATCH(WEEKDAY('ARG Gas Transport'!A317,3),'Master Data'!$A$2:$A$8,0),2)</f>
        <v>Th</v>
      </c>
      <c r="D317" s="112"/>
      <c r="E317" s="112"/>
      <c r="F317" s="112"/>
      <c r="G317" s="112"/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SUM(J$188:J317)</f>
        <v>186</v>
      </c>
      <c r="N317" s="112" t="n">
        <f aca="false">SUM(J$6:J317)</f>
        <v>-1533882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0.186</v>
      </c>
      <c r="W317" s="114" t="n">
        <f aca="false">N317/$R$3</f>
        <v>-1533.882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Data'!$A$2:$B$8,MATCH(WEEKDAY('ARG Gas Transport'!A318,3),'Master Data'!$A$2:$A$8,0),2)</f>
        <v>F</v>
      </c>
      <c r="D318" s="112"/>
      <c r="E318" s="112"/>
      <c r="F318" s="112"/>
      <c r="G318" s="112"/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SUM(J$188:J318)</f>
        <v>186</v>
      </c>
      <c r="N318" s="112" t="n">
        <f aca="false">SUM(J$6:J318)</f>
        <v>-1533882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0.186</v>
      </c>
      <c r="W318" s="114" t="n">
        <f aca="false">N318/$R$3</f>
        <v>-1533.882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Data'!$A$2:$B$8,MATCH(WEEKDAY('ARG Gas Transport'!A319,3),'Master Data'!$A$2:$A$8,0),2)</f>
        <v>Sa</v>
      </c>
      <c r="D319" s="112"/>
      <c r="E319" s="112"/>
      <c r="F319" s="112"/>
      <c r="G319" s="112"/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SUM(J$188:J319)</f>
        <v>186</v>
      </c>
      <c r="N319" s="112" t="n">
        <f aca="false">SUM(J$6:J319)</f>
        <v>-1533882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0.186</v>
      </c>
      <c r="W319" s="114" t="n">
        <f aca="false">N319/$R$3</f>
        <v>-1533.882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Data'!$A$2:$B$8,MATCH(WEEKDAY('ARG Gas Transport'!A320,3),'Master Data'!$A$2:$A$8,0),2)</f>
        <v>Su</v>
      </c>
      <c r="D320" s="112"/>
      <c r="E320" s="112"/>
      <c r="F320" s="112"/>
      <c r="G320" s="112"/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SUM(J$188:J320)</f>
        <v>186</v>
      </c>
      <c r="N320" s="112" t="n">
        <f aca="false">SUM(J$6:J320)</f>
        <v>-1533882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0.186</v>
      </c>
      <c r="W320" s="114" t="n">
        <f aca="false">N320/$R$3</f>
        <v>-1533.882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Data'!$A$2:$B$8,MATCH(WEEKDAY('ARG Gas Transport'!A321,3),'Master Data'!$A$2:$A$8,0),2)</f>
        <v>M</v>
      </c>
      <c r="D321" s="112"/>
      <c r="E321" s="112"/>
      <c r="F321" s="112"/>
      <c r="G321" s="112"/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SUM(J$188:J321)</f>
        <v>186</v>
      </c>
      <c r="N321" s="112" t="n">
        <f aca="false">SUM(J$6:J321)</f>
        <v>-1533882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0.186</v>
      </c>
      <c r="W321" s="114" t="n">
        <f aca="false">N321/$R$3</f>
        <v>-1533.882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Data'!$A$2:$B$8,MATCH(WEEKDAY('ARG Gas Transport'!A322,3),'Master Data'!$A$2:$A$8,0),2)</f>
        <v>T</v>
      </c>
      <c r="D322" s="112"/>
      <c r="E322" s="112"/>
      <c r="F322" s="112"/>
      <c r="G322" s="112"/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SUM(J$188:J322)</f>
        <v>186</v>
      </c>
      <c r="N322" s="112" t="n">
        <f aca="false">SUM(J$6:J322)</f>
        <v>-1533882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0.186</v>
      </c>
      <c r="W322" s="114" t="n">
        <f aca="false">N322/$R$3</f>
        <v>-1533.882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Data'!$A$2:$B$8,MATCH(WEEKDAY('ARG Gas Transport'!A323,3),'Master Data'!$A$2:$A$8,0),2)</f>
        <v>W</v>
      </c>
      <c r="D323" s="112"/>
      <c r="E323" s="112"/>
      <c r="F323" s="112"/>
      <c r="G323" s="112"/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SUM(J$188:J323)</f>
        <v>186</v>
      </c>
      <c r="N323" s="112" t="n">
        <f aca="false">SUM(J$6:J323)</f>
        <v>-1533882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0.186</v>
      </c>
      <c r="W323" s="114" t="n">
        <f aca="false">N323/$R$3</f>
        <v>-1533.882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Data'!$A$2:$B$8,MATCH(WEEKDAY('ARG Gas Transport'!A324,3),'Master Data'!$A$2:$A$8,0),2)</f>
        <v>Th</v>
      </c>
      <c r="D324" s="112"/>
      <c r="E324" s="112"/>
      <c r="F324" s="112"/>
      <c r="G324" s="112"/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SUM(J$188:J324)</f>
        <v>186</v>
      </c>
      <c r="N324" s="112" t="n">
        <f aca="false">SUM(J$6:J324)</f>
        <v>-1533882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0.186</v>
      </c>
      <c r="W324" s="114" t="n">
        <f aca="false">N324/$R$3</f>
        <v>-1533.882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Data'!$A$2:$B$8,MATCH(WEEKDAY('ARG Gas Transport'!A325,3),'Master Data'!$A$2:$A$8,0),2)</f>
        <v>F</v>
      </c>
      <c r="D325" s="112"/>
      <c r="E325" s="112"/>
      <c r="F325" s="112"/>
      <c r="G325" s="112"/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SUM(J$188:J325)</f>
        <v>186</v>
      </c>
      <c r="N325" s="112" t="n">
        <f aca="false">SUM(J$6:J325)</f>
        <v>-1533882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0.186</v>
      </c>
      <c r="W325" s="114" t="n">
        <f aca="false">N325/$R$3</f>
        <v>-1533.882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Data'!$A$2:$B$8,MATCH(WEEKDAY('ARG Gas Transport'!A326,3),'Master Data'!$A$2:$A$8,0),2)</f>
        <v>Sa</v>
      </c>
      <c r="D326" s="112"/>
      <c r="E326" s="112"/>
      <c r="F326" s="112"/>
      <c r="G326" s="112"/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SUM(J$188:J326)</f>
        <v>186</v>
      </c>
      <c r="N326" s="112" t="n">
        <f aca="false">SUM(J$6:J326)</f>
        <v>-1533882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0.186</v>
      </c>
      <c r="W326" s="114" t="n">
        <f aca="false">N326/$R$3</f>
        <v>-1533.882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Data'!$A$2:$B$8,MATCH(WEEKDAY('ARG Gas Transport'!A327,3),'Master Data'!$A$2:$A$8,0),2)</f>
        <v>Su</v>
      </c>
      <c r="D327" s="112"/>
      <c r="E327" s="112"/>
      <c r="F327" s="112"/>
      <c r="G327" s="112"/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SUM(J$188:J327)</f>
        <v>186</v>
      </c>
      <c r="N327" s="112" t="n">
        <f aca="false">SUM(J$6:J327)</f>
        <v>-1533882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0.186</v>
      </c>
      <c r="W327" s="114" t="n">
        <f aca="false">N327/$R$3</f>
        <v>-1533.882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Data'!$A$2:$B$8,MATCH(WEEKDAY('ARG Gas Transport'!A328,3),'Master Data'!$A$2:$A$8,0),2)</f>
        <v>M</v>
      </c>
      <c r="D328" s="112"/>
      <c r="E328" s="112"/>
      <c r="F328" s="112"/>
      <c r="G328" s="112"/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SUM(J$188:J328)</f>
        <v>186</v>
      </c>
      <c r="N328" s="112" t="n">
        <f aca="false">SUM(J$6:J328)</f>
        <v>-1533882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0.186</v>
      </c>
      <c r="W328" s="114" t="n">
        <f aca="false">N328/$R$3</f>
        <v>-1533.882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Data'!$A$2:$B$8,MATCH(WEEKDAY('ARG Gas Transport'!A329,3),'Master Data'!$A$2:$A$8,0),2)</f>
        <v>T</v>
      </c>
      <c r="D329" s="112"/>
      <c r="E329" s="112"/>
      <c r="F329" s="112"/>
      <c r="G329" s="112"/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SUM(J$188:J329)</f>
        <v>186</v>
      </c>
      <c r="N329" s="112" t="n">
        <f aca="false">SUM(J$6:J329)</f>
        <v>-1533882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0.186</v>
      </c>
      <c r="W329" s="114" t="n">
        <f aca="false">N329/$R$3</f>
        <v>-1533.882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Data'!$A$2:$B$8,MATCH(WEEKDAY('ARG Gas Transport'!A330,3),'Master Data'!$A$2:$A$8,0),2)</f>
        <v>W</v>
      </c>
      <c r="D330" s="112"/>
      <c r="E330" s="112"/>
      <c r="F330" s="112"/>
      <c r="G330" s="112"/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SUM(J$188:J330)</f>
        <v>186</v>
      </c>
      <c r="N330" s="112" t="n">
        <f aca="false">SUM(J$6:J330)</f>
        <v>-1533882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0.186</v>
      </c>
      <c r="W330" s="114" t="n">
        <f aca="false">N330/$R$3</f>
        <v>-1533.882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Data'!$A$2:$B$8,MATCH(WEEKDAY('ARG Gas Transport'!A331,3),'Master Data'!$A$2:$A$8,0),2)</f>
        <v>Th</v>
      </c>
      <c r="D331" s="112"/>
      <c r="E331" s="112"/>
      <c r="F331" s="112"/>
      <c r="G331" s="112"/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SUM(J$188:J331)</f>
        <v>186</v>
      </c>
      <c r="N331" s="112" t="n">
        <f aca="false">SUM(J$6:J331)</f>
        <v>-1533882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0.186</v>
      </c>
      <c r="W331" s="114" t="n">
        <f aca="false">N331/$R$3</f>
        <v>-1533.882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Data'!$A$2:$B$8,MATCH(WEEKDAY('ARG Gas Transport'!A332,3),'Master Data'!$A$2:$A$8,0),2)</f>
        <v>F</v>
      </c>
      <c r="D332" s="112"/>
      <c r="E332" s="112"/>
      <c r="F332" s="112"/>
      <c r="G332" s="112"/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SUM(J$188:J332)</f>
        <v>186</v>
      </c>
      <c r="N332" s="112" t="n">
        <f aca="false">SUM(J$6:J332)</f>
        <v>-1533882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0.186</v>
      </c>
      <c r="W332" s="114" t="n">
        <f aca="false">N332/$R$3</f>
        <v>-1533.882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Data'!$A$2:$B$8,MATCH(WEEKDAY('ARG Gas Transport'!A333,3),'Master Data'!$A$2:$A$8,0),2)</f>
        <v>Sa</v>
      </c>
      <c r="D333" s="112"/>
      <c r="E333" s="112"/>
      <c r="F333" s="112"/>
      <c r="G333" s="112"/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SUM(J$188:J333)</f>
        <v>186</v>
      </c>
      <c r="N333" s="112" t="n">
        <f aca="false">SUM(J$6:J333)</f>
        <v>-1533882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0.186</v>
      </c>
      <c r="W333" s="114" t="n">
        <f aca="false">N333/$R$3</f>
        <v>-1533.882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Data'!$A$2:$B$8,MATCH(WEEKDAY('ARG Gas Transport'!A334,3),'Master Data'!$A$2:$A$8,0),2)</f>
        <v>Su</v>
      </c>
      <c r="D334" s="112"/>
      <c r="E334" s="112"/>
      <c r="F334" s="112"/>
      <c r="G334" s="112"/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SUM(J$188:J334)</f>
        <v>186</v>
      </c>
      <c r="N334" s="112" t="n">
        <f aca="false">SUM(J$6:J334)</f>
        <v>-1533882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0.186</v>
      </c>
      <c r="W334" s="114" t="n">
        <f aca="false">N334/$R$3</f>
        <v>-1533.882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Data'!$A$2:$B$8,MATCH(WEEKDAY('ARG Gas Transport'!A335,3),'Master Data'!$A$2:$A$8,0),2)</f>
        <v>M</v>
      </c>
      <c r="D335" s="112"/>
      <c r="E335" s="112"/>
      <c r="F335" s="112"/>
      <c r="G335" s="112"/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SUM(J$188:J335)</f>
        <v>186</v>
      </c>
      <c r="N335" s="112" t="n">
        <f aca="false">SUM(J$6:J335)</f>
        <v>-1533882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0.186</v>
      </c>
      <c r="W335" s="114" t="n">
        <f aca="false">N335/$R$3</f>
        <v>-1533.882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Data'!$A$2:$B$8,MATCH(WEEKDAY('ARG Gas Transport'!A336,3),'Master Data'!$A$2:$A$8,0),2)</f>
        <v>T</v>
      </c>
      <c r="D336" s="112"/>
      <c r="E336" s="112"/>
      <c r="F336" s="112"/>
      <c r="G336" s="112"/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SUM(J$188:J336)</f>
        <v>186</v>
      </c>
      <c r="N336" s="112" t="n">
        <f aca="false">SUM(J$6:J336)</f>
        <v>-1533882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0.186</v>
      </c>
      <c r="W336" s="114" t="n">
        <f aca="false">N336/$R$3</f>
        <v>-1533.882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Data'!$A$2:$B$8,MATCH(WEEKDAY('ARG Gas Transport'!A337,3),'Master Data'!$A$2:$A$8,0),2)</f>
        <v>W</v>
      </c>
      <c r="D337" s="112"/>
      <c r="E337" s="112"/>
      <c r="F337" s="112"/>
      <c r="G337" s="112"/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SUM(J$188:J337)</f>
        <v>186</v>
      </c>
      <c r="N337" s="112" t="n">
        <f aca="false">SUM(J$6:J337)</f>
        <v>-1533882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0.186</v>
      </c>
      <c r="W337" s="114" t="n">
        <f aca="false">N337/$R$3</f>
        <v>-1533.882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Data'!$A$2:$B$8,MATCH(WEEKDAY('ARG Gas Transport'!A338,3),'Master Data'!$A$2:$A$8,0),2)</f>
        <v>Th</v>
      </c>
      <c r="D338" s="112"/>
      <c r="E338" s="112"/>
      <c r="F338" s="112"/>
      <c r="G338" s="112"/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SUM(J$188:J338)</f>
        <v>186</v>
      </c>
      <c r="N338" s="112" t="n">
        <f aca="false">SUM(J$6:J338)</f>
        <v>-1533882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0.186</v>
      </c>
      <c r="W338" s="114" t="n">
        <f aca="false">N338/$R$3</f>
        <v>-1533.882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Data'!$A$2:$B$8,MATCH(WEEKDAY('ARG Gas Transport'!A339,3),'Master Data'!$A$2:$A$8,0),2)</f>
        <v>F</v>
      </c>
      <c r="D339" s="112"/>
      <c r="E339" s="112"/>
      <c r="F339" s="112"/>
      <c r="G339" s="112"/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SUM(J$188:J339)</f>
        <v>186</v>
      </c>
      <c r="N339" s="112" t="n">
        <f aca="false">SUM(J$6:J339)</f>
        <v>-1533882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0.186</v>
      </c>
      <c r="W339" s="114" t="n">
        <f aca="false">N339/$R$3</f>
        <v>-1533.882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Data'!$A$2:$B$8,MATCH(WEEKDAY('ARG Gas Transport'!A340,3),'Master Data'!$A$2:$A$8,0),2)</f>
        <v>Sa</v>
      </c>
      <c r="D340" s="112"/>
      <c r="E340" s="112"/>
      <c r="F340" s="112"/>
      <c r="G340" s="112"/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SUM(J$188:J340)</f>
        <v>186</v>
      </c>
      <c r="N340" s="112" t="n">
        <f aca="false">SUM(J$6:J340)</f>
        <v>-1533882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0.186</v>
      </c>
      <c r="W340" s="114" t="n">
        <f aca="false">N340/$R$3</f>
        <v>-1533.882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Data'!$A$2:$B$8,MATCH(WEEKDAY('ARG Gas Transport'!A341,3),'Master Data'!$A$2:$A$8,0),2)</f>
        <v>Su</v>
      </c>
      <c r="D341" s="112"/>
      <c r="E341" s="112"/>
      <c r="F341" s="112"/>
      <c r="G341" s="112"/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SUM(J$188:J341)</f>
        <v>186</v>
      </c>
      <c r="N341" s="112" t="n">
        <f aca="false">SUM(J$6:J341)</f>
        <v>-1533882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0.186</v>
      </c>
      <c r="W341" s="114" t="n">
        <f aca="false">N341/$R$3</f>
        <v>-1533.882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Data'!$A$2:$B$8,MATCH(WEEKDAY('ARG Gas Transport'!A342,3),'Master Data'!$A$2:$A$8,0),2)</f>
        <v>M</v>
      </c>
      <c r="D342" s="112"/>
      <c r="E342" s="112"/>
      <c r="F342" s="112"/>
      <c r="G342" s="112"/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SUM(J$188:J342)</f>
        <v>186</v>
      </c>
      <c r="N342" s="112" t="n">
        <f aca="false">SUM(J$6:J342)</f>
        <v>-1533882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0.186</v>
      </c>
      <c r="W342" s="114" t="n">
        <f aca="false">N342/$R$3</f>
        <v>-1533.882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Data'!$A$2:$B$8,MATCH(WEEKDAY('ARG Gas Transport'!A343,3),'Master Data'!$A$2:$A$8,0),2)</f>
        <v>T</v>
      </c>
      <c r="D343" s="112"/>
      <c r="E343" s="112"/>
      <c r="F343" s="112"/>
      <c r="G343" s="112"/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SUM(J$188:J343)</f>
        <v>186</v>
      </c>
      <c r="N343" s="112" t="n">
        <f aca="false">SUM(J$6:J343)</f>
        <v>-1533882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0.186</v>
      </c>
      <c r="W343" s="114" t="n">
        <f aca="false">N343/$R$3</f>
        <v>-1533.882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Data'!$A$2:$B$8,MATCH(WEEKDAY('ARG Gas Transport'!A344,3),'Master Data'!$A$2:$A$8,0),2)</f>
        <v>W</v>
      </c>
      <c r="D344" s="112"/>
      <c r="E344" s="112"/>
      <c r="F344" s="112"/>
      <c r="G344" s="112"/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SUM(J$188:J344)</f>
        <v>186</v>
      </c>
      <c r="N344" s="112" t="n">
        <f aca="false">SUM(J$6:J344)</f>
        <v>-1533882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0.186</v>
      </c>
      <c r="W344" s="114" t="n">
        <f aca="false">N344/$R$3</f>
        <v>-1533.882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Data'!$A$2:$B$8,MATCH(WEEKDAY('ARG Gas Transport'!A345,3),'Master Data'!$A$2:$A$8,0),2)</f>
        <v>Th</v>
      </c>
      <c r="D345" s="112"/>
      <c r="E345" s="112"/>
      <c r="F345" s="112"/>
      <c r="G345" s="112"/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SUM(J$188:J345)</f>
        <v>186</v>
      </c>
      <c r="N345" s="112" t="n">
        <f aca="false">SUM(J$6:J345)</f>
        <v>-1533882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0.186</v>
      </c>
      <c r="W345" s="114" t="n">
        <f aca="false">N345/$R$3</f>
        <v>-1533.882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Data'!$A$2:$B$8,MATCH(WEEKDAY('ARG Gas Transport'!A346,3),'Master Data'!$A$2:$A$8,0),2)</f>
        <v>F</v>
      </c>
      <c r="D346" s="112"/>
      <c r="E346" s="112"/>
      <c r="F346" s="112"/>
      <c r="G346" s="112"/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SUM(J$188:J346)</f>
        <v>186</v>
      </c>
      <c r="N346" s="112" t="n">
        <f aca="false">SUM(J$6:J346)</f>
        <v>-1533882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0.186</v>
      </c>
      <c r="W346" s="114" t="n">
        <f aca="false">N346/$R$3</f>
        <v>-1533.882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Data'!$A$2:$B$8,MATCH(WEEKDAY('ARG Gas Transport'!A347,3),'Master Data'!$A$2:$A$8,0),2)</f>
        <v>Sa</v>
      </c>
      <c r="D347" s="112"/>
      <c r="E347" s="112"/>
      <c r="F347" s="112"/>
      <c r="G347" s="112"/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SUM(J$188:J347)</f>
        <v>186</v>
      </c>
      <c r="N347" s="112" t="n">
        <f aca="false">SUM(J$6:J347)</f>
        <v>-1533882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0.186</v>
      </c>
      <c r="W347" s="114" t="n">
        <f aca="false">N347/$R$3</f>
        <v>-1533.882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Data'!$A$2:$B$8,MATCH(WEEKDAY('ARG Gas Transport'!A348,3),'Master Data'!$A$2:$A$8,0),2)</f>
        <v>Su</v>
      </c>
      <c r="D348" s="112"/>
      <c r="E348" s="112"/>
      <c r="F348" s="112"/>
      <c r="G348" s="112"/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SUM(J$188:J348)</f>
        <v>186</v>
      </c>
      <c r="N348" s="112" t="n">
        <f aca="false">SUM(J$6:J348)</f>
        <v>-1533882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0.186</v>
      </c>
      <c r="W348" s="114" t="n">
        <f aca="false">N348/$R$3</f>
        <v>-1533.882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Data'!$A$2:$B$8,MATCH(WEEKDAY('ARG Gas Transport'!A349,3),'Master Data'!$A$2:$A$8,0),2)</f>
        <v>M</v>
      </c>
      <c r="D349" s="112"/>
      <c r="E349" s="112"/>
      <c r="F349" s="112"/>
      <c r="G349" s="112"/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SUM(J$188:J349)</f>
        <v>186</v>
      </c>
      <c r="N349" s="112" t="n">
        <f aca="false">SUM(J$6:J349)</f>
        <v>-1533882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0.186</v>
      </c>
      <c r="W349" s="114" t="n">
        <f aca="false">N349/$R$3</f>
        <v>-1533.882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Data'!$A$2:$B$8,MATCH(WEEKDAY('ARG Gas Transport'!A350,3),'Master Data'!$A$2:$A$8,0),2)</f>
        <v>T</v>
      </c>
      <c r="D350" s="112"/>
      <c r="E350" s="112"/>
      <c r="F350" s="112"/>
      <c r="G350" s="112"/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SUM(J$188:J350)</f>
        <v>186</v>
      </c>
      <c r="N350" s="112" t="n">
        <f aca="false">SUM(J$6:J350)</f>
        <v>-1533882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0.186</v>
      </c>
      <c r="W350" s="114" t="n">
        <f aca="false">N350/$R$3</f>
        <v>-1533.882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Data'!$A$2:$B$8,MATCH(WEEKDAY('ARG Gas Transport'!A351,3),'Master Data'!$A$2:$A$8,0),2)</f>
        <v>W</v>
      </c>
      <c r="D351" s="112"/>
      <c r="E351" s="112"/>
      <c r="F351" s="112"/>
      <c r="G351" s="112"/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SUM(J$188:J351)</f>
        <v>186</v>
      </c>
      <c r="N351" s="112" t="n">
        <f aca="false">SUM(J$6:J351)</f>
        <v>-1533882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0.186</v>
      </c>
      <c r="W351" s="114" t="n">
        <f aca="false">N351/$R$3</f>
        <v>-1533.882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Data'!$A$2:$B$8,MATCH(WEEKDAY('ARG Gas Transport'!A352,3),'Master Data'!$A$2:$A$8,0),2)</f>
        <v>Th</v>
      </c>
      <c r="D352" s="112"/>
      <c r="E352" s="112"/>
      <c r="F352" s="112"/>
      <c r="G352" s="112"/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SUM(J$188:J352)</f>
        <v>186</v>
      </c>
      <c r="N352" s="112" t="n">
        <f aca="false">SUM(J$6:J352)</f>
        <v>-1533882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0.186</v>
      </c>
      <c r="W352" s="114" t="n">
        <f aca="false">N352/$R$3</f>
        <v>-1533.882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Data'!$A$2:$B$8,MATCH(WEEKDAY('ARG Gas Transport'!A353,3),'Master Data'!$A$2:$A$8,0),2)</f>
        <v>F</v>
      </c>
      <c r="D353" s="112"/>
      <c r="E353" s="112"/>
      <c r="F353" s="112"/>
      <c r="G353" s="112"/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SUM(J$188:J353)</f>
        <v>186</v>
      </c>
      <c r="N353" s="112" t="n">
        <f aca="false">SUM(J$6:J353)</f>
        <v>-1533882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0.186</v>
      </c>
      <c r="W353" s="114" t="n">
        <f aca="false">N353/$R$3</f>
        <v>-1533.882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Data'!$A$2:$B$8,MATCH(WEEKDAY('ARG Gas Transport'!A354,3),'Master Data'!$A$2:$A$8,0),2)</f>
        <v>Sa</v>
      </c>
      <c r="D354" s="112"/>
      <c r="E354" s="112"/>
      <c r="F354" s="112"/>
      <c r="G354" s="112"/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SUM(J$188:J354)</f>
        <v>186</v>
      </c>
      <c r="N354" s="112" t="n">
        <f aca="false">SUM(J$6:J354)</f>
        <v>-1533882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0.186</v>
      </c>
      <c r="W354" s="114" t="n">
        <f aca="false">N354/$R$3</f>
        <v>-1533.882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Data'!$A$2:$B$8,MATCH(WEEKDAY('ARG Gas Transport'!A355,3),'Master Data'!$A$2:$A$8,0),2)</f>
        <v>Su</v>
      </c>
      <c r="D355" s="112"/>
      <c r="E355" s="112"/>
      <c r="F355" s="112"/>
      <c r="G355" s="112"/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SUM(J$188:J355)</f>
        <v>186</v>
      </c>
      <c r="N355" s="112" t="n">
        <f aca="false">SUM(J$6:J355)</f>
        <v>-1533882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0.186</v>
      </c>
      <c r="W355" s="114" t="n">
        <f aca="false">N355/$R$3</f>
        <v>-1533.882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Data'!$A$2:$B$8,MATCH(WEEKDAY('ARG Gas Transport'!A356,3),'Master Data'!$A$2:$A$8,0),2)</f>
        <v>M</v>
      </c>
      <c r="D356" s="112"/>
      <c r="E356" s="112"/>
      <c r="F356" s="112"/>
      <c r="G356" s="112"/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SUM(J$188:J356)</f>
        <v>186</v>
      </c>
      <c r="N356" s="112" t="n">
        <f aca="false">SUM(J$6:J356)</f>
        <v>-1533882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0.186</v>
      </c>
      <c r="W356" s="114" t="n">
        <f aca="false">N356/$R$3</f>
        <v>-1533.882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Data'!$A$2:$B$8,MATCH(WEEKDAY('ARG Gas Transport'!A357,3),'Master Data'!$A$2:$A$8,0),2)</f>
        <v>T</v>
      </c>
      <c r="D357" s="112"/>
      <c r="E357" s="112"/>
      <c r="F357" s="112"/>
      <c r="G357" s="112"/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SUM(J$188:J357)</f>
        <v>186</v>
      </c>
      <c r="N357" s="112" t="n">
        <f aca="false">SUM(J$6:J357)</f>
        <v>-1533882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0.186</v>
      </c>
      <c r="W357" s="114" t="n">
        <f aca="false">N357/$R$3</f>
        <v>-1533.882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Data'!$A$2:$B$8,MATCH(WEEKDAY('ARG Gas Transport'!A358,3),'Master Data'!$A$2:$A$8,0),2)</f>
        <v>W</v>
      </c>
      <c r="D358" s="112"/>
      <c r="E358" s="112"/>
      <c r="F358" s="112"/>
      <c r="G358" s="112"/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SUM(J$188:J358)</f>
        <v>186</v>
      </c>
      <c r="N358" s="112" t="n">
        <f aca="false">SUM(J$6:J358)</f>
        <v>-1533882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0.186</v>
      </c>
      <c r="W358" s="114" t="n">
        <f aca="false">N358/$R$3</f>
        <v>-1533.882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Data'!$A$2:$B$8,MATCH(WEEKDAY('ARG Gas Transport'!A359,3),'Master Data'!$A$2:$A$8,0),2)</f>
        <v>Th</v>
      </c>
      <c r="D359" s="112"/>
      <c r="E359" s="112"/>
      <c r="F359" s="112"/>
      <c r="G359" s="112"/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SUM(J$188:J359)</f>
        <v>186</v>
      </c>
      <c r="N359" s="112" t="n">
        <f aca="false">SUM(J$6:J359)</f>
        <v>-1533882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0.186</v>
      </c>
      <c r="W359" s="114" t="n">
        <f aca="false">N359/$R$3</f>
        <v>-1533.882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Data'!$A$2:$B$8,MATCH(WEEKDAY('ARG Gas Transport'!A360,3),'Master Data'!$A$2:$A$8,0),2)</f>
        <v>F</v>
      </c>
      <c r="D360" s="112"/>
      <c r="E360" s="112"/>
      <c r="F360" s="112"/>
      <c r="G360" s="112"/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SUM(J$188:J360)</f>
        <v>186</v>
      </c>
      <c r="N360" s="112" t="n">
        <f aca="false">SUM(J$6:J360)</f>
        <v>-1533882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0.186</v>
      </c>
      <c r="W360" s="114" t="n">
        <f aca="false">N360/$R$3</f>
        <v>-1533.882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Data'!$A$2:$B$8,MATCH(WEEKDAY('ARG Gas Transport'!A361,3),'Master Data'!$A$2:$A$8,0),2)</f>
        <v>Sa</v>
      </c>
      <c r="D361" s="112"/>
      <c r="E361" s="112"/>
      <c r="F361" s="112"/>
      <c r="G361" s="112"/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SUM(J$188:J361)</f>
        <v>186</v>
      </c>
      <c r="N361" s="112" t="n">
        <f aca="false">SUM(J$6:J361)</f>
        <v>-1533882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0.186</v>
      </c>
      <c r="W361" s="114" t="n">
        <f aca="false">N361/$R$3</f>
        <v>-1533.882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Data'!$A$2:$B$8,MATCH(WEEKDAY('ARG Gas Transport'!A362,3),'Master Data'!$A$2:$A$8,0),2)</f>
        <v>Su</v>
      </c>
      <c r="D362" s="112"/>
      <c r="E362" s="112"/>
      <c r="F362" s="112"/>
      <c r="G362" s="112"/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SUM(J$188:J362)</f>
        <v>186</v>
      </c>
      <c r="N362" s="112" t="n">
        <f aca="false">SUM(J$6:J362)</f>
        <v>-1533882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0.186</v>
      </c>
      <c r="W362" s="114" t="n">
        <f aca="false">N362/$R$3</f>
        <v>-1533.882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Data'!$A$2:$B$8,MATCH(WEEKDAY('ARG Gas Transport'!A363,3),'Master Data'!$A$2:$A$8,0),2)</f>
        <v>M</v>
      </c>
      <c r="D363" s="112"/>
      <c r="E363" s="112"/>
      <c r="F363" s="112"/>
      <c r="G363" s="112"/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SUM(J$188:J363)</f>
        <v>186</v>
      </c>
      <c r="N363" s="112" t="n">
        <f aca="false">SUM(J$6:J363)</f>
        <v>-1533882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0.186</v>
      </c>
      <c r="W363" s="114" t="n">
        <f aca="false">N363/$R$3</f>
        <v>-1533.882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Data'!$A$2:$B$8,MATCH(WEEKDAY('ARG Gas Transport'!A364,3),'Master Data'!$A$2:$A$8,0),2)</f>
        <v>T</v>
      </c>
      <c r="D364" s="112"/>
      <c r="E364" s="112"/>
      <c r="F364" s="112"/>
      <c r="G364" s="112"/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SUM(J$188:J364)</f>
        <v>186</v>
      </c>
      <c r="N364" s="112" t="n">
        <f aca="false">SUM(J$6:J364)</f>
        <v>-1533882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0.186</v>
      </c>
      <c r="W364" s="114" t="n">
        <f aca="false">N364/$R$3</f>
        <v>-1533.882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Data'!$A$2:$B$8,MATCH(WEEKDAY('ARG Gas Transport'!A365,3),'Master Data'!$A$2:$A$8,0),2)</f>
        <v>W</v>
      </c>
      <c r="D365" s="112"/>
      <c r="E365" s="112"/>
      <c r="F365" s="112"/>
      <c r="G365" s="112"/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SUM(J$188:J365)</f>
        <v>186</v>
      </c>
      <c r="N365" s="112" t="n">
        <f aca="false">SUM(J$6:J365)</f>
        <v>-1533882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0.186</v>
      </c>
      <c r="W365" s="114" t="n">
        <f aca="false">N365/$R$3</f>
        <v>-1533.882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Data'!$A$2:$B$8,MATCH(WEEKDAY('ARG Gas Transport'!A366,3),'Master Data'!$A$2:$A$8,0),2)</f>
        <v>Th</v>
      </c>
      <c r="D366" s="112"/>
      <c r="E366" s="112"/>
      <c r="F366" s="112"/>
      <c r="G366" s="112"/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SUM(J$188:J366)</f>
        <v>186</v>
      </c>
      <c r="N366" s="112" t="n">
        <f aca="false">SUM(J$6:J366)</f>
        <v>-1533882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0.186</v>
      </c>
      <c r="W366" s="114" t="n">
        <f aca="false">N366/$R$3</f>
        <v>-1533.882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Data'!$A$2:$B$8,MATCH(WEEKDAY('ARG Gas Transport'!A367,3),'Master Data'!$A$2:$A$8,0),2)</f>
        <v>F</v>
      </c>
      <c r="D367" s="112"/>
      <c r="E367" s="112"/>
      <c r="F367" s="112"/>
      <c r="G367" s="112"/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SUM(J$188:J367)</f>
        <v>186</v>
      </c>
      <c r="N367" s="112" t="n">
        <f aca="false">SUM(J$6:J367)</f>
        <v>-1533882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0.186</v>
      </c>
      <c r="W367" s="114" t="n">
        <f aca="false">N367/$R$3</f>
        <v>-1533.882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Data'!$A$2:$B$8,MATCH(WEEKDAY('ARG Gas Transport'!A368,3),'Master Data'!$A$2:$A$8,0),2)</f>
        <v>Sa</v>
      </c>
      <c r="D368" s="112"/>
      <c r="E368" s="112"/>
      <c r="F368" s="112"/>
      <c r="G368" s="112"/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SUM(J$188:J368)</f>
        <v>186</v>
      </c>
      <c r="N368" s="112" t="n">
        <f aca="false">SUM(J$6:J368)</f>
        <v>-1533882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0.186</v>
      </c>
      <c r="W368" s="114" t="n">
        <f aca="false">N368/$R$3</f>
        <v>-1533.882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Data'!$A$2:$B$8,MATCH(WEEKDAY('ARG Gas Transport'!A369,3),'Master Data'!$A$2:$A$8,0),2)</f>
        <v>Su</v>
      </c>
      <c r="D369" s="112"/>
      <c r="E369" s="112"/>
      <c r="F369" s="112"/>
      <c r="G369" s="112"/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SUM(J$188:J369)</f>
        <v>186</v>
      </c>
      <c r="N369" s="112" t="n">
        <f aca="false">SUM(J$6:J369)</f>
        <v>-1533882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0.186</v>
      </c>
      <c r="W369" s="114" t="n">
        <f aca="false">N369/$R$3</f>
        <v>-1533.882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Data'!$A$2:$B$8,MATCH(WEEKDAY('ARG Gas Transport'!A370,3),'Master Data'!$A$2:$A$8,0),2)</f>
        <v>M</v>
      </c>
      <c r="D370" s="112"/>
      <c r="E370" s="112"/>
      <c r="F370" s="112"/>
      <c r="G370" s="112"/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SUM(J$188:J370)</f>
        <v>186</v>
      </c>
      <c r="N370" s="112" t="n">
        <f aca="false">SUM(J$6:J370)</f>
        <v>-1533882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0.186</v>
      </c>
      <c r="W370" s="114" t="n">
        <f aca="false">N370/$R$3</f>
        <v>-1533.882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Data'!$A$2:$B$8,MATCH(WEEKDAY('ARG Gas Transport'!A371,3),'Master Data'!$A$2:$A$8,0),2)</f>
        <v>T</v>
      </c>
      <c r="D371" s="112"/>
      <c r="E371" s="112"/>
      <c r="F371" s="112"/>
      <c r="G371" s="112"/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SUM(J$188:J371)</f>
        <v>186</v>
      </c>
      <c r="N371" s="112" t="n">
        <f aca="false">SUM(J$6:J371)</f>
        <v>-1533882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0.186</v>
      </c>
      <c r="W371" s="114" t="n">
        <f aca="false">N371/$R$3</f>
        <v>-1533.882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K3" s="116" t="n">
        <f aca="false">Summary!B8</f>
        <v>37081</v>
      </c>
      <c r="L3" s="117" t="n">
        <f aca="false">SUM(L6:L371)</f>
        <v>-8250</v>
      </c>
      <c r="P3" s="112" t="n">
        <v>1000000</v>
      </c>
      <c r="Q3" s="112"/>
      <c r="R3" s="112" t="n">
        <v>1000</v>
      </c>
      <c r="S3" s="109"/>
      <c r="T3" s="118" t="n">
        <f aca="false">SUM(T6:T371)</f>
        <v>-8.25</v>
      </c>
    </row>
    <row r="4" customFormat="false" ht="12.75" hidden="false" customHeight="false" outlineLevel="0" collapsed="false">
      <c r="D4" s="119" t="s">
        <v>80</v>
      </c>
      <c r="E4" s="119" t="s">
        <v>80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81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Data'!$A$2:$B$8,MATCH(WEEKDAY('ARG Gas IM'!A6,3),'Master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Data'!$A$2:$B$8,MATCH(WEEKDAY('ARG Gas IM'!A7,3),'Master Data'!$A$2:$A$8,0),2)</f>
        <v>T</v>
      </c>
      <c r="D7" s="112" t="n">
        <v>-7355.46919690142</v>
      </c>
      <c r="E7" s="112" t="n">
        <v>0</v>
      </c>
      <c r="F7" s="112" t="n">
        <v>0</v>
      </c>
      <c r="G7" s="112" t="n">
        <v>-262393</v>
      </c>
      <c r="I7" s="112" t="n">
        <f aca="false">IF(MONTH($A7)=MONTH($A6),IF(G7=0,I6,G7),0)</f>
        <v>-262393</v>
      </c>
      <c r="J7" s="112" t="n">
        <f aca="false">IF(MONTH($A7)=MONTH($A6),SUM(I7-I6),I7)</f>
        <v>-262393</v>
      </c>
      <c r="K7" s="112" t="n">
        <f aca="false">IF(WEEKDAY(A7,3)&gt;4,0,(IF(A7&lt;K$2,0,IF(A7&lt;=K$3,1,0))))</f>
        <v>0</v>
      </c>
      <c r="L7" s="112" t="n">
        <f aca="false">J7*K7</f>
        <v>-0</v>
      </c>
      <c r="M7" s="112" t="n">
        <f aca="false">SUM(J$6:J7)</f>
        <v>-262393</v>
      </c>
      <c r="N7" s="112" t="n">
        <f aca="false">SUM(J$6:J7)</f>
        <v>-262393</v>
      </c>
      <c r="P7" s="112" t="n">
        <f aca="false">D7/P$3</f>
        <v>-0.00735546919690142</v>
      </c>
      <c r="Q7" s="112" t="n">
        <f aca="false">E7/P$3</f>
        <v>0</v>
      </c>
      <c r="R7" s="112" t="n">
        <f aca="false">F7/R$3</f>
        <v>0</v>
      </c>
      <c r="S7" s="114" t="n">
        <f aca="false">J7/$R$3</f>
        <v>-262.393</v>
      </c>
      <c r="T7" s="114" t="n">
        <f aca="false">L7/$R$3</f>
        <v>-0</v>
      </c>
      <c r="U7" s="114" t="n">
        <f aca="false">I7/$R$3</f>
        <v>-262.393</v>
      </c>
      <c r="V7" s="114" t="n">
        <f aca="false">M7/$R$3</f>
        <v>-262.393</v>
      </c>
      <c r="W7" s="114" t="n">
        <f aca="false">N7/$R$3</f>
        <v>-262.393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Data'!$A$2:$B$8,MATCH(WEEKDAY('ARG Gas IM'!A8,3),'Master Data'!$A$2:$A$8,0),2)</f>
        <v>W</v>
      </c>
      <c r="D8" s="112" t="n">
        <f aca="false">-298959/27.0963</f>
        <v>-11033.2037953521</v>
      </c>
      <c r="E8" s="112" t="n">
        <v>0</v>
      </c>
      <c r="F8" s="112" t="n">
        <v>0</v>
      </c>
      <c r="G8" s="112" t="n">
        <v>-260546</v>
      </c>
      <c r="I8" s="112" t="n">
        <f aca="false">IF(MONTH($A8)=MONTH($A7),IF(G8=0,I7,G8),0)</f>
        <v>-260546</v>
      </c>
      <c r="J8" s="112" t="n">
        <f aca="false">IF(MONTH($A8)=MONTH($A7),SUM(I8-I7),I8)</f>
        <v>1847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-260546</v>
      </c>
      <c r="N8" s="112" t="n">
        <f aca="false">SUM(J$6:J8)</f>
        <v>-260546</v>
      </c>
      <c r="P8" s="112" t="n">
        <f aca="false">D8/P$3</f>
        <v>-0.0110332037953521</v>
      </c>
      <c r="Q8" s="112" t="n">
        <f aca="false">E8/P$3</f>
        <v>0</v>
      </c>
      <c r="R8" s="112" t="n">
        <f aca="false">F8/R$3</f>
        <v>0</v>
      </c>
      <c r="S8" s="114" t="n">
        <f aca="false">J8/$R$3</f>
        <v>1.847</v>
      </c>
      <c r="T8" s="114" t="n">
        <f aca="false">L8/$R$3</f>
        <v>0</v>
      </c>
      <c r="U8" s="114" t="n">
        <f aca="false">I8/$R$3</f>
        <v>-260.546</v>
      </c>
      <c r="V8" s="114" t="n">
        <f aca="false">M8/$R$3</f>
        <v>-260.546</v>
      </c>
      <c r="W8" s="114" t="n">
        <f aca="false">N8/$R$3</f>
        <v>-260.546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Data'!$A$2:$B$8,MATCH(WEEKDAY('ARG Gas IM'!A9,3),'Master Data'!$A$2:$A$8,0),2)</f>
        <v>Th</v>
      </c>
      <c r="D9" s="112" t="n">
        <f aca="false">53712/27.0963</f>
        <v>1982.26326103564</v>
      </c>
      <c r="E9" s="112" t="n">
        <v>0</v>
      </c>
      <c r="F9" s="112" t="n">
        <v>0</v>
      </c>
      <c r="G9" s="112" t="n">
        <v>-208776</v>
      </c>
      <c r="I9" s="112" t="n">
        <f aca="false">IF(MONTH($A9)=MONTH($A8),IF(G9=0,I8,G9),0)</f>
        <v>-208776</v>
      </c>
      <c r="J9" s="112" t="n">
        <f aca="false">IF(MONTH($A9)=MONTH($A8),SUM(I9-I8),I9)</f>
        <v>51770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-208776</v>
      </c>
      <c r="N9" s="112" t="n">
        <f aca="false">SUM(J$6:J9)</f>
        <v>-208776</v>
      </c>
      <c r="P9" s="112" t="n">
        <f aca="false">D9/P$3</f>
        <v>0.00198226326103564</v>
      </c>
      <c r="Q9" s="112" t="n">
        <f aca="false">E9/P$3</f>
        <v>0</v>
      </c>
      <c r="R9" s="112" t="n">
        <f aca="false">F9/R$3</f>
        <v>0</v>
      </c>
      <c r="S9" s="114" t="n">
        <f aca="false">J9/$R$3</f>
        <v>51.77</v>
      </c>
      <c r="T9" s="114" t="n">
        <f aca="false">L9/$R$3</f>
        <v>0</v>
      </c>
      <c r="U9" s="114" t="n">
        <f aca="false">I9/$R$3</f>
        <v>-208.776</v>
      </c>
      <c r="V9" s="114" t="n">
        <f aca="false">M9/$R$3</f>
        <v>-208.776</v>
      </c>
      <c r="W9" s="114" t="n">
        <f aca="false">N9/$R$3</f>
        <v>-208.776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Data'!$A$2:$B$8,MATCH(WEEKDAY('ARG Gas IM'!A10,3),'Master Data'!$A$2:$A$8,0),2)</f>
        <v>F</v>
      </c>
      <c r="D10" s="112" t="n">
        <v>0</v>
      </c>
      <c r="E10" s="112" t="n">
        <v>0</v>
      </c>
      <c r="F10" s="112" t="n">
        <v>0</v>
      </c>
      <c r="G10" s="112" t="n">
        <v>-190288</v>
      </c>
      <c r="I10" s="112" t="n">
        <f aca="false">IF(MONTH($A10)=MONTH($A9),IF(G10=0,I9,G10),0)</f>
        <v>-190288</v>
      </c>
      <c r="J10" s="112" t="n">
        <f aca="false">IF(MONTH($A10)=MONTH($A9),SUM(I10-I9),I10)</f>
        <v>18488</v>
      </c>
      <c r="K10" s="112" t="n">
        <f aca="false">IF(WEEKDAY(A10,3)&gt;4,0,(IF(A10&lt;K$2,0,IF(A10&lt;=K$3,1,0))))</f>
        <v>0</v>
      </c>
      <c r="L10" s="112" t="n">
        <f aca="false">J10*K10</f>
        <v>0</v>
      </c>
      <c r="M10" s="112" t="n">
        <f aca="false">SUM(J$6:J10)</f>
        <v>-190288</v>
      </c>
      <c r="N10" s="112" t="n">
        <f aca="false">SUM(J$6:J10)</f>
        <v>-190288</v>
      </c>
      <c r="P10" s="112" t="n">
        <f aca="false">D10/P$3</f>
        <v>0</v>
      </c>
      <c r="Q10" s="112" t="n">
        <f aca="false">E10/P$3</f>
        <v>0</v>
      </c>
      <c r="R10" s="112" t="n">
        <f aca="false">F10/R$3</f>
        <v>0</v>
      </c>
      <c r="S10" s="114" t="n">
        <f aca="false">J10/$R$3</f>
        <v>18.488</v>
      </c>
      <c r="T10" s="114" t="n">
        <f aca="false">L10/$R$3</f>
        <v>0</v>
      </c>
      <c r="U10" s="114" t="n">
        <f aca="false">I10/$R$3</f>
        <v>-190.288</v>
      </c>
      <c r="V10" s="114" t="n">
        <f aca="false">M10/$R$3</f>
        <v>-190.288</v>
      </c>
      <c r="W10" s="114" t="n">
        <f aca="false">N10/$R$3</f>
        <v>-190.288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Data'!$A$2:$B$8,MATCH(WEEKDAY('ARG Gas IM'!A11,3),'Master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-190288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-190288</v>
      </c>
      <c r="N11" s="112" t="n">
        <f aca="false">SUM(J$6:J11)</f>
        <v>-190288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-190.288</v>
      </c>
      <c r="V11" s="114" t="n">
        <f aca="false">M11/$R$3</f>
        <v>-190.288</v>
      </c>
      <c r="W11" s="114" t="n">
        <f aca="false">N11/$R$3</f>
        <v>-190.288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Data'!$A$2:$B$8,MATCH(WEEKDAY('ARG Gas IM'!A12,3),'Master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-190288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-190288</v>
      </c>
      <c r="N12" s="112" t="n">
        <f aca="false">SUM(J$6:J12)</f>
        <v>-190288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-190.288</v>
      </c>
      <c r="V12" s="114" t="n">
        <f aca="false">M12/$R$3</f>
        <v>-190.288</v>
      </c>
      <c r="W12" s="114" t="n">
        <f aca="false">N12/$R$3</f>
        <v>-190.288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Data'!$A$2:$B$8,MATCH(WEEKDAY('ARG Gas IM'!A13,3),'Master Data'!$A$2:$A$8,0),2)</f>
        <v>M</v>
      </c>
      <c r="D13" s="112" t="n">
        <v>0</v>
      </c>
      <c r="E13" s="112" t="n">
        <v>0</v>
      </c>
      <c r="F13" s="112" t="n">
        <v>0</v>
      </c>
      <c r="G13" s="112" t="n">
        <v>-195194</v>
      </c>
      <c r="I13" s="112" t="n">
        <f aca="false">IF(MONTH($A13)=MONTH($A12),IF(G13=0,I12,G13),0)</f>
        <v>-195194</v>
      </c>
      <c r="J13" s="112" t="n">
        <f aca="false">IF(MONTH($A13)=MONTH($A12),SUM(I13-I12),I13)</f>
        <v>-4906</v>
      </c>
      <c r="K13" s="112" t="n">
        <f aca="false">IF(WEEKDAY(A13,3)&gt;4,0,(IF(A13&lt;K$2,0,IF(A13&lt;=K$3,1,0))))</f>
        <v>0</v>
      </c>
      <c r="L13" s="112" t="n">
        <f aca="false">J13*K13</f>
        <v>-0</v>
      </c>
      <c r="M13" s="112" t="n">
        <f aca="false">SUM(J$6:J13)</f>
        <v>-195194</v>
      </c>
      <c r="N13" s="112" t="n">
        <f aca="false">SUM(J$6:J13)</f>
        <v>-195194</v>
      </c>
      <c r="P13" s="112" t="n">
        <f aca="false">D13/P$3</f>
        <v>0</v>
      </c>
      <c r="Q13" s="112" t="n">
        <f aca="false">E13/P$3</f>
        <v>0</v>
      </c>
      <c r="R13" s="112" t="n">
        <f aca="false">F13/R$3</f>
        <v>0</v>
      </c>
      <c r="S13" s="114" t="n">
        <f aca="false">J13/$R$3</f>
        <v>-4.906</v>
      </c>
      <c r="T13" s="114" t="n">
        <f aca="false">L13/$R$3</f>
        <v>-0</v>
      </c>
      <c r="U13" s="114" t="n">
        <f aca="false">I13/$R$3</f>
        <v>-195.194</v>
      </c>
      <c r="V13" s="114" t="n">
        <f aca="false">M13/$R$3</f>
        <v>-195.194</v>
      </c>
      <c r="W13" s="114" t="n">
        <f aca="false">N13/$R$3</f>
        <v>-195.194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Data'!$A$2:$B$8,MATCH(WEEKDAY('ARG Gas IM'!A14,3),'Master Data'!$A$2:$A$8,0),2)</f>
        <v>T</v>
      </c>
      <c r="D14" s="112" t="n">
        <v>0</v>
      </c>
      <c r="E14" s="112" t="n">
        <v>0</v>
      </c>
      <c r="F14" s="112" t="n">
        <v>0</v>
      </c>
      <c r="G14" s="112" t="n">
        <v>-196831</v>
      </c>
      <c r="I14" s="112" t="n">
        <f aca="false">IF(MONTH($A14)=MONTH($A13),IF(G14=0,I13,G14),0)</f>
        <v>-196831</v>
      </c>
      <c r="J14" s="112" t="n">
        <f aca="false">IF(MONTH($A14)=MONTH($A13),SUM(I14-I13),I14)</f>
        <v>-1637</v>
      </c>
      <c r="K14" s="112" t="n">
        <f aca="false">IF(WEEKDAY(A14,3)&gt;4,0,(IF(A14&lt;K$2,0,IF(A14&lt;=K$3,1,0))))</f>
        <v>0</v>
      </c>
      <c r="L14" s="112" t="n">
        <f aca="false">J14*K14</f>
        <v>-0</v>
      </c>
      <c r="M14" s="112" t="n">
        <f aca="false">SUM(J$6:J14)</f>
        <v>-196831</v>
      </c>
      <c r="N14" s="112" t="n">
        <f aca="false">SUM(J$6:J14)</f>
        <v>-196831</v>
      </c>
      <c r="P14" s="112" t="n">
        <f aca="false">D14/P$3</f>
        <v>0</v>
      </c>
      <c r="Q14" s="112" t="n">
        <f aca="false">E14/P$3</f>
        <v>0</v>
      </c>
      <c r="R14" s="112" t="n">
        <f aca="false">F14/R$3</f>
        <v>0</v>
      </c>
      <c r="S14" s="114" t="n">
        <f aca="false">J14/$R$3</f>
        <v>-1.637</v>
      </c>
      <c r="T14" s="114" t="n">
        <f aca="false">L14/$R$3</f>
        <v>-0</v>
      </c>
      <c r="U14" s="114" t="n">
        <f aca="false">I14/$R$3</f>
        <v>-196.831</v>
      </c>
      <c r="V14" s="114" t="n">
        <f aca="false">M14/$R$3</f>
        <v>-196.831</v>
      </c>
      <c r="W14" s="114" t="n">
        <f aca="false">N14/$R$3</f>
        <v>-196.831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Data'!$A$2:$B$8,MATCH(WEEKDAY('ARG Gas IM'!A15,3),'Master Data'!$A$2:$A$8,0),2)</f>
        <v>W</v>
      </c>
      <c r="D15" s="112" t="n">
        <v>0</v>
      </c>
      <c r="E15" s="112" t="n">
        <v>0</v>
      </c>
      <c r="F15" s="112" t="n">
        <v>0</v>
      </c>
      <c r="G15" s="112" t="n">
        <v>-198477</v>
      </c>
      <c r="I15" s="112" t="n">
        <f aca="false">IF(MONTH($A15)=MONTH($A14),IF(G15=0,I14,G15),0)</f>
        <v>-198477</v>
      </c>
      <c r="J15" s="112" t="n">
        <f aca="false">IF(MONTH($A15)=MONTH($A14),SUM(I15-I14),I15)</f>
        <v>-1646</v>
      </c>
      <c r="K15" s="112" t="n">
        <f aca="false">IF(WEEKDAY(A15,3)&gt;4,0,(IF(A15&lt;K$2,0,IF(A15&lt;=K$3,1,0))))</f>
        <v>0</v>
      </c>
      <c r="L15" s="112" t="n">
        <f aca="false">J15*K15</f>
        <v>-0</v>
      </c>
      <c r="M15" s="112" t="n">
        <f aca="false">SUM(J$6:J15)</f>
        <v>-198477</v>
      </c>
      <c r="N15" s="112" t="n">
        <f aca="false">SUM(J$6:J15)</f>
        <v>-198477</v>
      </c>
      <c r="P15" s="112" t="n">
        <f aca="false">D15/P$3</f>
        <v>0</v>
      </c>
      <c r="Q15" s="112" t="n">
        <f aca="false">E15/P$3</f>
        <v>0</v>
      </c>
      <c r="R15" s="112" t="n">
        <f aca="false">F15/R$3</f>
        <v>0</v>
      </c>
      <c r="S15" s="114" t="n">
        <f aca="false">J15/$R$3</f>
        <v>-1.646</v>
      </c>
      <c r="T15" s="114" t="n">
        <f aca="false">L15/$R$3</f>
        <v>-0</v>
      </c>
      <c r="U15" s="114" t="n">
        <f aca="false">I15/$R$3</f>
        <v>-198.477</v>
      </c>
      <c r="V15" s="114" t="n">
        <f aca="false">M15/$R$3</f>
        <v>-198.477</v>
      </c>
      <c r="W15" s="114" t="n">
        <f aca="false">N15/$R$3</f>
        <v>-198.477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Data'!$A$2:$B$8,MATCH(WEEKDAY('ARG Gas IM'!A16,3),'Master Data'!$A$2:$A$8,0),2)</f>
        <v>Th</v>
      </c>
      <c r="D16" s="112" t="n">
        <f aca="false">3/27.0963</f>
        <v>0.110716223248193</v>
      </c>
      <c r="E16" s="112" t="n">
        <v>0</v>
      </c>
      <c r="F16" s="112" t="n">
        <v>0</v>
      </c>
      <c r="G16" s="112" t="n">
        <v>-197960.809596343</v>
      </c>
      <c r="I16" s="112" t="n">
        <f aca="false">IF(MONTH($A16)=MONTH($A15),IF(G16=0,I15,G16),0)</f>
        <v>-197960.809596343</v>
      </c>
      <c r="J16" s="112" t="n">
        <f aca="false">IF(MONTH($A16)=MONTH($A15),SUM(I16-I15),I16)</f>
        <v>516.190403656598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-197960.809596343</v>
      </c>
      <c r="N16" s="112" t="n">
        <f aca="false">SUM(J$6:J16)</f>
        <v>-197960.809596343</v>
      </c>
      <c r="P16" s="112" t="n">
        <f aca="false">D16/P$3</f>
        <v>1.10716223248193E-007</v>
      </c>
      <c r="Q16" s="112" t="n">
        <f aca="false">E16/P$3</f>
        <v>0</v>
      </c>
      <c r="R16" s="112" t="n">
        <f aca="false">F16/R$3</f>
        <v>0</v>
      </c>
      <c r="S16" s="114" t="n">
        <f aca="false">J16/$R$3</f>
        <v>0.516190403656598</v>
      </c>
      <c r="T16" s="114" t="n">
        <f aca="false">L16/$R$3</f>
        <v>0</v>
      </c>
      <c r="U16" s="114" t="n">
        <f aca="false">I16/$R$3</f>
        <v>-197.960809596343</v>
      </c>
      <c r="V16" s="114" t="n">
        <f aca="false">M16/$R$3</f>
        <v>-197.960809596343</v>
      </c>
      <c r="W16" s="114" t="n">
        <f aca="false">N16/$R$3</f>
        <v>-197.960809596343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Data'!$A$2:$B$8,MATCH(WEEKDAY('ARG Gas IM'!A17,3),'Master Data'!$A$2:$A$8,0),2)</f>
        <v>F</v>
      </c>
      <c r="D17" s="112" t="n">
        <f aca="false">79706/27.0963</f>
        <v>2941.58243007348</v>
      </c>
      <c r="E17" s="112" t="n">
        <v>0</v>
      </c>
      <c r="F17" s="112" t="n">
        <v>0</v>
      </c>
      <c r="G17" s="112" t="n">
        <v>-202791.477073411</v>
      </c>
      <c r="I17" s="112" t="n">
        <f aca="false">IF(MONTH($A17)=MONTH($A16),IF(G17=0,I16,G17),0)</f>
        <v>-202791.477073411</v>
      </c>
      <c r="J17" s="112" t="n">
        <f aca="false">IF(MONTH($A17)=MONTH($A16),SUM(I17-I16),I17)</f>
        <v>-4830.66747706759</v>
      </c>
      <c r="K17" s="112" t="n">
        <f aca="false">IF(WEEKDAY(A17,3)&gt;4,0,(IF(A17&lt;K$2,0,IF(A17&lt;=K$3,1,0))))</f>
        <v>0</v>
      </c>
      <c r="L17" s="112" t="n">
        <f aca="false">J17*K17</f>
        <v>-0</v>
      </c>
      <c r="M17" s="112" t="n">
        <f aca="false">SUM(J$6:J17)</f>
        <v>-202791.477073411</v>
      </c>
      <c r="N17" s="112" t="n">
        <f aca="false">SUM(J$6:J17)</f>
        <v>-202791.477073411</v>
      </c>
      <c r="P17" s="112" t="n">
        <f aca="false">D17/P$3</f>
        <v>0.00294158243007348</v>
      </c>
      <c r="Q17" s="112" t="n">
        <f aca="false">E17/P$3</f>
        <v>0</v>
      </c>
      <c r="R17" s="112" t="n">
        <f aca="false">F17/R$3</f>
        <v>0</v>
      </c>
      <c r="S17" s="114" t="n">
        <f aca="false">J17/$R$3</f>
        <v>-4.83066747706759</v>
      </c>
      <c r="T17" s="114" t="n">
        <f aca="false">L17/$R$3</f>
        <v>-0</v>
      </c>
      <c r="U17" s="114" t="n">
        <f aca="false">I17/$R$3</f>
        <v>-202.791477073411</v>
      </c>
      <c r="V17" s="114" t="n">
        <f aca="false">M17/$R$3</f>
        <v>-202.791477073411</v>
      </c>
      <c r="W17" s="114" t="n">
        <f aca="false">N17/$R$3</f>
        <v>-202.791477073411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Data'!$A$2:$B$8,MATCH(WEEKDAY('ARG Gas IM'!A18,3),'Master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-202791.477073411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-202791.477073411</v>
      </c>
      <c r="N18" s="112" t="n">
        <f aca="false">SUM(J$6:J18)</f>
        <v>-202791.477073411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-202.791477073411</v>
      </c>
      <c r="V18" s="114" t="n">
        <f aca="false">M18/$R$3</f>
        <v>-202.791477073411</v>
      </c>
      <c r="W18" s="114" t="n">
        <f aca="false">N18/$R$3</f>
        <v>-202.791477073411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Data'!$A$2:$B$8,MATCH(WEEKDAY('ARG Gas IM'!A19,3),'Master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-202791.477073411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-202791.477073411</v>
      </c>
      <c r="N19" s="112" t="n">
        <f aca="false">SUM(J$6:J19)</f>
        <v>-202791.477073411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-202.791477073411</v>
      </c>
      <c r="V19" s="114" t="n">
        <f aca="false">M19/$R$3</f>
        <v>-202.791477073411</v>
      </c>
      <c r="W19" s="114" t="n">
        <f aca="false">N19/$R$3</f>
        <v>-202.791477073411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Data'!$A$2:$B$8,MATCH(WEEKDAY('ARG Gas IM'!A20,3),'Master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-202791.477073411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-202791.477073411</v>
      </c>
      <c r="N20" s="112" t="n">
        <f aca="false">SUM(J$6:J20)</f>
        <v>-202791.477073411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-202.791477073411</v>
      </c>
      <c r="V20" s="114" t="n">
        <f aca="false">M20/$R$3</f>
        <v>-202.791477073411</v>
      </c>
      <c r="W20" s="114" t="n">
        <f aca="false">N20/$R$3</f>
        <v>-202.791477073411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Data'!$A$2:$B$8,MATCH(WEEKDAY('ARG Gas IM'!A21,3),'Master Data'!$A$2:$A$8,0),2)</f>
        <v>T</v>
      </c>
      <c r="D21" s="112" t="n">
        <f aca="false">20242/27.0963</f>
        <v>747.039263663305</v>
      </c>
      <c r="E21" s="112" t="n">
        <v>0</v>
      </c>
      <c r="F21" s="112" t="n">
        <v>0</v>
      </c>
      <c r="G21" s="112" t="n">
        <v>-224278</v>
      </c>
      <c r="I21" s="112" t="n">
        <f aca="false">IF(MONTH($A21)=MONTH($A20),IF(G21=0,I20,G21),0)</f>
        <v>-224278</v>
      </c>
      <c r="J21" s="112" t="n">
        <f aca="false">IF(MONTH($A21)=MONTH($A20),SUM(I21-I20),I21)</f>
        <v>-21486.522926589</v>
      </c>
      <c r="K21" s="112" t="n">
        <f aca="false">IF(WEEKDAY(A21,3)&gt;4,0,(IF(A21&lt;K$2,0,IF(A21&lt;=K$3,1,0))))</f>
        <v>0</v>
      </c>
      <c r="L21" s="112" t="n">
        <f aca="false">J21*K21</f>
        <v>-0</v>
      </c>
      <c r="M21" s="112" t="n">
        <f aca="false">SUM(J$6:J21)</f>
        <v>-224278</v>
      </c>
      <c r="N21" s="112" t="n">
        <f aca="false">SUM(J$6:J21)</f>
        <v>-224278</v>
      </c>
      <c r="P21" s="112" t="n">
        <f aca="false">D21/P$3</f>
        <v>0.000747039263663305</v>
      </c>
      <c r="Q21" s="112" t="n">
        <f aca="false">E21/P$3</f>
        <v>0</v>
      </c>
      <c r="R21" s="112" t="n">
        <f aca="false">F21/R$3</f>
        <v>0</v>
      </c>
      <c r="S21" s="114" t="n">
        <f aca="false">J21/$R$3</f>
        <v>-21.486522926589</v>
      </c>
      <c r="T21" s="114" t="n">
        <f aca="false">L21/$R$3</f>
        <v>-0</v>
      </c>
      <c r="U21" s="114" t="n">
        <f aca="false">I21/$R$3</f>
        <v>-224.278</v>
      </c>
      <c r="V21" s="114" t="n">
        <f aca="false">M21/$R$3</f>
        <v>-224.278</v>
      </c>
      <c r="W21" s="114" t="n">
        <f aca="false">N21/$R$3</f>
        <v>-224.278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Data'!$A$2:$B$8,MATCH(WEEKDAY('ARG Gas IM'!A22,3),'Master Data'!$A$2:$A$8,0),2)</f>
        <v>W</v>
      </c>
      <c r="D22" s="112" t="n">
        <f aca="false">17047/27.0963</f>
        <v>629.12648590398</v>
      </c>
      <c r="E22" s="112" t="n">
        <v>0</v>
      </c>
      <c r="F22" s="112" t="n">
        <v>0</v>
      </c>
      <c r="G22" s="112" t="n">
        <v>-224495</v>
      </c>
      <c r="I22" s="112" t="n">
        <f aca="false">IF(MONTH($A22)=MONTH($A21),IF(G22=0,I21,G22),0)</f>
        <v>-224495</v>
      </c>
      <c r="J22" s="112" t="n">
        <f aca="false">IF(MONTH($A22)=MONTH($A21),SUM(I22-I21),I22)</f>
        <v>-217</v>
      </c>
      <c r="K22" s="112" t="n">
        <f aca="false">IF(WEEKDAY(A22,3)&gt;4,0,(IF(A22&lt;K$2,0,IF(A22&lt;=K$3,1,0))))</f>
        <v>0</v>
      </c>
      <c r="L22" s="112" t="n">
        <f aca="false">J22*K22</f>
        <v>-0</v>
      </c>
      <c r="M22" s="112" t="n">
        <f aca="false">SUM(J$6:J22)</f>
        <v>-224495</v>
      </c>
      <c r="N22" s="112" t="n">
        <f aca="false">SUM(J$6:J22)</f>
        <v>-224495</v>
      </c>
      <c r="P22" s="112" t="n">
        <f aca="false">D22/P$3</f>
        <v>0.00062912648590398</v>
      </c>
      <c r="Q22" s="112" t="n">
        <f aca="false">E22/P$3</f>
        <v>0</v>
      </c>
      <c r="R22" s="112" t="n">
        <f aca="false">F22/R$3</f>
        <v>0</v>
      </c>
      <c r="S22" s="114" t="n">
        <f aca="false">J22/$R$3</f>
        <v>-0.217</v>
      </c>
      <c r="T22" s="114" t="n">
        <f aca="false">L22/$R$3</f>
        <v>-0</v>
      </c>
      <c r="U22" s="114" t="n">
        <f aca="false">I22/$R$3</f>
        <v>-224.495</v>
      </c>
      <c r="V22" s="114" t="n">
        <f aca="false">M22/$R$3</f>
        <v>-224.495</v>
      </c>
      <c r="W22" s="114" t="n">
        <f aca="false">N22/$R$3</f>
        <v>-224.495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Data'!$A$2:$B$8,MATCH(WEEKDAY('ARG Gas IM'!A23,3),'Master Data'!$A$2:$A$8,0),2)</f>
        <v>Th</v>
      </c>
      <c r="D23" s="112" t="n">
        <f aca="false">13852/27.0963</f>
        <v>511.213708144654</v>
      </c>
      <c r="E23" s="112" t="n">
        <v>0</v>
      </c>
      <c r="F23" s="112" t="n">
        <v>0</v>
      </c>
      <c r="G23" s="112" t="n">
        <v>-224711</v>
      </c>
      <c r="I23" s="112" t="n">
        <f aca="false">IF(MONTH($A23)=MONTH($A22),IF(G23=0,I22,G23),0)</f>
        <v>-224711</v>
      </c>
      <c r="J23" s="112" t="n">
        <f aca="false">IF(MONTH($A23)=MONTH($A22),SUM(I23-I22),I23)</f>
        <v>-216</v>
      </c>
      <c r="K23" s="112" t="n">
        <f aca="false">IF(WEEKDAY(A23,3)&gt;4,0,(IF(A23&lt;K$2,0,IF(A23&lt;=K$3,1,0))))</f>
        <v>0</v>
      </c>
      <c r="L23" s="112" t="n">
        <f aca="false">J23*K23</f>
        <v>-0</v>
      </c>
      <c r="M23" s="112" t="n">
        <f aca="false">SUM(J$6:J23)</f>
        <v>-224711</v>
      </c>
      <c r="N23" s="112" t="n">
        <f aca="false">SUM(J$6:J23)</f>
        <v>-224711</v>
      </c>
      <c r="P23" s="112" t="n">
        <f aca="false">D23/P$3</f>
        <v>0.000511213708144654</v>
      </c>
      <c r="Q23" s="112" t="n">
        <f aca="false">E23/P$3</f>
        <v>0</v>
      </c>
      <c r="R23" s="112" t="n">
        <f aca="false">F23/R$3</f>
        <v>0</v>
      </c>
      <c r="S23" s="114" t="n">
        <f aca="false">J23/$R$3</f>
        <v>-0.216</v>
      </c>
      <c r="T23" s="114" t="n">
        <f aca="false">L23/$R$3</f>
        <v>-0</v>
      </c>
      <c r="U23" s="114" t="n">
        <f aca="false">I23/$R$3</f>
        <v>-224.711</v>
      </c>
      <c r="V23" s="114" t="n">
        <f aca="false">M23/$R$3</f>
        <v>-224.711</v>
      </c>
      <c r="W23" s="114" t="n">
        <f aca="false">N23/$R$3</f>
        <v>-224.711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Data'!$A$2:$B$8,MATCH(WEEKDAY('ARG Gas IM'!A24,3),'Master Data'!$A$2:$A$8,0),2)</f>
        <v>F</v>
      </c>
      <c r="D24" s="112" t="n">
        <f aca="false">10657/27.0963</f>
        <v>393.300930385329</v>
      </c>
      <c r="E24" s="112" t="n">
        <v>0</v>
      </c>
      <c r="F24" s="112" t="n">
        <v>0</v>
      </c>
      <c r="G24" s="112" t="n">
        <v>-224929</v>
      </c>
      <c r="I24" s="112" t="n">
        <f aca="false">IF(MONTH($A24)=MONTH($A23),IF(G24=0,I23,G24),0)</f>
        <v>-224929</v>
      </c>
      <c r="J24" s="112" t="n">
        <f aca="false">IF(MONTH($A24)=MONTH($A23),SUM(I24-I23),I24)</f>
        <v>-218</v>
      </c>
      <c r="K24" s="112" t="n">
        <f aca="false">IF(WEEKDAY(A24,3)&gt;4,0,(IF(A24&lt;K$2,0,IF(A24&lt;=K$3,1,0))))</f>
        <v>0</v>
      </c>
      <c r="L24" s="112" t="n">
        <f aca="false">J24*K24</f>
        <v>-0</v>
      </c>
      <c r="M24" s="112" t="n">
        <f aca="false">SUM(J$6:J24)</f>
        <v>-224929</v>
      </c>
      <c r="N24" s="112" t="n">
        <f aca="false">SUM(J$6:J24)</f>
        <v>-224929</v>
      </c>
      <c r="P24" s="112" t="n">
        <f aca="false">D24/P$3</f>
        <v>0.000393300930385329</v>
      </c>
      <c r="Q24" s="112" t="n">
        <f aca="false">E24/P$3</f>
        <v>0</v>
      </c>
      <c r="R24" s="112" t="n">
        <f aca="false">F24/R$3</f>
        <v>0</v>
      </c>
      <c r="S24" s="114" t="n">
        <f aca="false">J24/$R$3</f>
        <v>-0.218</v>
      </c>
      <c r="T24" s="114" t="n">
        <f aca="false">L24/$R$3</f>
        <v>-0</v>
      </c>
      <c r="U24" s="114" t="n">
        <f aca="false">I24/$R$3</f>
        <v>-224.929</v>
      </c>
      <c r="V24" s="114" t="n">
        <f aca="false">M24/$R$3</f>
        <v>-224.929</v>
      </c>
      <c r="W24" s="114" t="n">
        <f aca="false">N24/$R$3</f>
        <v>-224.929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Data'!$A$2:$B$8,MATCH(WEEKDAY('ARG Gas IM'!A25,3),'Master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-224929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-224929</v>
      </c>
      <c r="N25" s="112" t="n">
        <f aca="false">SUM(J$6:J25)</f>
        <v>-224929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-224.929</v>
      </c>
      <c r="V25" s="114" t="n">
        <f aca="false">M25/$R$3</f>
        <v>-224.929</v>
      </c>
      <c r="W25" s="114" t="n">
        <f aca="false">N25/$R$3</f>
        <v>-224.929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Data'!$A$2:$B$8,MATCH(WEEKDAY('ARG Gas IM'!A26,3),'Master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-224929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-224929</v>
      </c>
      <c r="N26" s="112" t="n">
        <f aca="false">SUM(J$6:J26)</f>
        <v>-224929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-224.929</v>
      </c>
      <c r="V26" s="114" t="n">
        <f aca="false">M26/$R$3</f>
        <v>-224.929</v>
      </c>
      <c r="W26" s="114" t="n">
        <f aca="false">N26/$R$3</f>
        <v>-224.929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Data'!$A$2:$B$8,MATCH(WEEKDAY('ARG Gas IM'!A27,3),'Master Data'!$A$2:$A$8,0),2)</f>
        <v>M</v>
      </c>
      <c r="D27" s="112" t="n">
        <f aca="false">1072/27.0963</f>
        <v>39.5625971073541</v>
      </c>
      <c r="E27" s="112" t="n">
        <v>0</v>
      </c>
      <c r="F27" s="112" t="n">
        <v>0</v>
      </c>
      <c r="G27" s="112" t="n">
        <v>-225589</v>
      </c>
      <c r="I27" s="112" t="n">
        <f aca="false">IF(MONTH($A27)=MONTH($A26),IF(G27=0,I26,G27),0)</f>
        <v>-225589</v>
      </c>
      <c r="J27" s="112" t="n">
        <f aca="false">IF(MONTH($A27)=MONTH($A26),SUM(I27-I26),I27)</f>
        <v>-660</v>
      </c>
      <c r="K27" s="112" t="n">
        <f aca="false">IF(WEEKDAY(A27,3)&gt;4,0,(IF(A27&lt;K$2,0,IF(A27&lt;=K$3,1,0))))</f>
        <v>0</v>
      </c>
      <c r="L27" s="112" t="n">
        <f aca="false">J27*K27</f>
        <v>-0</v>
      </c>
      <c r="M27" s="112" t="n">
        <f aca="false">SUM(J$6:J27)</f>
        <v>-225589</v>
      </c>
      <c r="N27" s="112" t="n">
        <f aca="false">SUM(J$6:J27)</f>
        <v>-225589</v>
      </c>
      <c r="P27" s="112" t="n">
        <f aca="false">D27/P$3</f>
        <v>3.95625971073541E-005</v>
      </c>
      <c r="Q27" s="112" t="n">
        <f aca="false">E27/P$3</f>
        <v>0</v>
      </c>
      <c r="R27" s="112" t="n">
        <f aca="false">F27/R$3</f>
        <v>0</v>
      </c>
      <c r="S27" s="114" t="n">
        <f aca="false">J27/$R$3</f>
        <v>-0.66</v>
      </c>
      <c r="T27" s="114" t="n">
        <f aca="false">L27/$R$3</f>
        <v>-0</v>
      </c>
      <c r="U27" s="114" t="n">
        <f aca="false">I27/$R$3</f>
        <v>-225.589</v>
      </c>
      <c r="V27" s="114" t="n">
        <f aca="false">M27/$R$3</f>
        <v>-225.589</v>
      </c>
      <c r="W27" s="114" t="n">
        <f aca="false">N27/$R$3</f>
        <v>-225.589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Data'!$A$2:$B$8,MATCH(WEEKDAY('ARG Gas IM'!A28,3),'Master Data'!$A$2:$A$8,0),2)</f>
        <v>T</v>
      </c>
      <c r="D28" s="112" t="n">
        <f aca="false">-9429/27.0963</f>
        <v>-347.981089669069</v>
      </c>
      <c r="E28" s="112" t="n">
        <v>0</v>
      </c>
      <c r="F28" s="112" t="n">
        <v>0</v>
      </c>
      <c r="G28" s="112" t="n">
        <v>-227890</v>
      </c>
      <c r="I28" s="112" t="n">
        <f aca="false">IF(MONTH($A28)=MONTH($A27),IF(G28=0,I27,G28),0)</f>
        <v>-227890</v>
      </c>
      <c r="J28" s="112" t="n">
        <f aca="false">IF(MONTH($A28)=MONTH($A27),SUM(I28-I27),I28)</f>
        <v>-2301</v>
      </c>
      <c r="K28" s="112" t="n">
        <f aca="false">IF(WEEKDAY(A28,3)&gt;4,0,(IF(A28&lt;K$2,0,IF(A28&lt;=K$3,1,0))))</f>
        <v>0</v>
      </c>
      <c r="L28" s="112" t="n">
        <f aca="false">J28*K28</f>
        <v>-0</v>
      </c>
      <c r="M28" s="112" t="n">
        <f aca="false">SUM(J$6:J28)</f>
        <v>-227890</v>
      </c>
      <c r="N28" s="112" t="n">
        <f aca="false">SUM(J$6:J28)</f>
        <v>-227890</v>
      </c>
      <c r="P28" s="112" t="n">
        <f aca="false">D28/P$3</f>
        <v>-0.000347981089669069</v>
      </c>
      <c r="Q28" s="112" t="n">
        <f aca="false">E28/P$3</f>
        <v>0</v>
      </c>
      <c r="R28" s="112" t="n">
        <f aca="false">F28/R$3</f>
        <v>0</v>
      </c>
      <c r="S28" s="114" t="n">
        <f aca="false">J28/$R$3</f>
        <v>-2.301</v>
      </c>
      <c r="T28" s="114" t="n">
        <f aca="false">L28/$R$3</f>
        <v>-0</v>
      </c>
      <c r="U28" s="114" t="n">
        <f aca="false">I28/$R$3</f>
        <v>-227.89</v>
      </c>
      <c r="V28" s="114" t="n">
        <f aca="false">M28/$R$3</f>
        <v>-227.89</v>
      </c>
      <c r="W28" s="114" t="n">
        <f aca="false">N28/$R$3</f>
        <v>-227.89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Data'!$A$2:$B$8,MATCH(WEEKDAY('ARG Gas IM'!A29,3),'Master Data'!$A$2:$A$8,0),2)</f>
        <v>W</v>
      </c>
      <c r="D29" s="112" t="n">
        <f aca="false">-12806/27.0963</f>
        <v>-472.610651638785</v>
      </c>
      <c r="E29" s="112" t="n">
        <v>0</v>
      </c>
      <c r="F29" s="112" t="n">
        <v>0</v>
      </c>
      <c r="G29" s="112" t="n">
        <v>-228134</v>
      </c>
      <c r="I29" s="112" t="n">
        <f aca="false">IF(MONTH($A29)=MONTH($A28),IF(G29=0,I28,G29),0)</f>
        <v>-228134</v>
      </c>
      <c r="J29" s="112" t="n">
        <f aca="false">IF(MONTH($A29)=MONTH($A28),SUM(I29-I28),I29)</f>
        <v>-244</v>
      </c>
      <c r="K29" s="112" t="n">
        <f aca="false">IF(WEEKDAY(A29,3)&gt;4,0,(IF(A29&lt;K$2,0,IF(A29&lt;=K$3,1,0))))</f>
        <v>0</v>
      </c>
      <c r="L29" s="112" t="n">
        <f aca="false">J29*K29</f>
        <v>-0</v>
      </c>
      <c r="M29" s="112" t="n">
        <f aca="false">SUM(J$6:J29)</f>
        <v>-228134</v>
      </c>
      <c r="N29" s="112" t="n">
        <f aca="false">SUM(J$6:J29)</f>
        <v>-228134</v>
      </c>
      <c r="P29" s="112" t="n">
        <f aca="false">D29/P$3</f>
        <v>-0.000472610651638785</v>
      </c>
      <c r="Q29" s="112" t="n">
        <f aca="false">E29/P$3</f>
        <v>0</v>
      </c>
      <c r="R29" s="112" t="n">
        <f aca="false">F29/R$3</f>
        <v>0</v>
      </c>
      <c r="S29" s="114" t="n">
        <f aca="false">J29/$R$3</f>
        <v>-0.244</v>
      </c>
      <c r="T29" s="114" t="n">
        <f aca="false">L29/$R$3</f>
        <v>-0</v>
      </c>
      <c r="U29" s="114" t="n">
        <f aca="false">I29/$R$3</f>
        <v>-228.134</v>
      </c>
      <c r="V29" s="114" t="n">
        <f aca="false">M29/$R$3</f>
        <v>-228.134</v>
      </c>
      <c r="W29" s="114" t="n">
        <f aca="false">N29/$R$3</f>
        <v>-228.134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Data'!$A$2:$B$8,MATCH(WEEKDAY('ARG Gas IM'!A30,3),'Master Data'!$A$2:$A$8,0),2)</f>
        <v>Th</v>
      </c>
      <c r="D30" s="112" t="n">
        <f aca="false">3665/27.0963</f>
        <v>135.258319401542</v>
      </c>
      <c r="E30" s="112" t="n">
        <v>0</v>
      </c>
      <c r="F30" s="112" t="n">
        <v>0</v>
      </c>
      <c r="G30" s="112" t="n">
        <v>-223281</v>
      </c>
      <c r="I30" s="112" t="n">
        <f aca="false">IF(MONTH($A30)=MONTH($A29),IF(G30=0,I29,G30),0)</f>
        <v>-223281</v>
      </c>
      <c r="J30" s="112" t="n">
        <f aca="false">IF(MONTH($A30)=MONTH($A29),SUM(I30-I29),I30)</f>
        <v>4853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-223281</v>
      </c>
      <c r="N30" s="112" t="n">
        <f aca="false">SUM(J$6:J30)</f>
        <v>-223281</v>
      </c>
      <c r="P30" s="112" t="n">
        <f aca="false">D30/P$3</f>
        <v>0.000135258319401542</v>
      </c>
      <c r="Q30" s="112" t="n">
        <f aca="false">E30/P$3</f>
        <v>0</v>
      </c>
      <c r="R30" s="112" t="n">
        <f aca="false">F30/R$3</f>
        <v>0</v>
      </c>
      <c r="S30" s="114" t="n">
        <f aca="false">J30/$R$3</f>
        <v>4.853</v>
      </c>
      <c r="T30" s="114" t="n">
        <f aca="false">L30/$R$3</f>
        <v>0</v>
      </c>
      <c r="U30" s="114" t="n">
        <f aca="false">I30/$R$3</f>
        <v>-223.281</v>
      </c>
      <c r="V30" s="114" t="n">
        <f aca="false">M30/$R$3</f>
        <v>-223.281</v>
      </c>
      <c r="W30" s="114" t="n">
        <f aca="false">N30/$R$3</f>
        <v>-223.281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Data'!$A$2:$B$8,MATCH(WEEKDAY('ARG Gas IM'!A31,3),'Master Data'!$A$2:$A$8,0),2)</f>
        <v>F</v>
      </c>
      <c r="D31" s="112" t="n">
        <f aca="false">3627/27.0963</f>
        <v>133.855913907065</v>
      </c>
      <c r="E31" s="112" t="n">
        <v>0</v>
      </c>
      <c r="F31" s="112" t="n">
        <v>0</v>
      </c>
      <c r="G31" s="112" t="n">
        <v>-223487</v>
      </c>
      <c r="I31" s="112" t="n">
        <f aca="false">IF(MONTH($A31)=MONTH($A30),IF(G31=0,I30,G31),0)</f>
        <v>-223487</v>
      </c>
      <c r="J31" s="112" t="n">
        <f aca="false">IF(MONTH($A31)=MONTH($A30),SUM(I31-I30),I31)</f>
        <v>-206</v>
      </c>
      <c r="K31" s="112" t="n">
        <f aca="false">IF(WEEKDAY(A31,3)&gt;4,0,(IF(A31&lt;K$2,0,IF(A31&lt;=K$3,1,0))))</f>
        <v>0</v>
      </c>
      <c r="L31" s="112" t="n">
        <f aca="false">J31*K31</f>
        <v>-0</v>
      </c>
      <c r="M31" s="112" t="n">
        <f aca="false">SUM(J$6:J31)</f>
        <v>-223487</v>
      </c>
      <c r="N31" s="112" t="n">
        <f aca="false">SUM(J$6:J31)</f>
        <v>-223487</v>
      </c>
      <c r="P31" s="112" t="n">
        <f aca="false">D31/P$3</f>
        <v>0.000133855913907065</v>
      </c>
      <c r="Q31" s="112" t="n">
        <f aca="false">E31/P$3</f>
        <v>0</v>
      </c>
      <c r="R31" s="112" t="n">
        <f aca="false">F31/R$3</f>
        <v>0</v>
      </c>
      <c r="S31" s="114" t="n">
        <f aca="false">J31/$R$3</f>
        <v>-0.206</v>
      </c>
      <c r="T31" s="114" t="n">
        <f aca="false">L31/$R$3</f>
        <v>-0</v>
      </c>
      <c r="U31" s="114" t="n">
        <f aca="false">I31/$R$3</f>
        <v>-223.487</v>
      </c>
      <c r="V31" s="114" t="n">
        <f aca="false">M31/$R$3</f>
        <v>-223.487</v>
      </c>
      <c r="W31" s="114" t="n">
        <f aca="false">N31/$R$3</f>
        <v>-223.487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Data'!$A$2:$B$8,MATCH(WEEKDAY('ARG Gas IM'!A32,3),'Master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-223487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-223487</v>
      </c>
      <c r="N32" s="112" t="n">
        <f aca="false">SUM(J$6:J32)</f>
        <v>-223487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-223.487</v>
      </c>
      <c r="V32" s="114" t="n">
        <f aca="false">M32/$R$3</f>
        <v>-223.487</v>
      </c>
      <c r="W32" s="114" t="n">
        <f aca="false">N32/$R$3</f>
        <v>-223.487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Data'!$A$2:$B$8,MATCH(WEEKDAY('ARG Gas IM'!A33,3),'Master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-223487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-223487</v>
      </c>
      <c r="N33" s="112" t="n">
        <f aca="false">SUM(J$6:J33)</f>
        <v>-223487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-223.487</v>
      </c>
      <c r="V33" s="114" t="n">
        <f aca="false">M33/$R$3</f>
        <v>-223.487</v>
      </c>
      <c r="W33" s="114" t="n">
        <f aca="false">N33/$R$3</f>
        <v>-223.487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Data'!$A$2:$B$8,MATCH(WEEKDAY('ARG Gas IM'!A34,3),'Master Data'!$A$2:$A$8,0),2)</f>
        <v>M</v>
      </c>
      <c r="D34" s="112" t="n">
        <f aca="false">3513/27.0963</f>
        <v>129.648697423633</v>
      </c>
      <c r="E34" s="112" t="n">
        <v>0</v>
      </c>
      <c r="F34" s="112" t="n">
        <v>0</v>
      </c>
      <c r="G34" s="112" t="n">
        <v>-224101</v>
      </c>
      <c r="I34" s="112" t="n">
        <f aca="false">IF(MONTH($A34)=MONTH($A33),IF(G34=0,I33,G34),0)</f>
        <v>-224101</v>
      </c>
      <c r="J34" s="112" t="n">
        <f aca="false">IF(MONTH($A34)=MONTH($A33),SUM(I34-I33),I34)</f>
        <v>-614</v>
      </c>
      <c r="K34" s="112" t="n">
        <f aca="false">IF(WEEKDAY(A34,3)&gt;4,0,(IF(A34&lt;K$2,0,IF(A34&lt;=K$3,1,0))))</f>
        <v>0</v>
      </c>
      <c r="L34" s="112" t="n">
        <f aca="false">J34*K34</f>
        <v>-0</v>
      </c>
      <c r="M34" s="112" t="n">
        <f aca="false">SUM(J$6:J34)</f>
        <v>-224101</v>
      </c>
      <c r="N34" s="112" t="n">
        <f aca="false">SUM(J$6:J34)</f>
        <v>-224101</v>
      </c>
      <c r="P34" s="112" t="n">
        <f aca="false">D34/P$3</f>
        <v>0.000129648697423633</v>
      </c>
      <c r="Q34" s="112" t="n">
        <f aca="false">E34/P$3</f>
        <v>0</v>
      </c>
      <c r="R34" s="112" t="n">
        <f aca="false">F34/R$3</f>
        <v>0</v>
      </c>
      <c r="S34" s="114" t="n">
        <f aca="false">J34/$R$3</f>
        <v>-0.614</v>
      </c>
      <c r="T34" s="114" t="n">
        <f aca="false">L34/$R$3</f>
        <v>-0</v>
      </c>
      <c r="U34" s="114" t="n">
        <f aca="false">I34/$R$3</f>
        <v>-224.101</v>
      </c>
      <c r="V34" s="114" t="n">
        <f aca="false">M34/$R$3</f>
        <v>-224.101</v>
      </c>
      <c r="W34" s="114" t="n">
        <f aca="false">N34/$R$3</f>
        <v>-224.101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Data'!$A$2:$B$8,MATCH(WEEKDAY('ARG Gas IM'!A35,3),'Master Data'!$A$2:$A$8,0),2)</f>
        <v>T</v>
      </c>
      <c r="D35" s="112" t="n">
        <f aca="false">-324428/27.0963</f>
        <v>-11973.1476253215</v>
      </c>
      <c r="E35" s="112" t="n">
        <v>0</v>
      </c>
      <c r="F35" s="112" t="n">
        <v>0</v>
      </c>
      <c r="G35" s="112" t="n">
        <v>-225404</v>
      </c>
      <c r="I35" s="112" t="n">
        <f aca="false">IF(MONTH($A35)=MONTH($A34),IF(G35=0,I34,G35),0)</f>
        <v>-225404</v>
      </c>
      <c r="J35" s="112" t="n">
        <f aca="false">IF(MONTH($A35)=MONTH($A34),SUM(I35-I34),I35)</f>
        <v>-1303</v>
      </c>
      <c r="K35" s="112" t="n">
        <f aca="false">IF(WEEKDAY(A35,3)&gt;4,0,(IF(A35&lt;K$2,0,IF(A35&lt;=K$3,1,0))))</f>
        <v>0</v>
      </c>
      <c r="L35" s="112" t="n">
        <f aca="false">J35*K35</f>
        <v>-0</v>
      </c>
      <c r="M35" s="112" t="n">
        <f aca="false">SUM(J$6:J35)</f>
        <v>-225404</v>
      </c>
      <c r="N35" s="112" t="n">
        <f aca="false">SUM(J$6:J35)</f>
        <v>-225404</v>
      </c>
      <c r="P35" s="112" t="n">
        <f aca="false">D35/P$3</f>
        <v>-0.0119731476253215</v>
      </c>
      <c r="Q35" s="112" t="n">
        <f aca="false">E35/P$3</f>
        <v>0</v>
      </c>
      <c r="R35" s="112" t="n">
        <f aca="false">F35/R$3</f>
        <v>0</v>
      </c>
      <c r="S35" s="114" t="n">
        <f aca="false">J35/$R$3</f>
        <v>-1.303</v>
      </c>
      <c r="T35" s="114" t="n">
        <f aca="false">L35/$R$3</f>
        <v>-0</v>
      </c>
      <c r="U35" s="114" t="n">
        <f aca="false">I35/$R$3</f>
        <v>-225.404</v>
      </c>
      <c r="V35" s="114" t="n">
        <f aca="false">M35/$R$3</f>
        <v>-225.404</v>
      </c>
      <c r="W35" s="114" t="n">
        <f aca="false">N35/$R$3</f>
        <v>-225.404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Data'!$A$2:$B$8,MATCH(WEEKDAY('ARG Gas IM'!A36,3),'Master Data'!$A$2:$A$8,0),2)</f>
        <v>W</v>
      </c>
      <c r="D36" s="112" t="n">
        <f aca="false">-578/27.0963</f>
        <v>-21.3313256791518</v>
      </c>
      <c r="E36" s="112" t="n">
        <v>0</v>
      </c>
      <c r="F36" s="112" t="n">
        <v>0</v>
      </c>
      <c r="G36" s="112" t="n">
        <f aca="false">-264913+256232</f>
        <v>-8681</v>
      </c>
      <c r="I36" s="112" t="n">
        <f aca="false">IF(MONTH($A36)=MONTH($A35),IF(G36=0,I35,G36),0)</f>
        <v>-8681</v>
      </c>
      <c r="J36" s="112" t="n">
        <f aca="false">IF(MONTH($A36)=MONTH($A35),SUM(I36-I35),I36)</f>
        <v>216723</v>
      </c>
      <c r="K36" s="112" t="n">
        <f aca="false">IF(WEEKDAY(A36,3)&gt;4,0,(IF(A36&lt;K$2,0,IF(A36&lt;=K$3,1,0))))</f>
        <v>0</v>
      </c>
      <c r="L36" s="112" t="n">
        <f aca="false">J36*K36</f>
        <v>0</v>
      </c>
      <c r="M36" s="112" t="n">
        <f aca="false">SUM(J$6:J36)</f>
        <v>-8681</v>
      </c>
      <c r="N36" s="112" t="n">
        <f aca="false">SUM(J$6:J36)</f>
        <v>-8681</v>
      </c>
      <c r="P36" s="112" t="n">
        <f aca="false">D36/P$3</f>
        <v>-2.13313256791518E-005</v>
      </c>
      <c r="Q36" s="112" t="n">
        <f aca="false">E36/P$3</f>
        <v>0</v>
      </c>
      <c r="R36" s="112" t="n">
        <f aca="false">F36/R$3</f>
        <v>0</v>
      </c>
      <c r="S36" s="114" t="n">
        <f aca="false">J36/$R$3</f>
        <v>216.723</v>
      </c>
      <c r="T36" s="114" t="n">
        <f aca="false">L36/$R$3</f>
        <v>0</v>
      </c>
      <c r="U36" s="114" t="n">
        <f aca="false">I36/$R$3</f>
        <v>-8.681</v>
      </c>
      <c r="V36" s="114" t="n">
        <f aca="false">M36/$R$3</f>
        <v>-8.681</v>
      </c>
      <c r="W36" s="114" t="n">
        <f aca="false">N36/$R$3</f>
        <v>-8.681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Data'!$A$2:$B$8,MATCH(WEEKDAY('ARG Gas IM'!A37,3),'Master Data'!$A$2:$A$8,0),2)</f>
        <v>Th</v>
      </c>
      <c r="D37" s="112" t="n">
        <f aca="false">-99653/27.0963</f>
        <v>-3677.73459845071</v>
      </c>
      <c r="E37" s="112" t="n">
        <v>0</v>
      </c>
      <c r="F37" s="112" t="n">
        <v>0</v>
      </c>
      <c r="G37" s="112" t="n">
        <v>-280755</v>
      </c>
      <c r="I37" s="112" t="n">
        <f aca="false">IF(MONTH($A37)=MONTH($A36),IF(G37=0,I36,G37),G37)</f>
        <v>-280755</v>
      </c>
      <c r="J37" s="112" t="n">
        <f aca="false">IF(MONTH($A37)=MONTH($A36),SUM(I37-I36),I37)</f>
        <v>-280755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-289436</v>
      </c>
      <c r="N37" s="112" t="n">
        <f aca="false">SUM(J$6:J37)</f>
        <v>-289436</v>
      </c>
      <c r="P37" s="112" t="n">
        <f aca="false">D37/P$3</f>
        <v>-0.00367773459845071</v>
      </c>
      <c r="Q37" s="112" t="n">
        <f aca="false">E37/P$3</f>
        <v>0</v>
      </c>
      <c r="R37" s="112" t="n">
        <f aca="false">F37/R$3</f>
        <v>0</v>
      </c>
      <c r="S37" s="114" t="n">
        <f aca="false">J37/$R$3</f>
        <v>-280.755</v>
      </c>
      <c r="T37" s="114" t="n">
        <f aca="false">L37/$R$3</f>
        <v>-0</v>
      </c>
      <c r="U37" s="114" t="n">
        <f aca="false">I37/$R$3</f>
        <v>-280.755</v>
      </c>
      <c r="V37" s="114" t="n">
        <f aca="false">M37/$R$3</f>
        <v>-289.436</v>
      </c>
      <c r="W37" s="114" t="n">
        <f aca="false">N37/$R$3</f>
        <v>-289.436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Data'!$A$2:$B$8,MATCH(WEEKDAY('ARG Gas IM'!A38,3),'Master Data'!$A$2:$A$8,0),2)</f>
        <v>F</v>
      </c>
      <c r="D38" s="112" t="n">
        <f aca="false">-199306/27.0963</f>
        <v>-7355.46919690142</v>
      </c>
      <c r="E38" s="112" t="n">
        <v>0</v>
      </c>
      <c r="F38" s="112" t="n">
        <v>0</v>
      </c>
      <c r="G38" s="112" t="n">
        <v>-278867</v>
      </c>
      <c r="I38" s="112" t="n">
        <f aca="false">IF(MONTH($A38)=MONTH($A37),IF(G38=0,I37,G38),G38)</f>
        <v>-278867</v>
      </c>
      <c r="J38" s="112" t="n">
        <f aca="false">IF(MONTH($A38)=MONTH($A37),SUM(I38-I37),I38)</f>
        <v>1888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-287548</v>
      </c>
      <c r="N38" s="112" t="n">
        <f aca="false">SUM(J$6:J38)</f>
        <v>-287548</v>
      </c>
      <c r="P38" s="112" t="n">
        <f aca="false">D38/P$3</f>
        <v>-0.00735546919690142</v>
      </c>
      <c r="Q38" s="112" t="n">
        <f aca="false">E38/P$3</f>
        <v>0</v>
      </c>
      <c r="R38" s="112" t="n">
        <f aca="false">F38/R$3</f>
        <v>0</v>
      </c>
      <c r="S38" s="114" t="n">
        <f aca="false">J38/$R$3</f>
        <v>1.888</v>
      </c>
      <c r="T38" s="114" t="n">
        <f aca="false">L38/$R$3</f>
        <v>0</v>
      </c>
      <c r="U38" s="114" t="n">
        <f aca="false">I38/$R$3</f>
        <v>-278.867</v>
      </c>
      <c r="V38" s="114" t="n">
        <f aca="false">M38/$R$3</f>
        <v>-287.548</v>
      </c>
      <c r="W38" s="114" t="n">
        <f aca="false">N38/$R$3</f>
        <v>-287.548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Data'!$A$2:$B$8,MATCH(WEEKDAY('ARG Gas IM'!A39,3),'Master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-278867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-287548</v>
      </c>
      <c r="N39" s="112" t="n">
        <f aca="false">SUM(J$6:J39)</f>
        <v>-287548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-278.867</v>
      </c>
      <c r="V39" s="114" t="n">
        <f aca="false">M39/$R$3</f>
        <v>-287.548</v>
      </c>
      <c r="W39" s="114" t="n">
        <f aca="false">N39/$R$3</f>
        <v>-287.548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Data'!$A$2:$B$8,MATCH(WEEKDAY('ARG Gas IM'!A40,3),'Master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-278867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-287548</v>
      </c>
      <c r="N40" s="112" t="n">
        <f aca="false">SUM(J$6:J40)</f>
        <v>-287548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-278.867</v>
      </c>
      <c r="V40" s="114" t="n">
        <f aca="false">M40/$R$3</f>
        <v>-287.548</v>
      </c>
      <c r="W40" s="114" t="n">
        <f aca="false">N40/$R$3</f>
        <v>-287.548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Data'!$A$2:$B$8,MATCH(WEEKDAY('ARG Gas IM'!A41,3),'Master Data'!$A$2:$A$8,0),2)</f>
        <v>M</v>
      </c>
      <c r="D41" s="112" t="n">
        <f aca="false">-498265/27.0963</f>
        <v>-18388.6729922536</v>
      </c>
      <c r="E41" s="112" t="n">
        <v>0</v>
      </c>
      <c r="F41" s="112" t="n">
        <v>0</v>
      </c>
      <c r="G41" s="112" t="n">
        <v>-273204</v>
      </c>
      <c r="I41" s="112" t="n">
        <f aca="false">IF(MONTH($A41)=MONTH($A40),IF(G41=0,I40,G41),G41)</f>
        <v>-273204</v>
      </c>
      <c r="J41" s="112" t="n">
        <f aca="false">IF(MONTH($A41)=MONTH($A40),SUM(I41-I40),I41)</f>
        <v>5663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-281885</v>
      </c>
      <c r="N41" s="112" t="n">
        <f aca="false">SUM(J$6:J41)</f>
        <v>-281885</v>
      </c>
      <c r="P41" s="112" t="n">
        <f aca="false">D41/P$3</f>
        <v>-0.0183886729922536</v>
      </c>
      <c r="Q41" s="112" t="n">
        <f aca="false">E41/P$3</f>
        <v>0</v>
      </c>
      <c r="R41" s="112" t="n">
        <f aca="false">F41/R$3</f>
        <v>0</v>
      </c>
      <c r="S41" s="114" t="n">
        <f aca="false">J41/$R$3</f>
        <v>5.663</v>
      </c>
      <c r="T41" s="114" t="n">
        <f aca="false">L41/$R$3</f>
        <v>0</v>
      </c>
      <c r="U41" s="114" t="n">
        <f aca="false">I41/$R$3</f>
        <v>-273.204</v>
      </c>
      <c r="V41" s="114" t="n">
        <f aca="false">M41/$R$3</f>
        <v>-281.885</v>
      </c>
      <c r="W41" s="114" t="n">
        <f aca="false">N41/$R$3</f>
        <v>-281.885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Data'!$A$2:$B$8,MATCH(WEEKDAY('ARG Gas IM'!A42,3),'Master Data'!$A$2:$A$8,0),2)</f>
        <v>T</v>
      </c>
      <c r="D42" s="112" t="n">
        <f aca="false">-597918/27.0963</f>
        <v>-22066.4075907043</v>
      </c>
      <c r="E42" s="112" t="n">
        <v>0</v>
      </c>
      <c r="F42" s="112" t="n">
        <v>0</v>
      </c>
      <c r="G42" s="112" t="n">
        <v>-271316</v>
      </c>
      <c r="I42" s="112" t="n">
        <f aca="false">IF(MONTH($A42)=MONTH($A41),IF(G42=0,I41,G42),G42)</f>
        <v>-271316</v>
      </c>
      <c r="J42" s="112" t="n">
        <f aca="false">IF(MONTH($A42)=MONTH($A41),SUM(I42-I41),I42)</f>
        <v>1888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-279997</v>
      </c>
      <c r="N42" s="112" t="n">
        <f aca="false">SUM(J$6:J42)</f>
        <v>-279997</v>
      </c>
      <c r="P42" s="112" t="n">
        <f aca="false">D42/P$3</f>
        <v>-0.0220664075907043</v>
      </c>
      <c r="Q42" s="112" t="n">
        <f aca="false">E42/P$3</f>
        <v>0</v>
      </c>
      <c r="R42" s="112" t="n">
        <f aca="false">F42/R$3</f>
        <v>0</v>
      </c>
      <c r="S42" s="114" t="n">
        <f aca="false">J42/$R$3</f>
        <v>1.888</v>
      </c>
      <c r="T42" s="114" t="n">
        <f aca="false">L42/$R$3</f>
        <v>0</v>
      </c>
      <c r="U42" s="114" t="n">
        <f aca="false">I42/$R$3</f>
        <v>-271.316</v>
      </c>
      <c r="V42" s="114" t="n">
        <f aca="false">M42/$R$3</f>
        <v>-279.997</v>
      </c>
      <c r="W42" s="114" t="n">
        <f aca="false">N42/$R$3</f>
        <v>-279.997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Data'!$A$2:$B$8,MATCH(WEEKDAY('ARG Gas IM'!A43,3),'Master Data'!$A$2:$A$8,0),2)</f>
        <v>W</v>
      </c>
      <c r="D43" s="112" t="n">
        <f aca="false">-697571/27.0963</f>
        <v>-25744.142189155</v>
      </c>
      <c r="E43" s="112" t="n">
        <v>0</v>
      </c>
      <c r="F43" s="112" t="n">
        <v>0</v>
      </c>
      <c r="G43" s="112" t="n">
        <v>-269428</v>
      </c>
      <c r="I43" s="112" t="n">
        <f aca="false">IF(MONTH($A43)=MONTH($A42),IF(G43=0,I42,G43),G43)</f>
        <v>-269428</v>
      </c>
      <c r="J43" s="112" t="n">
        <f aca="false">IF(MONTH($A43)=MONTH($A42),SUM(I43-I42),I43)</f>
        <v>1888</v>
      </c>
      <c r="K43" s="112" t="n">
        <f aca="false">IF(WEEKDAY(A43,3)&gt;4,0,(IF(A43&lt;K$2,0,IF(A43&lt;=K$3,1,0))))</f>
        <v>0</v>
      </c>
      <c r="L43" s="112" t="n">
        <f aca="false">J43*K43</f>
        <v>0</v>
      </c>
      <c r="M43" s="112" t="n">
        <f aca="false">SUM(J$6:J43)</f>
        <v>-278109</v>
      </c>
      <c r="N43" s="112" t="n">
        <f aca="false">SUM(J$6:J43)</f>
        <v>-278109</v>
      </c>
      <c r="P43" s="112" t="n">
        <f aca="false">D43/P$3</f>
        <v>-0.025744142189155</v>
      </c>
      <c r="Q43" s="112" t="n">
        <f aca="false">E43/P$3</f>
        <v>0</v>
      </c>
      <c r="R43" s="112" t="n">
        <f aca="false">F43/R$3</f>
        <v>0</v>
      </c>
      <c r="S43" s="114" t="n">
        <f aca="false">J43/$R$3</f>
        <v>1.888</v>
      </c>
      <c r="T43" s="114" t="n">
        <f aca="false">L43/$R$3</f>
        <v>0</v>
      </c>
      <c r="U43" s="114" t="n">
        <f aca="false">I43/$R$3</f>
        <v>-269.428</v>
      </c>
      <c r="V43" s="114" t="n">
        <f aca="false">M43/$R$3</f>
        <v>-278.109</v>
      </c>
      <c r="W43" s="114" t="n">
        <f aca="false">N43/$R$3</f>
        <v>-278.109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Data'!$A$2:$B$8,MATCH(WEEKDAY('ARG Gas IM'!A44,3),'Master Data'!$A$2:$A$8,0),2)</f>
        <v>Th</v>
      </c>
      <c r="D44" s="112" t="n">
        <f aca="false">-797224/27.0963</f>
        <v>-29421.8767876057</v>
      </c>
      <c r="E44" s="112" t="n">
        <v>0</v>
      </c>
      <c r="F44" s="112" t="n">
        <v>0</v>
      </c>
      <c r="G44" s="112" t="n">
        <v>-267540</v>
      </c>
      <c r="I44" s="112" t="n">
        <f aca="false">IF(MONTH($A44)=MONTH($A43),IF(G44=0,I43,G44),G44)</f>
        <v>-267540</v>
      </c>
      <c r="J44" s="112" t="n">
        <f aca="false">IF(MONTH($A44)=MONTH($A43),SUM(I44-I43),I44)</f>
        <v>1888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-276221</v>
      </c>
      <c r="N44" s="112" t="n">
        <f aca="false">SUM(J$6:J44)</f>
        <v>-276221</v>
      </c>
      <c r="P44" s="112" t="n">
        <f aca="false">D44/P$3</f>
        <v>-0.0294218767876057</v>
      </c>
      <c r="Q44" s="112" t="n">
        <f aca="false">E44/P$3</f>
        <v>0</v>
      </c>
      <c r="R44" s="112" t="n">
        <f aca="false">F44/R$3</f>
        <v>0</v>
      </c>
      <c r="S44" s="114" t="n">
        <f aca="false">J44/$R$3</f>
        <v>1.888</v>
      </c>
      <c r="T44" s="114" t="n">
        <f aca="false">L44/$R$3</f>
        <v>0</v>
      </c>
      <c r="U44" s="114" t="n">
        <f aca="false">I44/$R$3</f>
        <v>-267.54</v>
      </c>
      <c r="V44" s="114" t="n">
        <f aca="false">M44/$R$3</f>
        <v>-276.221</v>
      </c>
      <c r="W44" s="114" t="n">
        <f aca="false">N44/$R$3</f>
        <v>-276.221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Data'!$A$2:$B$8,MATCH(WEEKDAY('ARG Gas IM'!A45,3),'Master Data'!$A$2:$A$8,0),2)</f>
        <v>F</v>
      </c>
      <c r="D45" s="112" t="n">
        <f aca="false">-847511/27.0963</f>
        <v>-31277.7390270996</v>
      </c>
      <c r="E45" s="112" t="n">
        <v>0</v>
      </c>
      <c r="F45" s="112" t="n">
        <v>0</v>
      </c>
      <c r="G45" s="112" t="n">
        <v>-242309</v>
      </c>
      <c r="I45" s="112" t="n">
        <f aca="false">IF(MONTH($A45)=MONTH($A44),IF(G45=0,I44,G45),G45)</f>
        <v>-242309</v>
      </c>
      <c r="J45" s="112" t="n">
        <f aca="false">IF(MONTH($A45)=MONTH($A44),SUM(I45-I44),I45)</f>
        <v>25231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-250990</v>
      </c>
      <c r="N45" s="112" t="n">
        <f aca="false">SUM(J$6:J45)</f>
        <v>-250990</v>
      </c>
      <c r="P45" s="112" t="n">
        <f aca="false">D45/P$3</f>
        <v>-0.0312777390270996</v>
      </c>
      <c r="Q45" s="112" t="n">
        <f aca="false">E45/P$3</f>
        <v>0</v>
      </c>
      <c r="R45" s="112" t="n">
        <f aca="false">F45/R$3</f>
        <v>0</v>
      </c>
      <c r="S45" s="114" t="n">
        <f aca="false">J45/$R$3</f>
        <v>25.231</v>
      </c>
      <c r="T45" s="114" t="n">
        <f aca="false">L45/$R$3</f>
        <v>0</v>
      </c>
      <c r="U45" s="114" t="n">
        <f aca="false">I45/$R$3</f>
        <v>-242.309</v>
      </c>
      <c r="V45" s="114" t="n">
        <f aca="false">M45/$R$3</f>
        <v>-250.99</v>
      </c>
      <c r="W45" s="114" t="n">
        <f aca="false">N45/$R$3</f>
        <v>-250.99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Data'!$A$2:$B$8,MATCH(WEEKDAY('ARG Gas IM'!A46,3),'Master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-242309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-250990</v>
      </c>
      <c r="N46" s="112" t="n">
        <f aca="false">SUM(J$6:J46)</f>
        <v>-250990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-242.309</v>
      </c>
      <c r="V46" s="114" t="n">
        <f aca="false">M46/$R$3</f>
        <v>-250.99</v>
      </c>
      <c r="W46" s="114" t="n">
        <f aca="false">N46/$R$3</f>
        <v>-250.99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Data'!$A$2:$B$8,MATCH(WEEKDAY('ARG Gas IM'!A47,3),'Master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-242309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-250990</v>
      </c>
      <c r="N47" s="112" t="n">
        <f aca="false">SUM(J$6:J47)</f>
        <v>-250990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-242.309</v>
      </c>
      <c r="V47" s="114" t="n">
        <f aca="false">M47/$R$3</f>
        <v>-250.99</v>
      </c>
      <c r="W47" s="114" t="n">
        <f aca="false">N47/$R$3</f>
        <v>-250.99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Data'!$A$2:$B$8,MATCH(WEEKDAY('ARG Gas IM'!A48,3),'Master Data'!$A$2:$A$8,0),2)</f>
        <v>M</v>
      </c>
      <c r="D48" s="112" t="n">
        <f aca="false">-47752/27.0963</f>
        <v>-1762.30703084923</v>
      </c>
      <c r="E48" s="112" t="n">
        <v>0</v>
      </c>
      <c r="F48" s="112" t="n">
        <v>0</v>
      </c>
      <c r="G48" s="112" t="n">
        <v>-266127</v>
      </c>
      <c r="I48" s="112" t="n">
        <f aca="false">IF(MONTH($A48)=MONTH($A47),IF(G48=0,I47,G48),G48)</f>
        <v>-266127</v>
      </c>
      <c r="J48" s="112" t="n">
        <f aca="false">IF(MONTH($A48)=MONTH($A47),SUM(I48-I47),I48)</f>
        <v>-23818</v>
      </c>
      <c r="K48" s="112" t="n">
        <f aca="false">IF(WEEKDAY(A48,3)&gt;4,0,(IF(A48&lt;K$2,0,IF(A48&lt;=K$3,1,0))))</f>
        <v>0</v>
      </c>
      <c r="L48" s="112" t="n">
        <f aca="false">J48*K48</f>
        <v>-0</v>
      </c>
      <c r="M48" s="112" t="n">
        <f aca="false">SUM(J$6:J48)</f>
        <v>-274808</v>
      </c>
      <c r="N48" s="112" t="n">
        <f aca="false">SUM(J$6:J48)</f>
        <v>-274808</v>
      </c>
      <c r="P48" s="112" t="n">
        <f aca="false">D48/P$3</f>
        <v>-0.00176230703084923</v>
      </c>
      <c r="Q48" s="112" t="n">
        <f aca="false">E48/P$3</f>
        <v>0</v>
      </c>
      <c r="R48" s="112" t="n">
        <f aca="false">F48/R$3</f>
        <v>0</v>
      </c>
      <c r="S48" s="114" t="n">
        <f aca="false">J48/$R$3</f>
        <v>-23.818</v>
      </c>
      <c r="T48" s="114" t="n">
        <f aca="false">L48/$R$3</f>
        <v>-0</v>
      </c>
      <c r="U48" s="114" t="n">
        <f aca="false">I48/$R$3</f>
        <v>-266.127</v>
      </c>
      <c r="V48" s="114" t="n">
        <f aca="false">M48/$R$3</f>
        <v>-274.808</v>
      </c>
      <c r="W48" s="114" t="n">
        <f aca="false">N48/$R$3</f>
        <v>-274.808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Data'!$A$2:$B$8,MATCH(WEEKDAY('ARG Gas IM'!A49,3),'Master Data'!$A$2:$A$8,0),2)</f>
        <v>T</v>
      </c>
      <c r="D49" s="112" t="n">
        <f aca="false">-47752/27.0963</f>
        <v>-1762.30703084923</v>
      </c>
      <c r="E49" s="112" t="n">
        <v>0</v>
      </c>
      <c r="F49" s="112" t="n">
        <v>0</v>
      </c>
      <c r="G49" s="112" t="n">
        <v>-266273</v>
      </c>
      <c r="I49" s="112" t="n">
        <f aca="false">IF(MONTH($A49)=MONTH($A48),IF(G49=0,I48,G49),G49)</f>
        <v>-266273</v>
      </c>
      <c r="J49" s="112" t="n">
        <f aca="false">IF(MONTH($A49)=MONTH($A48),SUM(I49-I48),I49)</f>
        <v>-146</v>
      </c>
      <c r="K49" s="112" t="n">
        <f aca="false">IF(WEEKDAY(A49,3)&gt;4,0,(IF(A49&lt;K$2,0,IF(A49&lt;=K$3,1,0))))</f>
        <v>0</v>
      </c>
      <c r="L49" s="112" t="n">
        <f aca="false">J49*K49</f>
        <v>-0</v>
      </c>
      <c r="M49" s="112" t="n">
        <f aca="false">SUM(J$6:J49)</f>
        <v>-274954</v>
      </c>
      <c r="N49" s="112" t="n">
        <f aca="false">SUM(J$6:J49)</f>
        <v>-274954</v>
      </c>
      <c r="P49" s="112" t="n">
        <f aca="false">D49/P$3</f>
        <v>-0.00176230703084923</v>
      </c>
      <c r="Q49" s="112" t="n">
        <f aca="false">E49/P$3</f>
        <v>0</v>
      </c>
      <c r="R49" s="112" t="n">
        <f aca="false">F49/R$3</f>
        <v>0</v>
      </c>
      <c r="S49" s="114" t="n">
        <f aca="false">J49/$R$3</f>
        <v>-0.146</v>
      </c>
      <c r="T49" s="114" t="n">
        <f aca="false">L49/$R$3</f>
        <v>-0</v>
      </c>
      <c r="U49" s="114" t="n">
        <f aca="false">I49/$R$3</f>
        <v>-266.273</v>
      </c>
      <c r="V49" s="114" t="n">
        <f aca="false">M49/$R$3</f>
        <v>-274.954</v>
      </c>
      <c r="W49" s="114" t="n">
        <f aca="false">N49/$R$3</f>
        <v>-274.954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Data'!$A$2:$B$8,MATCH(WEEKDAY('ARG Gas IM'!A50,3),'Master Data'!$A$2:$A$8,0),2)</f>
        <v>W</v>
      </c>
      <c r="D50" s="112" t="n">
        <f aca="false">-47752/27.0963</f>
        <v>-1762.30703084923</v>
      </c>
      <c r="E50" s="112" t="n">
        <v>0</v>
      </c>
      <c r="F50" s="112" t="n">
        <v>0</v>
      </c>
      <c r="G50" s="112" t="n">
        <v>-266422</v>
      </c>
      <c r="I50" s="112" t="n">
        <f aca="false">IF(MONTH($A50)=MONTH($A49),IF(G50=0,I49,G50),G50)</f>
        <v>-266422</v>
      </c>
      <c r="J50" s="112" t="n">
        <f aca="false">IF(MONTH($A50)=MONTH($A49),SUM(I50-I49),I50)</f>
        <v>-149</v>
      </c>
      <c r="K50" s="112" t="n">
        <f aca="false">IF(WEEKDAY(A50,3)&gt;4,0,(IF(A50&lt;K$2,0,IF(A50&lt;=K$3,1,0))))</f>
        <v>0</v>
      </c>
      <c r="L50" s="112" t="n">
        <f aca="false">J50*K50</f>
        <v>-0</v>
      </c>
      <c r="M50" s="112" t="n">
        <f aca="false">SUM(J$6:J50)</f>
        <v>-275103</v>
      </c>
      <c r="N50" s="112" t="n">
        <f aca="false">SUM(J$6:J50)</f>
        <v>-275103</v>
      </c>
      <c r="P50" s="112" t="n">
        <f aca="false">D50/P$3</f>
        <v>-0.00176230703084923</v>
      </c>
      <c r="Q50" s="112" t="n">
        <f aca="false">E50/P$3</f>
        <v>0</v>
      </c>
      <c r="R50" s="112" t="n">
        <f aca="false">F50/R$3</f>
        <v>0</v>
      </c>
      <c r="S50" s="114" t="n">
        <f aca="false">J50/$R$3</f>
        <v>-0.149</v>
      </c>
      <c r="T50" s="114" t="n">
        <f aca="false">L50/$R$3</f>
        <v>-0</v>
      </c>
      <c r="U50" s="114" t="n">
        <f aca="false">I50/$R$3</f>
        <v>-266.422</v>
      </c>
      <c r="V50" s="114" t="n">
        <f aca="false">M50/$R$3</f>
        <v>-275.103</v>
      </c>
      <c r="W50" s="114" t="n">
        <f aca="false">N50/$R$3</f>
        <v>-275.103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Data'!$A$2:$B$8,MATCH(WEEKDAY('ARG Gas IM'!A51,3),'Master Data'!$A$2:$A$8,0),2)</f>
        <v>Th</v>
      </c>
      <c r="D51" s="112" t="n">
        <f aca="false">-47752/27.0963</f>
        <v>-1762.30703084923</v>
      </c>
      <c r="E51" s="112" t="n">
        <v>0</v>
      </c>
      <c r="F51" s="112" t="n">
        <v>0</v>
      </c>
      <c r="G51" s="112" t="n">
        <v>-266570</v>
      </c>
      <c r="I51" s="112" t="n">
        <f aca="false">IF(MONTH($A51)=MONTH($A50),IF(G51=0,I50,G51),G51)</f>
        <v>-266570</v>
      </c>
      <c r="J51" s="112" t="n">
        <f aca="false">IF(MONTH($A51)=MONTH($A50),SUM(I51-I50),I51)</f>
        <v>-148</v>
      </c>
      <c r="K51" s="112" t="n">
        <f aca="false">IF(WEEKDAY(A51,3)&gt;4,0,(IF(A51&lt;K$2,0,IF(A51&lt;=K$3,1,0))))</f>
        <v>0</v>
      </c>
      <c r="L51" s="112" t="n">
        <f aca="false">J51*K51</f>
        <v>-0</v>
      </c>
      <c r="M51" s="112" t="n">
        <f aca="false">SUM(J$6:J51)</f>
        <v>-275251</v>
      </c>
      <c r="N51" s="112" t="n">
        <f aca="false">SUM(J$6:J51)</f>
        <v>-275251</v>
      </c>
      <c r="P51" s="112" t="n">
        <f aca="false">D51/P$3</f>
        <v>-0.00176230703084923</v>
      </c>
      <c r="Q51" s="112" t="n">
        <f aca="false">E51/P$3</f>
        <v>0</v>
      </c>
      <c r="R51" s="112" t="n">
        <f aca="false">F51/R$3</f>
        <v>0</v>
      </c>
      <c r="S51" s="114" t="n">
        <f aca="false">J51/$R$3</f>
        <v>-0.148</v>
      </c>
      <c r="T51" s="114" t="n">
        <f aca="false">L51/$R$3</f>
        <v>-0</v>
      </c>
      <c r="U51" s="114" t="n">
        <f aca="false">I51/$R$3</f>
        <v>-266.57</v>
      </c>
      <c r="V51" s="114" t="n">
        <f aca="false">M51/$R$3</f>
        <v>-275.251</v>
      </c>
      <c r="W51" s="114" t="n">
        <f aca="false">N51/$R$3</f>
        <v>-275.251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Data'!$A$2:$B$8,MATCH(WEEKDAY('ARG Gas IM'!A52,3),'Master Data'!$A$2:$A$8,0),2)</f>
        <v>F</v>
      </c>
      <c r="D52" s="112" t="n">
        <f aca="false">-47752/27.0963</f>
        <v>-1762.30703084923</v>
      </c>
      <c r="E52" s="112" t="n">
        <v>0</v>
      </c>
      <c r="F52" s="112" t="n">
        <v>0</v>
      </c>
      <c r="G52" s="112" t="n">
        <v>-266717</v>
      </c>
      <c r="I52" s="112" t="n">
        <f aca="false">IF(MONTH($A52)=MONTH($A51),IF(G52=0,I51,G52),G52)</f>
        <v>-266717</v>
      </c>
      <c r="J52" s="112" t="n">
        <f aca="false">IF(MONTH($A52)=MONTH($A51),SUM(I52-I51),I52)</f>
        <v>-147</v>
      </c>
      <c r="K52" s="112" t="n">
        <f aca="false">IF(WEEKDAY(A52,3)&gt;4,0,(IF(A52&lt;K$2,0,IF(A52&lt;=K$3,1,0))))</f>
        <v>0</v>
      </c>
      <c r="L52" s="112" t="n">
        <f aca="false">J52*K52</f>
        <v>-0</v>
      </c>
      <c r="M52" s="112" t="n">
        <f aca="false">SUM(J$6:J52)</f>
        <v>-275398</v>
      </c>
      <c r="N52" s="112" t="n">
        <f aca="false">SUM(J$6:J52)</f>
        <v>-275398</v>
      </c>
      <c r="P52" s="112" t="n">
        <f aca="false">D52/P$3</f>
        <v>-0.00176230703084923</v>
      </c>
      <c r="Q52" s="112" t="n">
        <f aca="false">E52/P$3</f>
        <v>0</v>
      </c>
      <c r="R52" s="112" t="n">
        <f aca="false">F52/R$3</f>
        <v>0</v>
      </c>
      <c r="S52" s="114" t="n">
        <f aca="false">J52/$R$3</f>
        <v>-0.147</v>
      </c>
      <c r="T52" s="114" t="n">
        <f aca="false">L52/$R$3</f>
        <v>-0</v>
      </c>
      <c r="U52" s="114" t="n">
        <f aca="false">I52/$R$3</f>
        <v>-266.717</v>
      </c>
      <c r="V52" s="114" t="n">
        <f aca="false">M52/$R$3</f>
        <v>-275.398</v>
      </c>
      <c r="W52" s="114" t="n">
        <f aca="false">N52/$R$3</f>
        <v>-275.398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Data'!$A$2:$B$8,MATCH(WEEKDAY('ARG Gas IM'!A53,3),'Master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-266717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-275398</v>
      </c>
      <c r="N53" s="112" t="n">
        <f aca="false">SUM(J$6:J53)</f>
        <v>-275398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-266.717</v>
      </c>
      <c r="V53" s="114" t="n">
        <f aca="false">M53/$R$3</f>
        <v>-275.398</v>
      </c>
      <c r="W53" s="114" t="n">
        <f aca="false">N53/$R$3</f>
        <v>-275.398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Data'!$A$2:$B$8,MATCH(WEEKDAY('ARG Gas IM'!A54,3),'Master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-266717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-275398</v>
      </c>
      <c r="N54" s="112" t="n">
        <f aca="false">SUM(J$6:J54)</f>
        <v>-275398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-266.717</v>
      </c>
      <c r="V54" s="114" t="n">
        <f aca="false">M54/$R$3</f>
        <v>-275.398</v>
      </c>
      <c r="W54" s="114" t="n">
        <f aca="false">N54/$R$3</f>
        <v>-275.398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Data'!$A$2:$B$8,MATCH(WEEKDAY('ARG Gas IM'!A55,3),'Master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-266717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-275398</v>
      </c>
      <c r="N55" s="112" t="n">
        <f aca="false">SUM(J$6:J55)</f>
        <v>-275398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-266.717</v>
      </c>
      <c r="V55" s="114" t="n">
        <f aca="false">M55/$R$3</f>
        <v>-275.398</v>
      </c>
      <c r="W55" s="114" t="n">
        <f aca="false">N55/$R$3</f>
        <v>-275.398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Data'!$A$2:$B$8,MATCH(WEEKDAY('ARG Gas IM'!A56,3),'Master Data'!$A$2:$A$8,0),2)</f>
        <v>T</v>
      </c>
      <c r="D56" s="112" t="n">
        <f aca="false">-47752/27.0963</f>
        <v>-1762.30703084923</v>
      </c>
      <c r="E56" s="112" t="n">
        <v>0</v>
      </c>
      <c r="F56" s="112" t="n">
        <v>0</v>
      </c>
      <c r="G56" s="112" t="n">
        <v>-267312</v>
      </c>
      <c r="I56" s="112" t="n">
        <f aca="false">IF(MONTH($A56)=MONTH($A55),IF(G56=0,I55,G56),G56)</f>
        <v>-267312</v>
      </c>
      <c r="J56" s="112" t="n">
        <f aca="false">IF(MONTH($A56)=MONTH($A55),SUM(I56-I55),I56)</f>
        <v>-595</v>
      </c>
      <c r="K56" s="112" t="n">
        <f aca="false">IF(WEEKDAY(A56,3)&gt;4,0,(IF(A56&lt;K$2,0,IF(A56&lt;=K$3,1,0))))</f>
        <v>0</v>
      </c>
      <c r="L56" s="112" t="n">
        <f aca="false">J56*K56</f>
        <v>-0</v>
      </c>
      <c r="M56" s="112" t="n">
        <f aca="false">SUM(J$6:J56)</f>
        <v>-275993</v>
      </c>
      <c r="N56" s="112" t="n">
        <f aca="false">SUM(J$6:J56)</f>
        <v>-275993</v>
      </c>
      <c r="P56" s="112" t="n">
        <f aca="false">D56/P$3</f>
        <v>-0.00176230703084923</v>
      </c>
      <c r="Q56" s="112" t="n">
        <f aca="false">E56/P$3</f>
        <v>0</v>
      </c>
      <c r="R56" s="112" t="n">
        <f aca="false">F56/R$3</f>
        <v>0</v>
      </c>
      <c r="S56" s="114" t="n">
        <f aca="false">J56/$R$3</f>
        <v>-0.595</v>
      </c>
      <c r="T56" s="114" t="n">
        <f aca="false">L56/$R$3</f>
        <v>-0</v>
      </c>
      <c r="U56" s="114" t="n">
        <f aca="false">I56/$R$3</f>
        <v>-267.312</v>
      </c>
      <c r="V56" s="114" t="n">
        <f aca="false">M56/$R$3</f>
        <v>-275.993</v>
      </c>
      <c r="W56" s="114" t="n">
        <f aca="false">N56/$R$3</f>
        <v>-275.993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Data'!$A$2:$B$8,MATCH(WEEKDAY('ARG Gas IM'!A57,3),'Master Data'!$A$2:$A$8,0),2)</f>
        <v>W</v>
      </c>
      <c r="D57" s="112" t="n">
        <f aca="false">-47752/27.0963</f>
        <v>-1762.30703084923</v>
      </c>
      <c r="E57" s="112" t="n">
        <v>0</v>
      </c>
      <c r="F57" s="112" t="n">
        <v>0</v>
      </c>
      <c r="G57" s="112" t="n">
        <v>-267462</v>
      </c>
      <c r="I57" s="112" t="n">
        <f aca="false">IF(MONTH($A57)=MONTH($A56),IF(G57=0,I56,G57),G57)</f>
        <v>-267462</v>
      </c>
      <c r="J57" s="112" t="n">
        <f aca="false">IF(MONTH($A57)=MONTH($A56),SUM(I57-I56),I57)</f>
        <v>-150</v>
      </c>
      <c r="K57" s="112" t="n">
        <f aca="false">IF(WEEKDAY(A57,3)&gt;4,0,(IF(A57&lt;K$2,0,IF(A57&lt;=K$3,1,0))))</f>
        <v>0</v>
      </c>
      <c r="L57" s="112" t="n">
        <f aca="false">J57*K57</f>
        <v>-0</v>
      </c>
      <c r="M57" s="112" t="n">
        <f aca="false">SUM(J$6:J57)</f>
        <v>-276143</v>
      </c>
      <c r="N57" s="112" t="n">
        <f aca="false">SUM(J$6:J57)</f>
        <v>-276143</v>
      </c>
      <c r="P57" s="112" t="n">
        <f aca="false">D57/P$3</f>
        <v>-0.00176230703084923</v>
      </c>
      <c r="Q57" s="112" t="n">
        <f aca="false">E57/P$3</f>
        <v>0</v>
      </c>
      <c r="R57" s="112" t="n">
        <f aca="false">F57/R$3</f>
        <v>0</v>
      </c>
      <c r="S57" s="114" t="n">
        <f aca="false">J57/$R$3</f>
        <v>-0.15</v>
      </c>
      <c r="T57" s="114" t="n">
        <f aca="false">L57/$R$3</f>
        <v>-0</v>
      </c>
      <c r="U57" s="114" t="n">
        <f aca="false">I57/$R$3</f>
        <v>-267.462</v>
      </c>
      <c r="V57" s="114" t="n">
        <f aca="false">M57/$R$3</f>
        <v>-276.143</v>
      </c>
      <c r="W57" s="114" t="n">
        <f aca="false">N57/$R$3</f>
        <v>-276.143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Data'!$A$2:$B$8,MATCH(WEEKDAY('ARG Gas IM'!A58,3),'Master Data'!$A$2:$A$8,0),2)</f>
        <v>Th</v>
      </c>
      <c r="D58" s="112" t="n">
        <f aca="false">46952/27.0963</f>
        <v>1732.78270464971</v>
      </c>
      <c r="E58" s="112" t="n">
        <v>0</v>
      </c>
      <c r="F58" s="112" t="n">
        <v>0</v>
      </c>
      <c r="G58" s="112" t="n">
        <v>-274515</v>
      </c>
      <c r="I58" s="112" t="n">
        <f aca="false">IF(MONTH($A58)=MONTH($A57),IF(G58=0,I57,G58),G58)</f>
        <v>-274515</v>
      </c>
      <c r="J58" s="112" t="n">
        <f aca="false">IF(MONTH($A58)=MONTH($A57),SUM(I58-I57),I58)</f>
        <v>-7053</v>
      </c>
      <c r="K58" s="112" t="n">
        <f aca="false">IF(WEEKDAY(A58,3)&gt;4,0,(IF(A58&lt;K$2,0,IF(A58&lt;=K$3,1,0))))</f>
        <v>0</v>
      </c>
      <c r="L58" s="112" t="n">
        <f aca="false">J58*K58</f>
        <v>-0</v>
      </c>
      <c r="M58" s="112" t="n">
        <f aca="false">SUM(J$6:J58)</f>
        <v>-283196</v>
      </c>
      <c r="N58" s="112" t="n">
        <f aca="false">SUM(J$6:J58)</f>
        <v>-283196</v>
      </c>
      <c r="P58" s="112" t="n">
        <f aca="false">D58/P$3</f>
        <v>0.00173278270464971</v>
      </c>
      <c r="Q58" s="112" t="n">
        <f aca="false">E58/P$3</f>
        <v>0</v>
      </c>
      <c r="R58" s="112" t="n">
        <f aca="false">F58/R$3</f>
        <v>0</v>
      </c>
      <c r="S58" s="114" t="n">
        <f aca="false">J58/$R$3</f>
        <v>-7.053</v>
      </c>
      <c r="T58" s="114" t="n">
        <f aca="false">L58/$R$3</f>
        <v>-0</v>
      </c>
      <c r="U58" s="114" t="n">
        <f aca="false">I58/$R$3</f>
        <v>-274.515</v>
      </c>
      <c r="V58" s="114" t="n">
        <f aca="false">M58/$R$3</f>
        <v>-283.196</v>
      </c>
      <c r="W58" s="114" t="n">
        <f aca="false">N58/$R$3</f>
        <v>-283.196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Data'!$A$2:$B$8,MATCH(WEEKDAY('ARG Gas IM'!A59,3),'Master Data'!$A$2:$A$8,0),2)</f>
        <v>F</v>
      </c>
      <c r="D59" s="112" t="n">
        <f aca="false">41732/27.0963</f>
        <v>1540.13647619786</v>
      </c>
      <c r="E59" s="112" t="n">
        <v>0</v>
      </c>
      <c r="F59" s="112" t="n">
        <v>0</v>
      </c>
      <c r="G59" s="112" t="n">
        <v>-274555</v>
      </c>
      <c r="I59" s="112" t="n">
        <f aca="false">IF(MONTH($A59)=MONTH($A58),IF(G59=0,I58,G59),G59)</f>
        <v>-274555</v>
      </c>
      <c r="J59" s="112" t="n">
        <f aca="false">IF(MONTH($A59)=MONTH($A58),SUM(I59-I58),I59)</f>
        <v>-40</v>
      </c>
      <c r="K59" s="112" t="n">
        <f aca="false">IF(WEEKDAY(A59,3)&gt;4,0,(IF(A59&lt;K$2,0,IF(A59&lt;=K$3,1,0))))</f>
        <v>0</v>
      </c>
      <c r="L59" s="112" t="n">
        <f aca="false">J59*K59</f>
        <v>-0</v>
      </c>
      <c r="M59" s="112" t="n">
        <f aca="false">SUM(J$6:J59)</f>
        <v>-283236</v>
      </c>
      <c r="N59" s="112" t="n">
        <f aca="false">SUM(J$6:J59)</f>
        <v>-283236</v>
      </c>
      <c r="P59" s="112" t="n">
        <f aca="false">D59/P$3</f>
        <v>0.00154013647619786</v>
      </c>
      <c r="Q59" s="112" t="n">
        <f aca="false">E59/P$3</f>
        <v>0</v>
      </c>
      <c r="R59" s="112" t="n">
        <f aca="false">F59/R$3</f>
        <v>0</v>
      </c>
      <c r="S59" s="114" t="n">
        <f aca="false">J59/$R$3</f>
        <v>-0.04</v>
      </c>
      <c r="T59" s="114" t="n">
        <f aca="false">L59/$R$3</f>
        <v>-0</v>
      </c>
      <c r="U59" s="114" t="n">
        <f aca="false">I59/$R$3</f>
        <v>-274.555</v>
      </c>
      <c r="V59" s="114" t="n">
        <f aca="false">M59/$R$3</f>
        <v>-283.236</v>
      </c>
      <c r="W59" s="114" t="n">
        <f aca="false">N59/$R$3</f>
        <v>-283.236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Data'!$A$2:$B$8,MATCH(WEEKDAY('ARG Gas IM'!A60,3),'Master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-274555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-283236</v>
      </c>
      <c r="N60" s="112" t="n">
        <f aca="false">SUM(J$6:J60)</f>
        <v>-283236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-274.555</v>
      </c>
      <c r="V60" s="114" t="n">
        <f aca="false">M60/$R$3</f>
        <v>-283.236</v>
      </c>
      <c r="W60" s="114" t="n">
        <f aca="false">N60/$R$3</f>
        <v>-283.236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Data'!$A$2:$B$8,MATCH(WEEKDAY('ARG Gas IM'!A61,3),'Master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-274555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-283236</v>
      </c>
      <c r="N61" s="112" t="n">
        <f aca="false">SUM(J$6:J61)</f>
        <v>-283236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-274.555</v>
      </c>
      <c r="V61" s="114" t="n">
        <f aca="false">M61/$R$3</f>
        <v>-283.236</v>
      </c>
      <c r="W61" s="114" t="n">
        <f aca="false">N61/$R$3</f>
        <v>-283.236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Data'!$A$2:$B$8,MATCH(WEEKDAY('ARG Gas IM'!A62,3),'Master Data'!$A$2:$A$8,0),2)</f>
        <v>M</v>
      </c>
      <c r="D62" s="112" t="n">
        <f aca="false">41732/27.0963</f>
        <v>1540.13647619786</v>
      </c>
      <c r="E62" s="112" t="n">
        <v>0</v>
      </c>
      <c r="F62" s="112" t="n">
        <v>0</v>
      </c>
      <c r="G62" s="112" t="n">
        <v>-274998</v>
      </c>
      <c r="I62" s="112" t="n">
        <f aca="false">IF(MONTH($A62)=MONTH($A61),IF(G62=0,I61,G62),G62)</f>
        <v>-274998</v>
      </c>
      <c r="J62" s="112" t="n">
        <f aca="false">IF(MONTH($A62)=MONTH($A61),SUM(I62-I61),I62)</f>
        <v>-443</v>
      </c>
      <c r="K62" s="112" t="n">
        <f aca="false">IF(WEEKDAY(A62,3)&gt;4,0,(IF(A62&lt;K$2,0,IF(A62&lt;=K$3,1,0))))</f>
        <v>0</v>
      </c>
      <c r="L62" s="112" t="n">
        <f aca="false">J62*K62</f>
        <v>-0</v>
      </c>
      <c r="M62" s="112" t="n">
        <f aca="false">SUM(J$6:J62)</f>
        <v>-283679</v>
      </c>
      <c r="N62" s="112" t="n">
        <f aca="false">SUM(J$6:J62)</f>
        <v>-283679</v>
      </c>
      <c r="P62" s="112" t="n">
        <f aca="false">D62/P$3</f>
        <v>0.00154013647619786</v>
      </c>
      <c r="Q62" s="112" t="n">
        <f aca="false">E62/P$3</f>
        <v>0</v>
      </c>
      <c r="R62" s="112" t="n">
        <f aca="false">F62/R$3</f>
        <v>0</v>
      </c>
      <c r="S62" s="114" t="n">
        <f aca="false">J62/$R$3</f>
        <v>-0.443</v>
      </c>
      <c r="T62" s="114" t="n">
        <f aca="false">L62/$R$3</f>
        <v>-0</v>
      </c>
      <c r="U62" s="114" t="n">
        <f aca="false">I62/$R$3</f>
        <v>-274.998</v>
      </c>
      <c r="V62" s="114" t="n">
        <f aca="false">M62/$R$3</f>
        <v>-283.679</v>
      </c>
      <c r="W62" s="114" t="n">
        <f aca="false">N62/$R$3</f>
        <v>-283.679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Data'!$A$2:$B$8,MATCH(WEEKDAY('ARG Gas IM'!A63,3),'Master Data'!$A$2:$A$8,0),2)</f>
        <v>T</v>
      </c>
      <c r="D63" s="112" t="n">
        <f aca="false">-56025/27.0963</f>
        <v>-2067.62546916</v>
      </c>
      <c r="E63" s="112" t="n">
        <v>0</v>
      </c>
      <c r="F63" s="112" t="n">
        <v>0</v>
      </c>
      <c r="G63" s="112" t="n">
        <v>-278041</v>
      </c>
      <c r="I63" s="112" t="n">
        <f aca="false">IF(MONTH($A63)=MONTH($A62),IF(G63=0,I62,G63),G63)</f>
        <v>-278041</v>
      </c>
      <c r="J63" s="112" t="n">
        <f aca="false">IF(MONTH($A63)=MONTH($A62),SUM(I63-I62),I63)</f>
        <v>-3043</v>
      </c>
      <c r="K63" s="112" t="n">
        <f aca="false">IF(WEEKDAY(A63,3)&gt;4,0,(IF(A63&lt;K$2,0,IF(A63&lt;=K$3,1,0))))</f>
        <v>0</v>
      </c>
      <c r="L63" s="112" t="n">
        <f aca="false">J63*K63</f>
        <v>-0</v>
      </c>
      <c r="M63" s="112" t="n">
        <f aca="false">SUM(J$6:J63)</f>
        <v>-286722</v>
      </c>
      <c r="N63" s="112" t="n">
        <f aca="false">SUM(J$6:J63)</f>
        <v>-286722</v>
      </c>
      <c r="P63" s="112" t="n">
        <f aca="false">D63/P$3</f>
        <v>-0.00206762546916</v>
      </c>
      <c r="Q63" s="112" t="n">
        <f aca="false">E63/P$3</f>
        <v>0</v>
      </c>
      <c r="R63" s="112" t="n">
        <f aca="false">F63/R$3</f>
        <v>0</v>
      </c>
      <c r="S63" s="114" t="n">
        <f aca="false">J63/$R$3</f>
        <v>-3.043</v>
      </c>
      <c r="T63" s="114" t="n">
        <f aca="false">L63/$R$3</f>
        <v>-0</v>
      </c>
      <c r="U63" s="114" t="n">
        <f aca="false">I63/$R$3</f>
        <v>-278.041</v>
      </c>
      <c r="V63" s="114" t="n">
        <f aca="false">M63/$R$3</f>
        <v>-286.722</v>
      </c>
      <c r="W63" s="114" t="n">
        <f aca="false">N63/$R$3</f>
        <v>-286.722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Data'!$A$2:$B$8,MATCH(WEEKDAY('ARG Gas IM'!A64,3),'Master Data'!$A$2:$A$8,0),2)</f>
        <v>W</v>
      </c>
      <c r="D64" s="112" t="n">
        <f aca="false">55253/27.0963</f>
        <v>2039.13449437746</v>
      </c>
      <c r="E64" s="112" t="n">
        <v>0</v>
      </c>
      <c r="F64" s="112" t="n">
        <v>0</v>
      </c>
      <c r="G64" s="112" t="n">
        <f aca="false">-337664+256232</f>
        <v>-81432</v>
      </c>
      <c r="I64" s="112" t="n">
        <f aca="false">IF(MONTH($A64)=MONTH($A63),IF(G64=0,I63,G64),G64)</f>
        <v>-81432</v>
      </c>
      <c r="J64" s="112" t="n">
        <f aca="false">IF(MONTH($A64)=MONTH($A63),SUM(I64-I63),I64)</f>
        <v>196609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-90113</v>
      </c>
      <c r="N64" s="112" t="n">
        <f aca="false">SUM(J$6:J64)</f>
        <v>-90113</v>
      </c>
      <c r="P64" s="112" t="n">
        <f aca="false">D64/P$3</f>
        <v>0.00203913449437746</v>
      </c>
      <c r="Q64" s="112" t="n">
        <f aca="false">E64/P$3</f>
        <v>0</v>
      </c>
      <c r="R64" s="112" t="n">
        <f aca="false">F64/R$3</f>
        <v>0</v>
      </c>
      <c r="S64" s="114" t="n">
        <f aca="false">J64/$R$3</f>
        <v>196.609</v>
      </c>
      <c r="T64" s="114" t="n">
        <f aca="false">L64/$R$3</f>
        <v>0</v>
      </c>
      <c r="U64" s="114" t="n">
        <f aca="false">I64/$R$3</f>
        <v>-81.432</v>
      </c>
      <c r="V64" s="114" t="n">
        <f aca="false">M64/$R$3</f>
        <v>-90.113</v>
      </c>
      <c r="W64" s="114" t="n">
        <f aca="false">N64/$R$3</f>
        <v>-90.113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Data'!$A$2:$B$8,MATCH(WEEKDAY('ARG Gas IM'!A65,3),'Master Data'!$A$2:$A$8,0),2)</f>
        <v>Th</v>
      </c>
      <c r="D65" s="112" t="n">
        <f aca="false">-99653/27.0963</f>
        <v>-3677.73459845071</v>
      </c>
      <c r="E65" s="112" t="n">
        <v>0</v>
      </c>
      <c r="F65" s="112" t="n">
        <v>0</v>
      </c>
      <c r="G65" s="112" t="n">
        <v>-306173</v>
      </c>
      <c r="I65" s="112" t="n">
        <f aca="false">IF(MONTH($A65)=MONTH($A64),IF(G65=0,I64,G65),G65)</f>
        <v>-306173</v>
      </c>
      <c r="J65" s="112" t="n">
        <f aca="false">IF(MONTH($A65)=MONTH($A64),SUM(I65-I64),I65)</f>
        <v>-306173</v>
      </c>
      <c r="K65" s="112" t="n">
        <f aca="false">IF(WEEKDAY(A65,3)&gt;4,0,(IF(A65&lt;K$2,0,IF(A65&lt;=K$3,1,0))))</f>
        <v>0</v>
      </c>
      <c r="L65" s="112" t="n">
        <f aca="false">J65*K65</f>
        <v>-0</v>
      </c>
      <c r="M65" s="112" t="n">
        <f aca="false">SUM(J$6:J65)</f>
        <v>-396286</v>
      </c>
      <c r="N65" s="112" t="n">
        <f aca="false">SUM(J$6:J65)</f>
        <v>-396286</v>
      </c>
      <c r="P65" s="112" t="n">
        <f aca="false">D65/P$3</f>
        <v>-0.00367773459845071</v>
      </c>
      <c r="Q65" s="112" t="n">
        <f aca="false">E65/P$3</f>
        <v>0</v>
      </c>
      <c r="R65" s="112" t="n">
        <f aca="false">F65/R$3</f>
        <v>0</v>
      </c>
      <c r="S65" s="114" t="n">
        <f aca="false">J65/$R$3</f>
        <v>-306.173</v>
      </c>
      <c r="T65" s="114" t="n">
        <f aca="false">L65/$R$3</f>
        <v>-0</v>
      </c>
      <c r="U65" s="114" t="n">
        <f aca="false">I65/$R$3</f>
        <v>-306.173</v>
      </c>
      <c r="V65" s="114" t="n">
        <f aca="false">M65/$R$3</f>
        <v>-396.286</v>
      </c>
      <c r="W65" s="114" t="n">
        <f aca="false">N65/$R$3</f>
        <v>-396.286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Data'!$A$2:$B$8,MATCH(WEEKDAY('ARG Gas IM'!A66,3),'Master Data'!$A$2:$A$8,0),2)</f>
        <v>F</v>
      </c>
      <c r="D66" s="112" t="n">
        <f aca="false">-199306/27.0963</f>
        <v>-7355.46919690142</v>
      </c>
      <c r="E66" s="112" t="n">
        <v>0</v>
      </c>
      <c r="F66" s="112" t="n">
        <v>0</v>
      </c>
      <c r="G66" s="112" t="n">
        <v>-304122</v>
      </c>
      <c r="I66" s="112" t="n">
        <f aca="false">IF(MONTH($A66)=MONTH($A65),IF(G66=0,I65,G66),G66)</f>
        <v>-304122</v>
      </c>
      <c r="J66" s="112" t="n">
        <f aca="false">IF(MONTH($A66)=MONTH($A65),SUM(I66-I65),I66)</f>
        <v>2051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-394235</v>
      </c>
      <c r="N66" s="112" t="n">
        <f aca="false">SUM(J$6:J66)</f>
        <v>-394235</v>
      </c>
      <c r="P66" s="112" t="n">
        <f aca="false">D66/P$3</f>
        <v>-0.00735546919690142</v>
      </c>
      <c r="Q66" s="112" t="n">
        <f aca="false">E66/P$3</f>
        <v>0</v>
      </c>
      <c r="R66" s="112" t="n">
        <f aca="false">F66/R$3</f>
        <v>0</v>
      </c>
      <c r="S66" s="114" t="n">
        <f aca="false">J66/$R$3</f>
        <v>2.051</v>
      </c>
      <c r="T66" s="114" t="n">
        <f aca="false">L66/$R$3</f>
        <v>0</v>
      </c>
      <c r="U66" s="114" t="n">
        <f aca="false">I66/$R$3</f>
        <v>-304.122</v>
      </c>
      <c r="V66" s="114" t="n">
        <f aca="false">M66/$R$3</f>
        <v>-394.235</v>
      </c>
      <c r="W66" s="114" t="n">
        <f aca="false">N66/$R$3</f>
        <v>-394.235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Data'!$A$2:$B$8,MATCH(WEEKDAY('ARG Gas IM'!A67,3),'Master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-304122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-394235</v>
      </c>
      <c r="N67" s="112" t="n">
        <f aca="false">SUM(J$6:J67)</f>
        <v>-394235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-304.122</v>
      </c>
      <c r="V67" s="114" t="n">
        <f aca="false">M67/$R$3</f>
        <v>-394.235</v>
      </c>
      <c r="W67" s="114" t="n">
        <f aca="false">N67/$R$3</f>
        <v>-394.235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Data'!$A$2:$B$8,MATCH(WEEKDAY('ARG Gas IM'!A68,3),'Master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-304122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-394235</v>
      </c>
      <c r="N68" s="112" t="n">
        <f aca="false">SUM(J$6:J68)</f>
        <v>-394235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-304.122</v>
      </c>
      <c r="V68" s="114" t="n">
        <f aca="false">M68/$R$3</f>
        <v>-394.235</v>
      </c>
      <c r="W68" s="114" t="n">
        <f aca="false">N68/$R$3</f>
        <v>-394.235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Data'!$A$2:$B$8,MATCH(WEEKDAY('ARG Gas IM'!A69,3),'Master Data'!$A$2:$A$8,0),2)</f>
        <v>M</v>
      </c>
      <c r="D69" s="112" t="n">
        <f aca="false">-98265/27.0963</f>
        <v>-3626.50989249455</v>
      </c>
      <c r="E69" s="112" t="n">
        <v>0</v>
      </c>
      <c r="F69" s="112" t="n">
        <v>0</v>
      </c>
      <c r="G69" s="112" t="n">
        <v>-293072</v>
      </c>
      <c r="I69" s="112" t="n">
        <f aca="false">IF(MONTH($A69)=MONTH($A68),IF(G69=0,I68,G69),G69)</f>
        <v>-293072</v>
      </c>
      <c r="J69" s="112" t="n">
        <f aca="false">IF(MONTH($A69)=MONTH($A68),SUM(I69-I68),I69)</f>
        <v>11050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-383185</v>
      </c>
      <c r="N69" s="112" t="n">
        <f aca="false">SUM(J$6:J69)</f>
        <v>-383185</v>
      </c>
      <c r="P69" s="112" t="n">
        <f aca="false">D69/P$3</f>
        <v>-0.00362650989249455</v>
      </c>
      <c r="Q69" s="112" t="n">
        <f aca="false">E69/P$3</f>
        <v>0</v>
      </c>
      <c r="R69" s="112" t="n">
        <f aca="false">F69/R$3</f>
        <v>0</v>
      </c>
      <c r="S69" s="114" t="n">
        <f aca="false">J69/$R$3</f>
        <v>11.05</v>
      </c>
      <c r="T69" s="114" t="n">
        <f aca="false">L69/$R$3</f>
        <v>0</v>
      </c>
      <c r="U69" s="114" t="n">
        <f aca="false">I69/$R$3</f>
        <v>-293.072</v>
      </c>
      <c r="V69" s="114" t="n">
        <f aca="false">M69/$R$3</f>
        <v>-383.185</v>
      </c>
      <c r="W69" s="114" t="n">
        <f aca="false">N69/$R$3</f>
        <v>-383.185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Data'!$A$2:$B$8,MATCH(WEEKDAY('ARG Gas IM'!A70,3),'Master Data'!$A$2:$A$8,0),2)</f>
        <v>T</v>
      </c>
      <c r="D70" s="112" t="n">
        <f aca="false">-117918/27.0963</f>
        <v>-4351.81187099346</v>
      </c>
      <c r="E70" s="112" t="n">
        <v>0</v>
      </c>
      <c r="F70" s="112" t="n">
        <v>0</v>
      </c>
      <c r="G70" s="112" t="n">
        <v>-270724</v>
      </c>
      <c r="I70" s="112" t="n">
        <f aca="false">IF(MONTH($A70)=MONTH($A69),IF(G70=0,I69,G70),G70)</f>
        <v>-270724</v>
      </c>
      <c r="J70" s="112" t="n">
        <f aca="false">IF(MONTH($A70)=MONTH($A69),SUM(I70-I69),I70)</f>
        <v>22348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-360837</v>
      </c>
      <c r="N70" s="112" t="n">
        <f aca="false">SUM(J$6:J70)</f>
        <v>-360837</v>
      </c>
      <c r="P70" s="112" t="n">
        <f aca="false">D70/P$3</f>
        <v>-0.00435181187099346</v>
      </c>
      <c r="Q70" s="112" t="n">
        <f aca="false">E70/P$3</f>
        <v>0</v>
      </c>
      <c r="R70" s="112" t="n">
        <f aca="false">F70/R$3</f>
        <v>0</v>
      </c>
      <c r="S70" s="114" t="n">
        <f aca="false">J70/$R$3</f>
        <v>22.348</v>
      </c>
      <c r="T70" s="114" t="n">
        <f aca="false">L70/$R$3</f>
        <v>0</v>
      </c>
      <c r="U70" s="114" t="n">
        <f aca="false">I70/$R$3</f>
        <v>-270.724</v>
      </c>
      <c r="V70" s="114" t="n">
        <f aca="false">M70/$R$3</f>
        <v>-360.837</v>
      </c>
      <c r="W70" s="114" t="n">
        <f aca="false">N70/$R$3</f>
        <v>-360.837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Data'!$A$2:$B$8,MATCH(WEEKDAY('ARG Gas IM'!A71,3),'Master Data'!$A$2:$A$8,0),2)</f>
        <v>W</v>
      </c>
      <c r="D71" s="112" t="n">
        <f aca="false">-137571/27.0963</f>
        <v>-5077.11384949237</v>
      </c>
      <c r="E71" s="112" t="n">
        <v>0</v>
      </c>
      <c r="F71" s="112" t="n">
        <v>0</v>
      </c>
      <c r="G71" s="112" t="n">
        <v>-269947</v>
      </c>
      <c r="I71" s="112" t="n">
        <f aca="false">IF(MONTH($A71)=MONTH($A70),IF(G71=0,I70,G71),G71)</f>
        <v>-269947</v>
      </c>
      <c r="J71" s="112" t="n">
        <f aca="false">IF(MONTH($A71)=MONTH($A70),SUM(I71-I70),I71)</f>
        <v>777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-360060</v>
      </c>
      <c r="N71" s="112" t="n">
        <f aca="false">SUM(J$6:J71)</f>
        <v>-360060</v>
      </c>
      <c r="P71" s="112" t="n">
        <f aca="false">D71/P$3</f>
        <v>-0.00507711384949237</v>
      </c>
      <c r="Q71" s="112" t="n">
        <f aca="false">E71/P$3</f>
        <v>0</v>
      </c>
      <c r="R71" s="112" t="n">
        <f aca="false">F71/R$3</f>
        <v>0</v>
      </c>
      <c r="S71" s="114" t="n">
        <f aca="false">J71/$R$3</f>
        <v>0.777</v>
      </c>
      <c r="T71" s="114" t="n">
        <f aca="false">L71/$R$3</f>
        <v>0</v>
      </c>
      <c r="U71" s="114" t="n">
        <f aca="false">I71/$R$3</f>
        <v>-269.947</v>
      </c>
      <c r="V71" s="114" t="n">
        <f aca="false">M71/$R$3</f>
        <v>-360.06</v>
      </c>
      <c r="W71" s="114" t="n">
        <f aca="false">N71/$R$3</f>
        <v>-360.06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Data'!$A$2:$B$8,MATCH(WEEKDAY('ARG Gas IM'!A72,3),'Master Data'!$A$2:$A$8,0),2)</f>
        <v>Th</v>
      </c>
      <c r="D72" s="112" t="n">
        <f aca="false">-30370/27.0963</f>
        <v>-1120.8172333492</v>
      </c>
      <c r="E72" s="112" t="n">
        <v>0</v>
      </c>
      <c r="F72" s="112" t="n">
        <v>0</v>
      </c>
      <c r="G72" s="112" t="n">
        <v>-265757</v>
      </c>
      <c r="I72" s="112" t="n">
        <f aca="false">IF(MONTH($A72)=MONTH($A71),IF(G72=0,I71,G72),G72)</f>
        <v>-265757</v>
      </c>
      <c r="J72" s="112" t="n">
        <f aca="false">IF(MONTH($A72)=MONTH($A71),SUM(I72-I71),I72)</f>
        <v>4190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-355870</v>
      </c>
      <c r="N72" s="112" t="n">
        <f aca="false">SUM(J$6:J72)</f>
        <v>-355870</v>
      </c>
      <c r="P72" s="112" t="n">
        <f aca="false">D72/P$3</f>
        <v>-0.0011208172333492</v>
      </c>
      <c r="Q72" s="112" t="n">
        <f aca="false">E72/P$3</f>
        <v>0</v>
      </c>
      <c r="R72" s="112" t="n">
        <f aca="false">F72/R$3</f>
        <v>0</v>
      </c>
      <c r="S72" s="114" t="n">
        <f aca="false">J72/$R$3</f>
        <v>4.19</v>
      </c>
      <c r="T72" s="114" t="n">
        <f aca="false">L72/$R$3</f>
        <v>0</v>
      </c>
      <c r="U72" s="114" t="n">
        <f aca="false">I72/$R$3</f>
        <v>-265.757</v>
      </c>
      <c r="V72" s="114" t="n">
        <f aca="false">M72/$R$3</f>
        <v>-355.87</v>
      </c>
      <c r="W72" s="114" t="n">
        <f aca="false">N72/$R$3</f>
        <v>-355.87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Data'!$A$2:$B$8,MATCH(WEEKDAY('ARG Gas IM'!A73,3),'Master Data'!$A$2:$A$8,0),2)</f>
        <v>F</v>
      </c>
      <c r="D73" s="112" t="n">
        <f aca="false">-44171/27.0963</f>
        <v>-1630.14876569864</v>
      </c>
      <c r="E73" s="112" t="n">
        <v>0</v>
      </c>
      <c r="F73" s="112" t="n">
        <v>0</v>
      </c>
      <c r="G73" s="112" t="n">
        <v>-950538</v>
      </c>
      <c r="I73" s="112" t="n">
        <f aca="false">IF(MONTH($A73)=MONTH($A72),IF(G73=0,I72,G73),G73)</f>
        <v>-950538</v>
      </c>
      <c r="J73" s="112" t="n">
        <f aca="false">IF(MONTH($A73)=MONTH($A72),SUM(I73-I72),I73)</f>
        <v>-684781</v>
      </c>
      <c r="K73" s="112" t="n">
        <f aca="false">IF(WEEKDAY(A73,3)&gt;4,0,(IF(A73&lt;K$2,0,IF(A73&lt;=K$3,1,0))))</f>
        <v>0</v>
      </c>
      <c r="L73" s="112" t="n">
        <f aca="false">J73*K73</f>
        <v>-0</v>
      </c>
      <c r="M73" s="112" t="n">
        <f aca="false">SUM(J$6:J73)</f>
        <v>-1040651</v>
      </c>
      <c r="N73" s="112" t="n">
        <f aca="false">SUM(J$6:J73)</f>
        <v>-1040651</v>
      </c>
      <c r="P73" s="112" t="n">
        <f aca="false">D73/P$3</f>
        <v>-0.00163014876569864</v>
      </c>
      <c r="Q73" s="112" t="n">
        <f aca="false">E73/P$3</f>
        <v>0</v>
      </c>
      <c r="R73" s="112" t="n">
        <f aca="false">F73/R$3</f>
        <v>0</v>
      </c>
      <c r="S73" s="114" t="n">
        <f aca="false">J73/$R$3</f>
        <v>-684.781</v>
      </c>
      <c r="T73" s="114" t="n">
        <f aca="false">L73/$R$3</f>
        <v>-0</v>
      </c>
      <c r="U73" s="114" t="n">
        <f aca="false">I73/$R$3</f>
        <v>-950.538</v>
      </c>
      <c r="V73" s="114" t="n">
        <f aca="false">M73/$R$3</f>
        <v>-1040.651</v>
      </c>
      <c r="W73" s="114" t="n">
        <f aca="false">N73/$R$3</f>
        <v>-1040.651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Data'!$A$2:$B$8,MATCH(WEEKDAY('ARG Gas IM'!A74,3),'Master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-950538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-1040651</v>
      </c>
      <c r="N74" s="112" t="n">
        <f aca="false">SUM(J$6:J74)</f>
        <v>-1040651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-950.538</v>
      </c>
      <c r="V74" s="114" t="n">
        <f aca="false">M74/$R$3</f>
        <v>-1040.651</v>
      </c>
      <c r="W74" s="114" t="n">
        <f aca="false">N74/$R$3</f>
        <v>-1040.651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Data'!$A$2:$B$8,MATCH(WEEKDAY('ARG Gas IM'!A75,3),'Master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-950538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-1040651</v>
      </c>
      <c r="N75" s="112" t="n">
        <f aca="false">SUM(J$6:J75)</f>
        <v>-1040651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-950.538</v>
      </c>
      <c r="V75" s="114" t="n">
        <f aca="false">M75/$R$3</f>
        <v>-1040.651</v>
      </c>
      <c r="W75" s="114" t="n">
        <f aca="false">N75/$R$3</f>
        <v>-1040.651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Data'!$A$2:$B$8,MATCH(WEEKDAY('ARG Gas IM'!A76,3),'Master Data'!$A$2:$A$8,0),2)</f>
        <v>M</v>
      </c>
      <c r="D76" s="112" t="n">
        <f aca="false">-67252/27.0963</f>
        <v>-2481.96248196248</v>
      </c>
      <c r="E76" s="112" t="n">
        <v>0</v>
      </c>
      <c r="F76" s="112" t="n">
        <v>0</v>
      </c>
      <c r="G76" s="112" t="n">
        <v>-944393.77</v>
      </c>
      <c r="I76" s="112" t="n">
        <f aca="false">IF(MONTH($A76)=MONTH($A75),IF(G76=0,I75,G76),G76)</f>
        <v>-944393.77</v>
      </c>
      <c r="J76" s="112" t="n">
        <f aca="false">IF(MONTH($A76)=MONTH($A75),SUM(I76-I75),I76)</f>
        <v>6144.22999999998</v>
      </c>
      <c r="K76" s="112" t="n">
        <f aca="false">IF(WEEKDAY(A76,3)&gt;4,0,(IF(A76&lt;K$2,0,IF(A76&lt;=K$3,1,0))))</f>
        <v>0</v>
      </c>
      <c r="L76" s="112" t="n">
        <f aca="false">J76*K76</f>
        <v>0</v>
      </c>
      <c r="M76" s="112" t="n">
        <f aca="false">SUM(J$6:J76)</f>
        <v>-1034506.77</v>
      </c>
      <c r="N76" s="112" t="n">
        <f aca="false">SUM(J$6:J76)</f>
        <v>-1034506.77</v>
      </c>
      <c r="P76" s="112" t="n">
        <f aca="false">D76/P$3</f>
        <v>-0.00248196248196248</v>
      </c>
      <c r="Q76" s="112" t="n">
        <f aca="false">E76/P$3</f>
        <v>0</v>
      </c>
      <c r="R76" s="112" t="n">
        <f aca="false">F76/R$3</f>
        <v>0</v>
      </c>
      <c r="S76" s="114" t="n">
        <f aca="false">J76/$R$3</f>
        <v>6.14422999999998</v>
      </c>
      <c r="T76" s="114" t="n">
        <f aca="false">L76/$R$3</f>
        <v>0</v>
      </c>
      <c r="U76" s="114" t="n">
        <f aca="false">I76/$R$3</f>
        <v>-944.39377</v>
      </c>
      <c r="V76" s="114" t="n">
        <f aca="false">M76/$R$3</f>
        <v>-1034.50677</v>
      </c>
      <c r="W76" s="114" t="n">
        <f aca="false">N76/$R$3</f>
        <v>-1034.50677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Data'!$A$2:$B$8,MATCH(WEEKDAY('ARG Gas IM'!A77,3),'Master Data'!$A$2:$A$8,0),2)</f>
        <v>T</v>
      </c>
      <c r="D77" s="112" t="n">
        <f aca="false">692/27.0963</f>
        <v>25.5385421625831</v>
      </c>
      <c r="E77" s="112" t="n">
        <v>0</v>
      </c>
      <c r="F77" s="112" t="n">
        <v>0</v>
      </c>
      <c r="G77" s="112" t="n">
        <v>-966900</v>
      </c>
      <c r="I77" s="112" t="n">
        <f aca="false">IF(MONTH($A77)=MONTH($A76),IF(G77=0,I76,G77),G77)</f>
        <v>-966900</v>
      </c>
      <c r="J77" s="112" t="n">
        <f aca="false">IF(MONTH($A77)=MONTH($A76),SUM(I77-I76),I77)</f>
        <v>-22506.23</v>
      </c>
      <c r="K77" s="112" t="n">
        <f aca="false">IF(WEEKDAY(A77,3)&gt;4,0,(IF(A77&lt;K$2,0,IF(A77&lt;=K$3,1,0))))</f>
        <v>0</v>
      </c>
      <c r="L77" s="112" t="n">
        <f aca="false">J77*K77</f>
        <v>-0</v>
      </c>
      <c r="M77" s="112" t="n">
        <f aca="false">SUM(J$6:J77)</f>
        <v>-1057013</v>
      </c>
      <c r="N77" s="112" t="n">
        <f aca="false">SUM(J$6:J77)</f>
        <v>-1057013</v>
      </c>
      <c r="P77" s="112" t="n">
        <f aca="false">D77/P$3</f>
        <v>2.55385421625831E-005</v>
      </c>
      <c r="Q77" s="112" t="n">
        <f aca="false">E77/P$3</f>
        <v>0</v>
      </c>
      <c r="R77" s="112" t="n">
        <f aca="false">F77/R$3</f>
        <v>0</v>
      </c>
      <c r="S77" s="114" t="n">
        <f aca="false">J77/$R$3</f>
        <v>-22.50623</v>
      </c>
      <c r="T77" s="114" t="n">
        <f aca="false">L77/$R$3</f>
        <v>-0</v>
      </c>
      <c r="U77" s="114" t="n">
        <f aca="false">I77/$R$3</f>
        <v>-966.9</v>
      </c>
      <c r="V77" s="114" t="n">
        <f aca="false">M77/$R$3</f>
        <v>-1057.013</v>
      </c>
      <c r="W77" s="114" t="n">
        <f aca="false">N77/$R$3</f>
        <v>-1057.013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Data'!$A$2:$B$8,MATCH(WEEKDAY('ARG Gas IM'!A78,3),'Master Data'!$A$2:$A$8,0),2)</f>
        <v>W</v>
      </c>
      <c r="D78" s="112" t="n">
        <f aca="false">-1192/27.0963</f>
        <v>-43.9912460372819</v>
      </c>
      <c r="E78" s="112" t="n">
        <v>0</v>
      </c>
      <c r="F78" s="112" t="n">
        <v>0</v>
      </c>
      <c r="G78" s="112" t="n">
        <v>-966775</v>
      </c>
      <c r="I78" s="112" t="n">
        <f aca="false">IF(MONTH($A78)=MONTH($A77),IF(G78=0,I77,G78),G78)</f>
        <v>-966775</v>
      </c>
      <c r="J78" s="112" t="n">
        <f aca="false">IF(MONTH($A78)=MONTH($A77),SUM(I78-I77),I78)</f>
        <v>125</v>
      </c>
      <c r="K78" s="112" t="n">
        <f aca="false">IF(WEEKDAY(A78,3)&gt;4,0,(IF(A78&lt;K$2,0,IF(A78&lt;=K$3,1,0))))</f>
        <v>0</v>
      </c>
      <c r="L78" s="112" t="n">
        <f aca="false">J78*K78</f>
        <v>0</v>
      </c>
      <c r="M78" s="112" t="n">
        <f aca="false">SUM(J$6:J78)</f>
        <v>-1056888</v>
      </c>
      <c r="N78" s="112" t="n">
        <f aca="false">SUM(J$6:J78)</f>
        <v>-1056888</v>
      </c>
      <c r="P78" s="112" t="n">
        <f aca="false">D78/P$3</f>
        <v>-4.39912460372819E-005</v>
      </c>
      <c r="Q78" s="112" t="n">
        <f aca="false">E78/P$3</f>
        <v>0</v>
      </c>
      <c r="R78" s="112" t="n">
        <f aca="false">F78/R$3</f>
        <v>0</v>
      </c>
      <c r="S78" s="114" t="n">
        <f aca="false">J78/$R$3</f>
        <v>0.125</v>
      </c>
      <c r="T78" s="114" t="n">
        <f aca="false">L78/$R$3</f>
        <v>0</v>
      </c>
      <c r="U78" s="114" t="n">
        <f aca="false">I78/$R$3</f>
        <v>-966.775</v>
      </c>
      <c r="V78" s="114" t="n">
        <f aca="false">M78/$R$3</f>
        <v>-1056.888</v>
      </c>
      <c r="W78" s="114" t="n">
        <f aca="false">N78/$R$3</f>
        <v>-1056.888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Data'!$A$2:$B$8,MATCH(WEEKDAY('ARG Gas IM'!A79,3),'Master Data'!$A$2:$A$8,0),2)</f>
        <v>Th</v>
      </c>
      <c r="D79" s="112" t="n">
        <f aca="false">-1692/27.0963</f>
        <v>-62.4439499119806</v>
      </c>
      <c r="E79" s="112" t="n">
        <v>0</v>
      </c>
      <c r="F79" s="112" t="n">
        <v>0</v>
      </c>
      <c r="G79" s="112" t="n">
        <v>-966652.172155802</v>
      </c>
      <c r="I79" s="112" t="n">
        <f aca="false">IF(MONTH($A79)=MONTH($A78),IF(G79=0,I78,G79),G79)</f>
        <v>-966652.172155802</v>
      </c>
      <c r="J79" s="112" t="n">
        <f aca="false">IF(MONTH($A79)=MONTH($A78),SUM(I79-I78),I79)</f>
        <v>122.827844198095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-1056765.1721558</v>
      </c>
      <c r="N79" s="112" t="n">
        <f aca="false">SUM(J$6:J79)</f>
        <v>-1056765.1721558</v>
      </c>
      <c r="P79" s="112" t="n">
        <f aca="false">D79/P$3</f>
        <v>-6.24439499119806E-005</v>
      </c>
      <c r="Q79" s="112" t="n">
        <f aca="false">E79/P$3</f>
        <v>0</v>
      </c>
      <c r="R79" s="112" t="n">
        <f aca="false">F79/R$3</f>
        <v>0</v>
      </c>
      <c r="S79" s="114" t="n">
        <f aca="false">J79/$R$3</f>
        <v>0.122827844198095</v>
      </c>
      <c r="T79" s="114" t="n">
        <f aca="false">L79/$R$3</f>
        <v>0</v>
      </c>
      <c r="U79" s="114" t="n">
        <f aca="false">I79/$R$3</f>
        <v>-966.652172155802</v>
      </c>
      <c r="V79" s="114" t="n">
        <f aca="false">M79/$R$3</f>
        <v>-1056.7651721558</v>
      </c>
      <c r="W79" s="114" t="n">
        <f aca="false">N79/$R$3</f>
        <v>-1056.7651721558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Data'!$A$2:$B$8,MATCH(WEEKDAY('ARG Gas IM'!A80,3),'Master Data'!$A$2:$A$8,0),2)</f>
        <v>F</v>
      </c>
      <c r="D80" s="112" t="n">
        <f aca="false">-1692/27.0963</f>
        <v>-62.4439499119806</v>
      </c>
      <c r="E80" s="112" t="n">
        <v>0</v>
      </c>
      <c r="F80" s="112" t="n">
        <v>0</v>
      </c>
      <c r="G80" s="112" t="n">
        <v>-966704</v>
      </c>
      <c r="I80" s="112" t="n">
        <f aca="false">IF(MONTH($A80)=MONTH($A79),IF(G80=0,I79,G80),G80)</f>
        <v>-966704</v>
      </c>
      <c r="J80" s="112" t="n">
        <f aca="false">IF(MONTH($A80)=MONTH($A79),SUM(I80-I79),I80)</f>
        <v>-51.8278441980947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-1056817</v>
      </c>
      <c r="N80" s="112" t="n">
        <f aca="false">SUM(J$6:J80)</f>
        <v>-1056817</v>
      </c>
      <c r="P80" s="112" t="n">
        <f aca="false">D80/P$3</f>
        <v>-6.24439499119806E-005</v>
      </c>
      <c r="Q80" s="112" t="n">
        <f aca="false">E80/P$3</f>
        <v>0</v>
      </c>
      <c r="R80" s="112" t="n">
        <f aca="false">F80/R$3</f>
        <v>0</v>
      </c>
      <c r="S80" s="114" t="n">
        <f aca="false">J80/$R$3</f>
        <v>-0.0518278441980947</v>
      </c>
      <c r="T80" s="114" t="n">
        <f aca="false">L80/$R$3</f>
        <v>-0</v>
      </c>
      <c r="U80" s="114" t="n">
        <f aca="false">I80/$R$3</f>
        <v>-966.704</v>
      </c>
      <c r="V80" s="114" t="n">
        <f aca="false">M80/$R$3</f>
        <v>-1056.817</v>
      </c>
      <c r="W80" s="114" t="n">
        <f aca="false">N80/$R$3</f>
        <v>-1056.817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Data'!$A$2:$B$8,MATCH(WEEKDAY('ARG Gas IM'!A81,3),'Master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-966704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-1056817</v>
      </c>
      <c r="N81" s="112" t="n">
        <f aca="false">SUM(J$6:J81)</f>
        <v>-1056817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-966.704</v>
      </c>
      <c r="V81" s="114" t="n">
        <f aca="false">M81/$R$3</f>
        <v>-1056.817</v>
      </c>
      <c r="W81" s="114" t="n">
        <f aca="false">N81/$R$3</f>
        <v>-1056.817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Data'!$A$2:$B$8,MATCH(WEEKDAY('ARG Gas IM'!A82,3),'Master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-966704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-1056817</v>
      </c>
      <c r="N82" s="112" t="n">
        <f aca="false">SUM(J$6:J82)</f>
        <v>-1056817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-966.704</v>
      </c>
      <c r="V82" s="114" t="n">
        <f aca="false">M82/$R$3</f>
        <v>-1056.817</v>
      </c>
      <c r="W82" s="114" t="n">
        <f aca="false">N82/$R$3</f>
        <v>-1056.817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Data'!$A$2:$B$8,MATCH(WEEKDAY('ARG Gas IM'!A83,3),'Master Data'!$A$2:$A$8,0),2)</f>
        <v>M</v>
      </c>
      <c r="D83" s="112" t="n">
        <f aca="false">-2307/27.0963</f>
        <v>-85.1407756778601</v>
      </c>
      <c r="E83" s="112" t="n">
        <v>0</v>
      </c>
      <c r="F83" s="112" t="n">
        <v>0</v>
      </c>
      <c r="G83" s="112" t="n">
        <v>-978127</v>
      </c>
      <c r="I83" s="112" t="n">
        <f aca="false">IF(MONTH($A83)=MONTH($A82),IF(G83=0,I82,G83),G83)</f>
        <v>-978127</v>
      </c>
      <c r="J83" s="112" t="n">
        <f aca="false">IF(MONTH($A83)=MONTH($A82),SUM(I83-I82),I83)</f>
        <v>-11423</v>
      </c>
      <c r="K83" s="112" t="n">
        <f aca="false">IF(WEEKDAY(A83,3)&gt;4,0,(IF(A83&lt;K$2,0,IF(A83&lt;=K$3,1,0))))</f>
        <v>0</v>
      </c>
      <c r="L83" s="112" t="n">
        <f aca="false">J83*K83</f>
        <v>-0</v>
      </c>
      <c r="M83" s="112" t="n">
        <f aca="false">SUM(J$6:J83)</f>
        <v>-1068240</v>
      </c>
      <c r="N83" s="112" t="n">
        <f aca="false">SUM(J$6:J83)</f>
        <v>-1068240</v>
      </c>
      <c r="P83" s="112" t="n">
        <f aca="false">D83/P$3</f>
        <v>-8.51407756778601E-005</v>
      </c>
      <c r="Q83" s="112" t="n">
        <f aca="false">E83/P$3</f>
        <v>0</v>
      </c>
      <c r="R83" s="112" t="n">
        <f aca="false">F83/R$3</f>
        <v>0</v>
      </c>
      <c r="S83" s="114" t="n">
        <f aca="false">J83/$R$3</f>
        <v>-11.423</v>
      </c>
      <c r="T83" s="114" t="n">
        <f aca="false">L83/$R$3</f>
        <v>-0</v>
      </c>
      <c r="U83" s="114" t="n">
        <f aca="false">I83/$R$3</f>
        <v>-978.127</v>
      </c>
      <c r="V83" s="114" t="n">
        <f aca="false">M83/$R$3</f>
        <v>-1068.24</v>
      </c>
      <c r="W83" s="114" t="n">
        <f aca="false">N83/$R$3</f>
        <v>-1068.24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Data'!$A$2:$B$8,MATCH(WEEKDAY('ARG Gas IM'!A84,3),'Master Data'!$A$2:$A$8,0),2)</f>
        <v>T</v>
      </c>
      <c r="D84" s="112" t="n">
        <f aca="false">1158/27.0963</f>
        <v>42.7364621738023</v>
      </c>
      <c r="E84" s="112" t="n">
        <v>0</v>
      </c>
      <c r="F84" s="112" t="n">
        <v>0</v>
      </c>
      <c r="G84" s="112" t="n">
        <v>-968151</v>
      </c>
      <c r="I84" s="112" t="n">
        <f aca="false">IF(MONTH($A84)=MONTH($A83),IF(G84=0,I83,G84),G84)</f>
        <v>-968151</v>
      </c>
      <c r="J84" s="112" t="n">
        <f aca="false">IF(MONTH($A84)=MONTH($A83),SUM(I84-I83),I84)</f>
        <v>9976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-1058264</v>
      </c>
      <c r="N84" s="112" t="n">
        <f aca="false">SUM(J$6:J84)</f>
        <v>-1058264</v>
      </c>
      <c r="P84" s="112" t="n">
        <f aca="false">D84/P$3</f>
        <v>4.27364621738023E-005</v>
      </c>
      <c r="Q84" s="112" t="n">
        <f aca="false">E84/P$3</f>
        <v>0</v>
      </c>
      <c r="R84" s="112" t="n">
        <f aca="false">F84/R$3</f>
        <v>0</v>
      </c>
      <c r="S84" s="114" t="n">
        <f aca="false">J84/$R$3</f>
        <v>9.976</v>
      </c>
      <c r="T84" s="114" t="n">
        <f aca="false">L84/$R$3</f>
        <v>0</v>
      </c>
      <c r="U84" s="114" t="n">
        <f aca="false">I84/$R$3</f>
        <v>-968.151</v>
      </c>
      <c r="V84" s="114" t="n">
        <f aca="false">M84/$R$3</f>
        <v>-1058.264</v>
      </c>
      <c r="W84" s="114" t="n">
        <f aca="false">N84/$R$3</f>
        <v>-1058.264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Data'!$A$2:$B$8,MATCH(WEEKDAY('ARG Gas IM'!A85,3),'Master Data'!$A$2:$A$8,0),2)</f>
        <v>W</v>
      </c>
      <c r="D85" s="112" t="n">
        <f aca="false">1382/27.0963</f>
        <v>51.0032735096674</v>
      </c>
      <c r="E85" s="112" t="n">
        <v>0</v>
      </c>
      <c r="F85" s="112" t="n">
        <v>0</v>
      </c>
      <c r="G85" s="112" t="n">
        <v>-968018</v>
      </c>
      <c r="I85" s="112" t="n">
        <f aca="false">IF(MONTH($A85)=MONTH($A84),IF(G85=0,I84,G85),G85)</f>
        <v>-968018</v>
      </c>
      <c r="J85" s="112" t="n">
        <f aca="false">IF(MONTH($A85)=MONTH($A84),SUM(I85-I84),I85)</f>
        <v>133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-1058131</v>
      </c>
      <c r="N85" s="112" t="n">
        <f aca="false">SUM(J$6:J85)</f>
        <v>-1058131</v>
      </c>
      <c r="P85" s="112" t="n">
        <f aca="false">D85/P$3</f>
        <v>5.10032735096674E-005</v>
      </c>
      <c r="Q85" s="112" t="n">
        <f aca="false">E85/P$3</f>
        <v>0</v>
      </c>
      <c r="R85" s="112" t="n">
        <f aca="false">F85/R$3</f>
        <v>0</v>
      </c>
      <c r="S85" s="114" t="n">
        <f aca="false">J85/$R$3</f>
        <v>0.133</v>
      </c>
      <c r="T85" s="114" t="n">
        <f aca="false">L85/$R$3</f>
        <v>0</v>
      </c>
      <c r="U85" s="114" t="n">
        <f aca="false">I85/$R$3</f>
        <v>-968.018</v>
      </c>
      <c r="V85" s="114" t="n">
        <f aca="false">M85/$R$3</f>
        <v>-1058.131</v>
      </c>
      <c r="W85" s="114" t="n">
        <f aca="false">N85/$R$3</f>
        <v>-1058.131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Data'!$A$2:$B$8,MATCH(WEEKDAY('ARG Gas IM'!A86,3),'Master Data'!$A$2:$A$8,0),2)</f>
        <v>Th</v>
      </c>
      <c r="D86" s="112" t="n">
        <f aca="false">1606/27.0963</f>
        <v>59.2700848455324</v>
      </c>
      <c r="E86" s="112" t="n">
        <v>0</v>
      </c>
      <c r="F86" s="112" t="n">
        <v>0</v>
      </c>
      <c r="G86" s="112" t="n">
        <v>-1679055</v>
      </c>
      <c r="I86" s="112" t="n">
        <f aca="false">IF(MONTH($A86)=MONTH($A85),IF(G86=0,I85,G86),G86)</f>
        <v>-1679055</v>
      </c>
      <c r="J86" s="112" t="n">
        <f aca="false">IF(MONTH($A86)=MONTH($A85),SUM(I86-I85),I86)</f>
        <v>-711037</v>
      </c>
      <c r="K86" s="112" t="n">
        <f aca="false">IF(WEEKDAY(A86,3)&gt;4,0,(IF(A86&lt;K$2,0,IF(A86&lt;=K$3,1,0))))</f>
        <v>0</v>
      </c>
      <c r="L86" s="112" t="n">
        <f aca="false">J86*K86</f>
        <v>-0</v>
      </c>
      <c r="M86" s="112" t="n">
        <f aca="false">SUM(J$6:J86)</f>
        <v>-1769168</v>
      </c>
      <c r="N86" s="112" t="n">
        <f aca="false">SUM(J$6:J86)</f>
        <v>-1769168</v>
      </c>
      <c r="P86" s="112" t="n">
        <f aca="false">D86/P$3</f>
        <v>5.92700848455324E-005</v>
      </c>
      <c r="Q86" s="112" t="n">
        <f aca="false">E86/P$3</f>
        <v>0</v>
      </c>
      <c r="R86" s="112" t="n">
        <f aca="false">F86/R$3</f>
        <v>0</v>
      </c>
      <c r="S86" s="114" t="n">
        <f aca="false">J86/$R$3</f>
        <v>-711.037</v>
      </c>
      <c r="T86" s="114" t="n">
        <f aca="false">L86/$R$3</f>
        <v>-0</v>
      </c>
      <c r="U86" s="114" t="n">
        <f aca="false">I86/$R$3</f>
        <v>-1679.055</v>
      </c>
      <c r="V86" s="114" t="n">
        <f aca="false">M86/$R$3</f>
        <v>-1769.168</v>
      </c>
      <c r="W86" s="114" t="n">
        <f aca="false">N86/$R$3</f>
        <v>-1769.168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Data'!$A$2:$B$8,MATCH(WEEKDAY('ARG Gas IM'!A87,3),'Master Data'!$A$2:$A$8,0),2)</f>
        <v>F</v>
      </c>
      <c r="D87" s="112" t="n">
        <f aca="false">1830/27.0963</f>
        <v>67.5368961813975</v>
      </c>
      <c r="E87" s="112" t="n">
        <v>0</v>
      </c>
      <c r="F87" s="112" t="n">
        <v>0</v>
      </c>
      <c r="G87" s="112" t="n">
        <v>-1678925</v>
      </c>
      <c r="I87" s="112" t="n">
        <f aca="false">IF(MONTH($A87)=MONTH($A86),IF(G87=0,I86,G87),G87)</f>
        <v>-1678925</v>
      </c>
      <c r="J87" s="112" t="n">
        <f aca="false">IF(MONTH($A87)=MONTH($A86),SUM(I87-I86),I87)</f>
        <v>130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-1769038</v>
      </c>
      <c r="N87" s="112" t="n">
        <f aca="false">SUM(J$6:J87)</f>
        <v>-1769038</v>
      </c>
      <c r="P87" s="112" t="n">
        <f aca="false">D87/P$3</f>
        <v>6.75368961813975E-005</v>
      </c>
      <c r="Q87" s="112" t="n">
        <f aca="false">E87/P$3</f>
        <v>0</v>
      </c>
      <c r="R87" s="112" t="n">
        <f aca="false">F87/R$3</f>
        <v>0</v>
      </c>
      <c r="S87" s="114" t="n">
        <f aca="false">J87/$R$3</f>
        <v>0.13</v>
      </c>
      <c r="T87" s="114" t="n">
        <f aca="false">L87/$R$3</f>
        <v>0</v>
      </c>
      <c r="U87" s="114" t="n">
        <f aca="false">I87/$R$3</f>
        <v>-1678.925</v>
      </c>
      <c r="V87" s="114" t="n">
        <f aca="false">M87/$R$3</f>
        <v>-1769.038</v>
      </c>
      <c r="W87" s="114" t="n">
        <f aca="false">N87/$R$3</f>
        <v>-1769.038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Data'!$A$2:$B$8,MATCH(WEEKDAY('ARG Gas IM'!A88,3),'Master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-1678925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-1769038</v>
      </c>
      <c r="N88" s="112" t="n">
        <f aca="false">SUM(J$6:J88)</f>
        <v>-1769038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-1678.925</v>
      </c>
      <c r="V88" s="114" t="n">
        <f aca="false">M88/$R$3</f>
        <v>-1769.038</v>
      </c>
      <c r="W88" s="114" t="n">
        <f aca="false">N88/$R$3</f>
        <v>-1769.038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Data'!$A$2:$B$8,MATCH(WEEKDAY('ARG Gas IM'!A89,3),'Master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-1678925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-1769038</v>
      </c>
      <c r="N89" s="112" t="n">
        <f aca="false">SUM(J$6:J89)</f>
        <v>-1769038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-1678.925</v>
      </c>
      <c r="V89" s="114" t="n">
        <f aca="false">M89/$R$3</f>
        <v>-1769.038</v>
      </c>
      <c r="W89" s="114" t="n">
        <f aca="false">N89/$R$3</f>
        <v>-1769.038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Data'!$A$2:$B$8,MATCH(WEEKDAY('ARG Gas IM'!A90,3),'Master Data'!$A$2:$A$8,0),2)</f>
        <v>M</v>
      </c>
      <c r="D90" s="112" t="n">
        <f aca="false">2186/27.0963</f>
        <v>80.675221340183</v>
      </c>
      <c r="E90" s="112" t="n">
        <v>0</v>
      </c>
      <c r="F90" s="112" t="n">
        <v>0</v>
      </c>
      <c r="G90" s="112" t="n">
        <v>-1678796</v>
      </c>
      <c r="I90" s="112" t="n">
        <f aca="false">IF(MONTH($A90)=MONTH($A89),IF(G90=0,I89,G90),G90)</f>
        <v>-1678796</v>
      </c>
      <c r="J90" s="112" t="n">
        <f aca="false">IF(MONTH($A90)=MONTH($A89),SUM(I90-I89),I90)</f>
        <v>129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-1768909</v>
      </c>
      <c r="N90" s="112" t="n">
        <f aca="false">SUM(J$6:J90)</f>
        <v>-1768909</v>
      </c>
      <c r="P90" s="112" t="n">
        <f aca="false">D90/P$3</f>
        <v>8.0675221340183E-005</v>
      </c>
      <c r="Q90" s="112" t="n">
        <f aca="false">E90/P$3</f>
        <v>0</v>
      </c>
      <c r="R90" s="112" t="n">
        <f aca="false">F90/R$3</f>
        <v>0</v>
      </c>
      <c r="S90" s="114" t="n">
        <f aca="false">J90/$R$3</f>
        <v>0.129</v>
      </c>
      <c r="T90" s="114" t="n">
        <f aca="false">L90/$R$3</f>
        <v>0</v>
      </c>
      <c r="U90" s="114" t="n">
        <f aca="false">I90/$R$3</f>
        <v>-1678.796</v>
      </c>
      <c r="V90" s="114" t="n">
        <f aca="false">M90/$R$3</f>
        <v>-1768.909</v>
      </c>
      <c r="W90" s="114" t="n">
        <f aca="false">N90/$R$3</f>
        <v>-1768.909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Data'!$A$2:$B$8,MATCH(WEEKDAY('ARG Gas IM'!A91,3),'Master Data'!$A$2:$A$8,0),2)</f>
        <v>T</v>
      </c>
      <c r="D91" s="112" t="n">
        <f aca="false">636/27.0963</f>
        <v>23.4718393286168</v>
      </c>
      <c r="E91" s="112" t="n">
        <v>0</v>
      </c>
      <c r="F91" s="112" t="n">
        <v>0</v>
      </c>
      <c r="G91" s="112" t="n">
        <v>-1682971</v>
      </c>
      <c r="I91" s="112" t="n">
        <f aca="false">IF(MONTH($A91)=MONTH($A90),IF(G91=0,I90,G91),G91)</f>
        <v>-1682971</v>
      </c>
      <c r="J91" s="112" t="n">
        <f aca="false">IF(MONTH($A91)=MONTH($A90),SUM(I91-I90),I91)</f>
        <v>-4175</v>
      </c>
      <c r="K91" s="112" t="n">
        <f aca="false">IF(WEEKDAY(A91,3)&gt;4,0,(IF(A91&lt;K$2,0,IF(A91&lt;=K$3,1,0))))</f>
        <v>0</v>
      </c>
      <c r="L91" s="112" t="n">
        <f aca="false">J91*K91</f>
        <v>-0</v>
      </c>
      <c r="M91" s="112" t="n">
        <f aca="false">SUM(J$6:J91)</f>
        <v>-1773084</v>
      </c>
      <c r="N91" s="112" t="n">
        <f aca="false">SUM(J$6:J91)</f>
        <v>-1773084</v>
      </c>
      <c r="P91" s="112" t="n">
        <f aca="false">D91/P$3</f>
        <v>2.34718393286168E-005</v>
      </c>
      <c r="Q91" s="112" t="n">
        <f aca="false">E91/P$3</f>
        <v>0</v>
      </c>
      <c r="R91" s="112" t="n">
        <f aca="false">F91/R$3</f>
        <v>0</v>
      </c>
      <c r="S91" s="114" t="n">
        <f aca="false">J91/$R$3</f>
        <v>-4.175</v>
      </c>
      <c r="T91" s="114" t="n">
        <f aca="false">L91/$R$3</f>
        <v>-0</v>
      </c>
      <c r="U91" s="114" t="n">
        <f aca="false">I91/$R$3</f>
        <v>-1682.971</v>
      </c>
      <c r="V91" s="114" t="n">
        <f aca="false">M91/$R$3</f>
        <v>-1773.084</v>
      </c>
      <c r="W91" s="114" t="n">
        <f aca="false">N91/$R$3</f>
        <v>-1773.084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Data'!$A$2:$B$8,MATCH(WEEKDAY('ARG Gas IM'!A92,3),'Master Data'!$A$2:$A$8,0),2)</f>
        <v>W</v>
      </c>
      <c r="D92" s="112" t="n">
        <f aca="false">860/27.0963</f>
        <v>31.7386506644819</v>
      </c>
      <c r="E92" s="112" t="n">
        <v>0</v>
      </c>
      <c r="F92" s="112" t="n">
        <v>0</v>
      </c>
      <c r="G92" s="112" t="n">
        <v>-288951</v>
      </c>
      <c r="I92" s="112" t="n">
        <f aca="false">IF(MONTH($A92)=MONTH($A91),IF(G92=0,I91,G92),G92)</f>
        <v>-288951</v>
      </c>
      <c r="J92" s="112" t="n">
        <f aca="false">IF(MONTH($A92)=MONTH($A91),SUM(I92-I91),I92)</f>
        <v>1394020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-379064</v>
      </c>
      <c r="N92" s="112" t="n">
        <f aca="false">SUM(J$6:J92)</f>
        <v>-379064</v>
      </c>
      <c r="P92" s="112" t="n">
        <f aca="false">D92/P$3</f>
        <v>3.17386506644819E-005</v>
      </c>
      <c r="Q92" s="112" t="n">
        <f aca="false">E92/P$3</f>
        <v>0</v>
      </c>
      <c r="R92" s="112" t="n">
        <f aca="false">F92/R$3</f>
        <v>0</v>
      </c>
      <c r="S92" s="114" t="n">
        <f aca="false">J92/$R$3</f>
        <v>1394.02</v>
      </c>
      <c r="T92" s="114" t="n">
        <f aca="false">L92/$R$3</f>
        <v>0</v>
      </c>
      <c r="U92" s="114" t="n">
        <f aca="false">I92/$R$3</f>
        <v>-288.951</v>
      </c>
      <c r="V92" s="114" t="n">
        <f aca="false">M92/$R$3</f>
        <v>-379.064</v>
      </c>
      <c r="W92" s="114" t="n">
        <f aca="false">N92/$R$3</f>
        <v>-379.064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Data'!$A$2:$B$8,MATCH(WEEKDAY('ARG Gas IM'!A93,3),'Master Data'!$A$2:$A$8,0),2)</f>
        <v>Th</v>
      </c>
      <c r="D93" s="112" t="n">
        <f aca="false">1084/27.0963</f>
        <v>40.0054620003469</v>
      </c>
      <c r="E93" s="112" t="n">
        <v>0</v>
      </c>
      <c r="F93" s="112" t="n">
        <v>0</v>
      </c>
      <c r="G93" s="112" t="n">
        <v>-288818</v>
      </c>
      <c r="I93" s="112" t="n">
        <f aca="false">IF(MONTH($A93)=MONTH($A92),IF(G93=0,I92,G93),G93)</f>
        <v>-288818</v>
      </c>
      <c r="J93" s="112" t="n">
        <f aca="false">IF(MONTH($A93)=MONTH($A92),SUM(I93-I92),I93)</f>
        <v>133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-378931</v>
      </c>
      <c r="N93" s="112" t="n">
        <f aca="false">SUM(J$6:J93)</f>
        <v>-378931</v>
      </c>
      <c r="P93" s="112" t="n">
        <f aca="false">D93/P$3</f>
        <v>4.00054620003469E-005</v>
      </c>
      <c r="Q93" s="112" t="n">
        <f aca="false">E93/P$3</f>
        <v>0</v>
      </c>
      <c r="R93" s="112" t="n">
        <f aca="false">F93/R$3</f>
        <v>0</v>
      </c>
      <c r="S93" s="114" t="n">
        <f aca="false">J93/$R$3</f>
        <v>0.133</v>
      </c>
      <c r="T93" s="114" t="n">
        <f aca="false">L93/$R$3</f>
        <v>0</v>
      </c>
      <c r="U93" s="114" t="n">
        <f aca="false">I93/$R$3</f>
        <v>-288.818</v>
      </c>
      <c r="V93" s="114" t="n">
        <f aca="false">M93/$R$3</f>
        <v>-378.931</v>
      </c>
      <c r="W93" s="114" t="n">
        <f aca="false">N93/$R$3</f>
        <v>-378.931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Data'!$A$2:$B$8,MATCH(WEEKDAY('ARG Gas IM'!A94,3),'Master Data'!$A$2:$A$8,0),2)</f>
        <v>F</v>
      </c>
      <c r="D94" s="112" t="n">
        <f aca="false">478/27.0963</f>
        <v>17.640784904212</v>
      </c>
      <c r="E94" s="112" t="n">
        <v>0</v>
      </c>
      <c r="F94" s="112" t="n">
        <v>0</v>
      </c>
      <c r="G94" s="112" t="n">
        <f aca="false">-280288+256232</f>
        <v>-24056</v>
      </c>
      <c r="I94" s="112" t="n">
        <f aca="false">IF(MONTH($A94)=MONTH($A93),IF(G94=0,I93,G94),G94)</f>
        <v>-24056</v>
      </c>
      <c r="J94" s="112" t="n">
        <f aca="false">IF(MONTH($A94)=MONTH($A93),SUM(I94-I93),I94)</f>
        <v>264762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-114169</v>
      </c>
      <c r="N94" s="112" t="n">
        <f aca="false">SUM(J$6:J94)</f>
        <v>-114169</v>
      </c>
      <c r="P94" s="112" t="n">
        <f aca="false">D94/P$3</f>
        <v>1.7640784904212E-005</v>
      </c>
      <c r="Q94" s="112" t="n">
        <f aca="false">E94/P$3</f>
        <v>0</v>
      </c>
      <c r="R94" s="112" t="n">
        <f aca="false">F94/R$3</f>
        <v>0</v>
      </c>
      <c r="S94" s="114" t="n">
        <f aca="false">J94/$R$3</f>
        <v>264.762</v>
      </c>
      <c r="T94" s="114" t="n">
        <f aca="false">L94/$R$3</f>
        <v>0</v>
      </c>
      <c r="U94" s="114" t="n">
        <f aca="false">I94/$R$3</f>
        <v>-24.056</v>
      </c>
      <c r="V94" s="114" t="n">
        <f aca="false">M94/$R$3</f>
        <v>-114.169</v>
      </c>
      <c r="W94" s="114" t="n">
        <f aca="false">N94/$R$3</f>
        <v>-114.169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Data'!$A$2:$B$8,MATCH(WEEKDAY('ARG Gas IM'!A95,3),'Master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-24056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-114169</v>
      </c>
      <c r="N95" s="112" t="n">
        <f aca="false">SUM(J$6:J95)</f>
        <v>-114169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-24.056</v>
      </c>
      <c r="V95" s="114" t="n">
        <f aca="false">M95/$R$3</f>
        <v>-114.169</v>
      </c>
      <c r="W95" s="114" t="n">
        <f aca="false">N95/$R$3</f>
        <v>-114.169</v>
      </c>
    </row>
    <row r="96" customFormat="false" ht="13.5" hidden="true" customHeight="true" outlineLevel="0" collapsed="false">
      <c r="A96" s="108" t="n">
        <f aca="false">A95+1</f>
        <v>36982</v>
      </c>
      <c r="B96" s="119" t="str">
        <f aca="false">INDEX('Master Data'!$A$2:$B$8,MATCH(WEEKDAY('ARG Gas IM'!A96,3),'Master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-114169</v>
      </c>
      <c r="N96" s="112" t="n">
        <f aca="false">SUM(J$6:J96)</f>
        <v>-114169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-114.169</v>
      </c>
      <c r="W96" s="114" t="n">
        <f aca="false">N96/$R$3</f>
        <v>-114.169</v>
      </c>
    </row>
    <row r="97" customFormat="false" ht="13.5" hidden="true" customHeight="true" outlineLevel="0" collapsed="false">
      <c r="A97" s="108" t="n">
        <f aca="false">A96+1</f>
        <v>36983</v>
      </c>
      <c r="B97" s="119" t="str">
        <f aca="false">INDEX('Master Data'!$A$2:$B$8,MATCH(WEEKDAY('ARG Gas IM'!A97,3),'Master Data'!$A$2:$A$8,0),2)</f>
        <v>M</v>
      </c>
      <c r="D97" s="112" t="n">
        <f aca="false">0/27.0963</f>
        <v>0</v>
      </c>
      <c r="E97" s="112" t="n">
        <v>0</v>
      </c>
      <c r="F97" s="112" t="n">
        <v>0</v>
      </c>
      <c r="G97" s="112" t="n">
        <v>-282778</v>
      </c>
      <c r="I97" s="112" t="n">
        <f aca="false">IF(MONTH($A97)=MONTH($A96),IF(G97=0,I96,G97),G97)</f>
        <v>-282778</v>
      </c>
      <c r="J97" s="112" t="n">
        <f aca="false">IF(MONTH($A97)=MONTH($A96),SUM(I97-I96),I97)</f>
        <v>-282778</v>
      </c>
      <c r="K97" s="112" t="n">
        <f aca="false">IF(WEEKDAY(A97,3)&gt;4,0,(IF(A97&lt;K$2,0,IF(A97&lt;=K$3,1,0))))</f>
        <v>0</v>
      </c>
      <c r="L97" s="112" t="n">
        <f aca="false">J97*K97</f>
        <v>-0</v>
      </c>
      <c r="M97" s="112" t="n">
        <f aca="false">SUM(J$97:J97)</f>
        <v>-282778</v>
      </c>
      <c r="N97" s="112" t="n">
        <f aca="false">SUM(J$6:J97)</f>
        <v>-396947</v>
      </c>
      <c r="P97" s="112" t="n">
        <f aca="false">D97/P$3</f>
        <v>0</v>
      </c>
      <c r="Q97" s="112" t="n">
        <f aca="false">E97/P$3</f>
        <v>0</v>
      </c>
      <c r="R97" s="112" t="n">
        <f aca="false">F97/R$3</f>
        <v>0</v>
      </c>
      <c r="S97" s="114" t="n">
        <f aca="false">J97/$R$3</f>
        <v>-282.778</v>
      </c>
      <c r="T97" s="114" t="n">
        <f aca="false">L97/$R$3</f>
        <v>-0</v>
      </c>
      <c r="U97" s="114" t="n">
        <f aca="false">I97/$R$3</f>
        <v>-282.778</v>
      </c>
      <c r="V97" s="114" t="n">
        <f aca="false">M97/$R$3</f>
        <v>-282.778</v>
      </c>
      <c r="W97" s="114" t="n">
        <f aca="false">N97/$R$3</f>
        <v>-396.947</v>
      </c>
    </row>
    <row r="98" customFormat="false" ht="13.5" hidden="true" customHeight="true" outlineLevel="0" collapsed="false">
      <c r="A98" s="108" t="n">
        <f aca="false">A97+1</f>
        <v>36984</v>
      </c>
      <c r="B98" s="119" t="str">
        <f aca="false">INDEX('Master Data'!$A$2:$B$8,MATCH(WEEKDAY('ARG Gas IM'!A98,3),'Master Data'!$A$2:$A$8,0),2)</f>
        <v>T</v>
      </c>
      <c r="D98" s="112" t="n">
        <f aca="false">-58959/27.0963</f>
        <v>-2175.90593549673</v>
      </c>
      <c r="E98" s="112" t="n">
        <v>0</v>
      </c>
      <c r="F98" s="112" t="n">
        <v>0</v>
      </c>
      <c r="G98" s="112" t="n">
        <v>-194455</v>
      </c>
      <c r="I98" s="112" t="n">
        <f aca="false">IF(MONTH($A98)=MONTH($A97),IF(G98=0,I97,G98),G98)</f>
        <v>-194455</v>
      </c>
      <c r="J98" s="112" t="n">
        <f aca="false">IF(MONTH($A98)=MONTH($A97),SUM(I98-I97),I98)</f>
        <v>88323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-194455</v>
      </c>
      <c r="N98" s="112" t="n">
        <f aca="false">SUM(J$6:J98)</f>
        <v>-308624</v>
      </c>
      <c r="P98" s="112" t="n">
        <f aca="false">D98/P$3</f>
        <v>-0.00217590593549673</v>
      </c>
      <c r="Q98" s="112" t="n">
        <f aca="false">E98/P$3</f>
        <v>0</v>
      </c>
      <c r="R98" s="112" t="n">
        <f aca="false">F98/R$3</f>
        <v>0</v>
      </c>
      <c r="S98" s="114" t="n">
        <f aca="false">J98/$R$3</f>
        <v>88.323</v>
      </c>
      <c r="T98" s="114" t="n">
        <f aca="false">L98/$R$3</f>
        <v>0</v>
      </c>
      <c r="U98" s="114" t="n">
        <f aca="false">I98/$R$3</f>
        <v>-194.455</v>
      </c>
      <c r="V98" s="114" t="n">
        <f aca="false">M98/$R$3</f>
        <v>-194.455</v>
      </c>
      <c r="W98" s="114" t="n">
        <f aca="false">N98/$R$3</f>
        <v>-308.624</v>
      </c>
    </row>
    <row r="99" customFormat="false" ht="13.5" hidden="true" customHeight="true" outlineLevel="0" collapsed="false">
      <c r="A99" s="108" t="n">
        <f aca="false">A98+1</f>
        <v>36985</v>
      </c>
      <c r="B99" s="119" t="str">
        <f aca="false">INDEX('Master Data'!$A$2:$B$8,MATCH(WEEKDAY('ARG Gas IM'!A99,3),'Master Data'!$A$2:$A$8,0),2)</f>
        <v>W</v>
      </c>
      <c r="D99" s="112" t="n">
        <f aca="false">0/27.0963</f>
        <v>0</v>
      </c>
      <c r="E99" s="112" t="n">
        <v>0</v>
      </c>
      <c r="F99" s="112" t="n">
        <v>0</v>
      </c>
      <c r="G99" s="112" t="n">
        <v>20604</v>
      </c>
      <c r="I99" s="112" t="n">
        <f aca="false">IF(MONTH($A99)=MONTH($A98),IF(G99=0,I98,G99),G99)</f>
        <v>20604</v>
      </c>
      <c r="J99" s="112" t="n">
        <f aca="false">IF(MONTH($A99)=MONTH($A98),SUM(I99-I98),I99)</f>
        <v>215059</v>
      </c>
      <c r="K99" s="112" t="n">
        <f aca="false">IF(WEEKDAY(A99,3)&gt;4,0,(IF(A99&lt;K$2,0,IF(A99&lt;=K$3,1,0))))</f>
        <v>0</v>
      </c>
      <c r="L99" s="112" t="n">
        <f aca="false">J99*K99</f>
        <v>0</v>
      </c>
      <c r="M99" s="112" t="n">
        <f aca="false">SUM(J$97:J99)</f>
        <v>20604</v>
      </c>
      <c r="N99" s="112" t="n">
        <f aca="false">SUM(J$6:J99)</f>
        <v>-93565</v>
      </c>
      <c r="P99" s="112" t="n">
        <f aca="false">D99/P$3</f>
        <v>0</v>
      </c>
      <c r="Q99" s="112" t="n">
        <f aca="false">E99/P$3</f>
        <v>0</v>
      </c>
      <c r="R99" s="112" t="n">
        <f aca="false">F99/R$3</f>
        <v>0</v>
      </c>
      <c r="S99" s="114" t="n">
        <f aca="false">J99/$R$3</f>
        <v>215.059</v>
      </c>
      <c r="T99" s="114" t="n">
        <f aca="false">L99/$R$3</f>
        <v>0</v>
      </c>
      <c r="U99" s="114" t="n">
        <f aca="false">I99/$R$3</f>
        <v>20.604</v>
      </c>
      <c r="V99" s="114" t="n">
        <f aca="false">M99/$R$3</f>
        <v>20.604</v>
      </c>
      <c r="W99" s="114" t="n">
        <f aca="false">N99/$R$3</f>
        <v>-93.565</v>
      </c>
    </row>
    <row r="100" customFormat="false" ht="13.5" hidden="true" customHeight="true" outlineLevel="0" collapsed="false">
      <c r="A100" s="108" t="n">
        <f aca="false">A99+1</f>
        <v>36986</v>
      </c>
      <c r="B100" s="119" t="str">
        <f aca="false">INDEX('Master Data'!$A$2:$B$8,MATCH(WEEKDAY('ARG Gas IM'!A100,3),'Master Data'!$A$2:$A$8,0),2)</f>
        <v>Th</v>
      </c>
      <c r="D100" s="112" t="n">
        <f aca="false">0/27.0963</f>
        <v>0</v>
      </c>
      <c r="E100" s="112" t="n">
        <v>0</v>
      </c>
      <c r="F100" s="112" t="n">
        <v>0</v>
      </c>
      <c r="G100" s="112" t="n">
        <v>18345</v>
      </c>
      <c r="I100" s="112" t="n">
        <f aca="false">IF(MONTH($A100)=MONTH($A99),IF(G100=0,I99,G100),G100)</f>
        <v>18345</v>
      </c>
      <c r="J100" s="112" t="n">
        <f aca="false">IF(MONTH($A100)=MONTH($A99),SUM(I100-I99),I100)</f>
        <v>-2259</v>
      </c>
      <c r="K100" s="112" t="n">
        <f aca="false">IF(WEEKDAY(A100,3)&gt;4,0,(IF(A100&lt;K$2,0,IF(A100&lt;=K$3,1,0))))</f>
        <v>0</v>
      </c>
      <c r="L100" s="112" t="n">
        <f aca="false">J100*K100</f>
        <v>-0</v>
      </c>
      <c r="M100" s="112" t="n">
        <f aca="false">SUM(J$97:J100)</f>
        <v>18345</v>
      </c>
      <c r="N100" s="112" t="n">
        <f aca="false">SUM(J$6:J100)</f>
        <v>-95824</v>
      </c>
      <c r="P100" s="112" t="n">
        <f aca="false">D100/P$3</f>
        <v>0</v>
      </c>
      <c r="Q100" s="112" t="n">
        <f aca="false">E100/P$3</f>
        <v>0</v>
      </c>
      <c r="R100" s="112" t="n">
        <f aca="false">F100/R$3</f>
        <v>0</v>
      </c>
      <c r="S100" s="114" t="n">
        <f aca="false">J100/$R$3</f>
        <v>-2.259</v>
      </c>
      <c r="T100" s="114" t="n">
        <f aca="false">L100/$R$3</f>
        <v>-0</v>
      </c>
      <c r="U100" s="114" t="n">
        <f aca="false">I100/$R$3</f>
        <v>18.345</v>
      </c>
      <c r="V100" s="114" t="n">
        <f aca="false">M100/$R$3</f>
        <v>18.345</v>
      </c>
      <c r="W100" s="114" t="n">
        <f aca="false">N100/$R$3</f>
        <v>-95.824</v>
      </c>
    </row>
    <row r="101" customFormat="false" ht="13.5" hidden="true" customHeight="true" outlineLevel="0" collapsed="false">
      <c r="A101" s="108" t="n">
        <f aca="false">A100+1</f>
        <v>36987</v>
      </c>
      <c r="B101" s="119" t="str">
        <f aca="false">INDEX('Master Data'!$A$2:$B$8,MATCH(WEEKDAY('ARG Gas IM'!A101,3),'Master Data'!$A$2:$A$8,0),2)</f>
        <v>F</v>
      </c>
      <c r="D101" s="112" t="n">
        <v>0</v>
      </c>
      <c r="E101" s="112" t="n">
        <v>0</v>
      </c>
      <c r="F101" s="112" t="n">
        <v>0</v>
      </c>
      <c r="G101" s="112" t="n">
        <v>16081</v>
      </c>
      <c r="I101" s="112" t="n">
        <f aca="false">IF(MONTH($A101)=MONTH($A100),IF(G101=0,I100,G101),G101)</f>
        <v>16081</v>
      </c>
      <c r="J101" s="112" t="n">
        <f aca="false">IF(MONTH($A101)=MONTH($A100),SUM(I101-I100),I101)</f>
        <v>-2264</v>
      </c>
      <c r="K101" s="112" t="n">
        <f aca="false">IF(WEEKDAY(A101,3)&gt;4,0,(IF(A101&lt;K$2,0,IF(A101&lt;=K$3,1,0))))</f>
        <v>0</v>
      </c>
      <c r="L101" s="112" t="n">
        <f aca="false">J101*K101</f>
        <v>-0</v>
      </c>
      <c r="M101" s="112" t="n">
        <f aca="false">SUM(J$97:J101)</f>
        <v>16081</v>
      </c>
      <c r="N101" s="112" t="n">
        <f aca="false">SUM(J$6:J101)</f>
        <v>-98088</v>
      </c>
      <c r="P101" s="112" t="n">
        <f aca="false">D101/P$3</f>
        <v>0</v>
      </c>
      <c r="Q101" s="112" t="n">
        <f aca="false">E101/P$3</f>
        <v>0</v>
      </c>
      <c r="R101" s="112" t="n">
        <f aca="false">F101/R$3</f>
        <v>0</v>
      </c>
      <c r="S101" s="114" t="n">
        <f aca="false">J101/$R$3</f>
        <v>-2.264</v>
      </c>
      <c r="T101" s="114" t="n">
        <f aca="false">L101/$R$3</f>
        <v>-0</v>
      </c>
      <c r="U101" s="114" t="n">
        <f aca="false">I101/$R$3</f>
        <v>16.081</v>
      </c>
      <c r="V101" s="114" t="n">
        <f aca="false">M101/$R$3</f>
        <v>16.081</v>
      </c>
      <c r="W101" s="114" t="n">
        <f aca="false">N101/$R$3</f>
        <v>-98.088</v>
      </c>
    </row>
    <row r="102" customFormat="false" ht="13.5" hidden="true" customHeight="true" outlineLevel="0" collapsed="false">
      <c r="A102" s="108" t="n">
        <f aca="false">A101+1</f>
        <v>36988</v>
      </c>
      <c r="B102" s="119" t="str">
        <f aca="false">INDEX('Master Data'!$A$2:$B$8,MATCH(WEEKDAY('ARG Gas IM'!A102,3),'Master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16081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16081</v>
      </c>
      <c r="N102" s="112" t="n">
        <f aca="false">SUM(J$6:J102)</f>
        <v>-98088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16.081</v>
      </c>
      <c r="V102" s="114" t="n">
        <f aca="false">M102/$R$3</f>
        <v>16.081</v>
      </c>
      <c r="W102" s="114" t="n">
        <f aca="false">N102/$R$3</f>
        <v>-98.088</v>
      </c>
    </row>
    <row r="103" customFormat="false" ht="13.5" hidden="true" customHeight="true" outlineLevel="0" collapsed="false">
      <c r="A103" s="108" t="n">
        <f aca="false">A102+1</f>
        <v>36989</v>
      </c>
      <c r="B103" s="119" t="str">
        <f aca="false">INDEX('Master Data'!$A$2:$B$8,MATCH(WEEKDAY('ARG Gas IM'!A103,3),'Master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16081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16081</v>
      </c>
      <c r="N103" s="112" t="n">
        <f aca="false">SUM(J$6:J103)</f>
        <v>-98088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16.081</v>
      </c>
      <c r="V103" s="114" t="n">
        <f aca="false">M103/$R$3</f>
        <v>16.081</v>
      </c>
      <c r="W103" s="114" t="n">
        <f aca="false">N103/$R$3</f>
        <v>-98.088</v>
      </c>
    </row>
    <row r="104" customFormat="false" ht="13.5" hidden="true" customHeight="true" outlineLevel="0" collapsed="false">
      <c r="A104" s="108" t="n">
        <f aca="false">A103+1</f>
        <v>36990</v>
      </c>
      <c r="B104" s="119" t="str">
        <f aca="false">INDEX('Master Data'!$A$2:$B$8,MATCH(WEEKDAY('ARG Gas IM'!A104,3),'Master Data'!$A$2:$A$8,0),2)</f>
        <v>M</v>
      </c>
      <c r="D104" s="112" t="n">
        <v>0</v>
      </c>
      <c r="E104" s="112" t="n">
        <v>0</v>
      </c>
      <c r="F104" s="112" t="n">
        <v>0</v>
      </c>
      <c r="G104" s="112" t="n">
        <v>9316</v>
      </c>
      <c r="I104" s="112" t="n">
        <f aca="false">IF(MONTH($A104)=MONTH($A103),IF(G104=0,I103,G104),G104)</f>
        <v>9316</v>
      </c>
      <c r="J104" s="112" t="n">
        <f aca="false">IF(MONTH($A104)=MONTH($A103),SUM(I104-I103),I104)</f>
        <v>-6765</v>
      </c>
      <c r="K104" s="112" t="n">
        <f aca="false">IF(WEEKDAY(A104,3)&gt;4,0,(IF(A104&lt;K$2,0,IF(A104&lt;=K$3,1,0))))</f>
        <v>0</v>
      </c>
      <c r="L104" s="112" t="n">
        <f aca="false">J104*K104</f>
        <v>-0</v>
      </c>
      <c r="M104" s="112" t="n">
        <f aca="false">SUM(J$97:J104)</f>
        <v>9316</v>
      </c>
      <c r="N104" s="112" t="n">
        <f aca="false">SUM(J$6:J104)</f>
        <v>-104853</v>
      </c>
      <c r="P104" s="112" t="n">
        <f aca="false">D104/P$3</f>
        <v>0</v>
      </c>
      <c r="Q104" s="112" t="n">
        <f aca="false">E104/P$3</f>
        <v>0</v>
      </c>
      <c r="R104" s="112" t="n">
        <f aca="false">F104/R$3</f>
        <v>0</v>
      </c>
      <c r="S104" s="114" t="n">
        <f aca="false">J104/$R$3</f>
        <v>-6.765</v>
      </c>
      <c r="T104" s="114" t="n">
        <f aca="false">L104/$R$3</f>
        <v>-0</v>
      </c>
      <c r="U104" s="114" t="n">
        <f aca="false">I104/$R$3</f>
        <v>9.316</v>
      </c>
      <c r="V104" s="114" t="n">
        <f aca="false">M104/$R$3</f>
        <v>9.316</v>
      </c>
      <c r="W104" s="114" t="n">
        <f aca="false">N104/$R$3</f>
        <v>-104.853</v>
      </c>
    </row>
    <row r="105" customFormat="false" ht="13.5" hidden="true" customHeight="true" outlineLevel="0" collapsed="false">
      <c r="A105" s="108" t="n">
        <f aca="false">A104+1</f>
        <v>36991</v>
      </c>
      <c r="B105" s="119" t="str">
        <f aca="false">INDEX('Master Data'!$A$2:$B$8,MATCH(WEEKDAY('ARG Gas IM'!A105,3),'Master Data'!$A$2:$A$8,0),2)</f>
        <v>T</v>
      </c>
      <c r="D105" s="112" t="n">
        <v>0</v>
      </c>
      <c r="E105" s="112" t="n">
        <v>0</v>
      </c>
      <c r="F105" s="112" t="n">
        <v>0</v>
      </c>
      <c r="G105" s="112" t="n">
        <v>1833</v>
      </c>
      <c r="I105" s="112" t="n">
        <f aca="false">IF(MONTH($A105)=MONTH($A104),IF(G105=0,I104,G105),G105)</f>
        <v>1833</v>
      </c>
      <c r="J105" s="112" t="n">
        <f aca="false">IF(MONTH($A105)=MONTH($A104),SUM(I105-I104),I105)</f>
        <v>-7483</v>
      </c>
      <c r="K105" s="112" t="n">
        <f aca="false">IF(WEEKDAY(A105,3)&gt;4,0,(IF(A105&lt;K$2,0,IF(A105&lt;=K$3,1,0))))</f>
        <v>0</v>
      </c>
      <c r="L105" s="112" t="n">
        <f aca="false">J105*K105</f>
        <v>-0</v>
      </c>
      <c r="M105" s="112" t="n">
        <f aca="false">SUM(J$97:J105)</f>
        <v>1833</v>
      </c>
      <c r="N105" s="112" t="n">
        <f aca="false">SUM(J$6:J105)</f>
        <v>-112336</v>
      </c>
      <c r="P105" s="112" t="n">
        <f aca="false">D105/P$3</f>
        <v>0</v>
      </c>
      <c r="Q105" s="112" t="n">
        <f aca="false">E105/P$3</f>
        <v>0</v>
      </c>
      <c r="R105" s="112" t="n">
        <f aca="false">F105/R$3</f>
        <v>0</v>
      </c>
      <c r="S105" s="114" t="n">
        <f aca="false">J105/$R$3</f>
        <v>-7.483</v>
      </c>
      <c r="T105" s="114" t="n">
        <f aca="false">L105/$R$3</f>
        <v>-0</v>
      </c>
      <c r="U105" s="114" t="n">
        <f aca="false">I105/$R$3</f>
        <v>1.833</v>
      </c>
      <c r="V105" s="114" t="n">
        <f aca="false">M105/$R$3</f>
        <v>1.833</v>
      </c>
      <c r="W105" s="114" t="n">
        <f aca="false">N105/$R$3</f>
        <v>-112.336</v>
      </c>
    </row>
    <row r="106" customFormat="false" ht="13.5" hidden="true" customHeight="true" outlineLevel="0" collapsed="false">
      <c r="A106" s="108" t="n">
        <f aca="false">A105+1</f>
        <v>36992</v>
      </c>
      <c r="B106" s="119" t="str">
        <f aca="false">INDEX('Master Data'!$A$2:$B$8,MATCH(WEEKDAY('ARG Gas IM'!A106,3),'Master Data'!$A$2:$A$8,0),2)</f>
        <v>W</v>
      </c>
      <c r="D106" s="112" t="n">
        <v>0</v>
      </c>
      <c r="E106" s="112" t="n">
        <v>0</v>
      </c>
      <c r="F106" s="112" t="n">
        <v>0</v>
      </c>
      <c r="G106" s="112" t="n">
        <v>-439</v>
      </c>
      <c r="I106" s="112" t="n">
        <f aca="false">IF(MONTH($A106)=MONTH($A105),IF(G106=0,I105,G106),G106)</f>
        <v>-439</v>
      </c>
      <c r="J106" s="112" t="n">
        <f aca="false">IF(MONTH($A106)=MONTH($A105),SUM(I106-I105),I106)</f>
        <v>-2272</v>
      </c>
      <c r="K106" s="112" t="n">
        <f aca="false">IF(WEEKDAY(A106,3)&gt;4,0,(IF(A106&lt;K$2,0,IF(A106&lt;=K$3,1,0))))</f>
        <v>0</v>
      </c>
      <c r="L106" s="112" t="n">
        <f aca="false">J106*K106</f>
        <v>-0</v>
      </c>
      <c r="M106" s="112" t="n">
        <f aca="false">SUM(J$97:J106)</f>
        <v>-439</v>
      </c>
      <c r="N106" s="112" t="n">
        <f aca="false">SUM(J$6:J106)</f>
        <v>-114608</v>
      </c>
      <c r="P106" s="112" t="n">
        <f aca="false">D106/P$3</f>
        <v>0</v>
      </c>
      <c r="Q106" s="112" t="n">
        <f aca="false">E106/P$3</f>
        <v>0</v>
      </c>
      <c r="R106" s="112" t="n">
        <f aca="false">F106/R$3</f>
        <v>0</v>
      </c>
      <c r="S106" s="114" t="n">
        <f aca="false">J106/$R$3</f>
        <v>-2.272</v>
      </c>
      <c r="T106" s="114" t="n">
        <f aca="false">L106/$R$3</f>
        <v>-0</v>
      </c>
      <c r="U106" s="114" t="n">
        <f aca="false">I106/$R$3</f>
        <v>-0.439</v>
      </c>
      <c r="V106" s="114" t="n">
        <f aca="false">M106/$R$3</f>
        <v>-0.439</v>
      </c>
      <c r="W106" s="114" t="n">
        <f aca="false">N106/$R$3</f>
        <v>-114.608</v>
      </c>
    </row>
    <row r="107" customFormat="false" ht="13.5" hidden="true" customHeight="true" outlineLevel="0" collapsed="false">
      <c r="A107" s="108" t="n">
        <f aca="false">A106+1</f>
        <v>36993</v>
      </c>
      <c r="B107" s="119" t="str">
        <f aca="false">INDEX('Master Data'!$A$2:$B$8,MATCH(WEEKDAY('ARG Gas IM'!A107,3),'Master Data'!$A$2:$A$8,0),2)</f>
        <v>Th</v>
      </c>
      <c r="D107" s="112" t="n">
        <v>0</v>
      </c>
      <c r="E107" s="112" t="n">
        <v>0</v>
      </c>
      <c r="F107" s="112" t="n">
        <v>0</v>
      </c>
      <c r="G107" s="112" t="n">
        <v>-2713</v>
      </c>
      <c r="I107" s="112" t="n">
        <f aca="false">IF(MONTH($A107)=MONTH($A106),IF(G107=0,I106,G107),G107)</f>
        <v>-2713</v>
      </c>
      <c r="J107" s="112" t="n">
        <f aca="false">IF(MONTH($A107)=MONTH($A106),SUM(I107-I106),I107)</f>
        <v>-2274</v>
      </c>
      <c r="K107" s="112" t="n">
        <f aca="false">IF(WEEKDAY(A107,3)&gt;4,0,(IF(A107&lt;K$2,0,IF(A107&lt;=K$3,1,0))))</f>
        <v>0</v>
      </c>
      <c r="L107" s="112" t="n">
        <f aca="false">J107*K107</f>
        <v>-0</v>
      </c>
      <c r="M107" s="112" t="n">
        <f aca="false">SUM(J$97:J107)</f>
        <v>-2713</v>
      </c>
      <c r="N107" s="112" t="n">
        <f aca="false">SUM(J$6:J107)</f>
        <v>-116882</v>
      </c>
      <c r="P107" s="112" t="n">
        <f aca="false">D107/P$3</f>
        <v>0</v>
      </c>
      <c r="Q107" s="112" t="n">
        <f aca="false">E107/P$3</f>
        <v>0</v>
      </c>
      <c r="R107" s="112" t="n">
        <f aca="false">F107/R$3</f>
        <v>0</v>
      </c>
      <c r="S107" s="114" t="n">
        <f aca="false">J107/$R$3</f>
        <v>-2.274</v>
      </c>
      <c r="T107" s="114" t="n">
        <f aca="false">L107/$R$3</f>
        <v>-0</v>
      </c>
      <c r="U107" s="114" t="n">
        <f aca="false">I107/$R$3</f>
        <v>-2.713</v>
      </c>
      <c r="V107" s="114" t="n">
        <f aca="false">M107/$R$3</f>
        <v>-2.713</v>
      </c>
      <c r="W107" s="114" t="n">
        <f aca="false">N107/$R$3</f>
        <v>-116.882</v>
      </c>
    </row>
    <row r="108" customFormat="false" ht="13.5" hidden="true" customHeight="true" outlineLevel="0" collapsed="false">
      <c r="A108" s="108" t="n">
        <f aca="false">A107+1</f>
        <v>36994</v>
      </c>
      <c r="B108" s="119" t="str">
        <f aca="false">INDEX('Master Data'!$A$2:$B$8,MATCH(WEEKDAY('ARG Gas IM'!A108,3),'Master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-2713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-2713</v>
      </c>
      <c r="N108" s="112" t="n">
        <f aca="false">SUM(J$6:J108)</f>
        <v>-116882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-2.713</v>
      </c>
      <c r="V108" s="114" t="n">
        <f aca="false">M108/$R$3</f>
        <v>-2.713</v>
      </c>
      <c r="W108" s="114" t="n">
        <f aca="false">N108/$R$3</f>
        <v>-116.882</v>
      </c>
    </row>
    <row r="109" customFormat="false" ht="13.5" hidden="true" customHeight="true" outlineLevel="0" collapsed="false">
      <c r="A109" s="108" t="n">
        <f aca="false">A108+1</f>
        <v>36995</v>
      </c>
      <c r="B109" s="119" t="str">
        <f aca="false">INDEX('Master Data'!$A$2:$B$8,MATCH(WEEKDAY('ARG Gas IM'!A109,3),'Master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-2713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-2713</v>
      </c>
      <c r="N109" s="112" t="n">
        <f aca="false">SUM(J$6:J109)</f>
        <v>-116882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-2.713</v>
      </c>
      <c r="V109" s="114" t="n">
        <f aca="false">M109/$R$3</f>
        <v>-2.713</v>
      </c>
      <c r="W109" s="114" t="n">
        <f aca="false">N109/$R$3</f>
        <v>-116.882</v>
      </c>
    </row>
    <row r="110" customFormat="false" ht="13.5" hidden="true" customHeight="true" outlineLevel="0" collapsed="false">
      <c r="A110" s="108" t="n">
        <f aca="false">A109+1</f>
        <v>36996</v>
      </c>
      <c r="B110" s="119" t="str">
        <f aca="false">INDEX('Master Data'!$A$2:$B$8,MATCH(WEEKDAY('ARG Gas IM'!A110,3),'Master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-2713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-2713</v>
      </c>
      <c r="N110" s="112" t="n">
        <f aca="false">SUM(J$6:J110)</f>
        <v>-116882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-2.713</v>
      </c>
      <c r="V110" s="114" t="n">
        <f aca="false">M110/$R$3</f>
        <v>-2.713</v>
      </c>
      <c r="W110" s="114" t="n">
        <f aca="false">N110/$R$3</f>
        <v>-116.882</v>
      </c>
    </row>
    <row r="111" customFormat="false" ht="13.5" hidden="true" customHeight="true" outlineLevel="0" collapsed="false">
      <c r="A111" s="108" t="n">
        <f aca="false">A110+1</f>
        <v>36997</v>
      </c>
      <c r="B111" s="119" t="str">
        <f aca="false">INDEX('Master Data'!$A$2:$B$8,MATCH(WEEKDAY('ARG Gas IM'!A111,3),'Master Data'!$A$2:$A$8,0),2)</f>
        <v>M</v>
      </c>
      <c r="D111" s="112" t="n">
        <f aca="false">-523/27.0963</f>
        <v>-19.3015282529349</v>
      </c>
      <c r="E111" s="112" t="n">
        <v>0</v>
      </c>
      <c r="F111" s="112" t="n">
        <v>0</v>
      </c>
      <c r="G111" s="112" t="n">
        <v>-11629</v>
      </c>
      <c r="I111" s="112" t="n">
        <f aca="false">IF(MONTH($A111)=MONTH($A110),IF(G111=0,I110,G111),G111)</f>
        <v>-11629</v>
      </c>
      <c r="J111" s="112" t="n">
        <f aca="false">IF(MONTH($A111)=MONTH($A110),SUM(I111-I110),I111)</f>
        <v>-8916</v>
      </c>
      <c r="K111" s="112" t="n">
        <f aca="false">IF(WEEKDAY(A111,3)&gt;4,0,(IF(A111&lt;K$2,0,IF(A111&lt;=K$3,1,0))))</f>
        <v>0</v>
      </c>
      <c r="L111" s="112" t="n">
        <f aca="false">J111*K111</f>
        <v>-0</v>
      </c>
      <c r="M111" s="112" t="n">
        <f aca="false">SUM(J$97:J111)</f>
        <v>-11629</v>
      </c>
      <c r="N111" s="112" t="n">
        <f aca="false">SUM(J$6:J111)</f>
        <v>-125798</v>
      </c>
      <c r="P111" s="112" t="n">
        <f aca="false">D111/P$3</f>
        <v>-1.93015282529349E-005</v>
      </c>
      <c r="Q111" s="112" t="n">
        <f aca="false">E111/P$3</f>
        <v>0</v>
      </c>
      <c r="R111" s="112" t="n">
        <f aca="false">F111/R$3</f>
        <v>0</v>
      </c>
      <c r="S111" s="114" t="n">
        <f aca="false">J111/$R$3</f>
        <v>-8.916</v>
      </c>
      <c r="T111" s="114" t="n">
        <f aca="false">L111/$R$3</f>
        <v>-0</v>
      </c>
      <c r="U111" s="114" t="n">
        <f aca="false">I111/$R$3</f>
        <v>-11.629</v>
      </c>
      <c r="V111" s="114" t="n">
        <f aca="false">M111/$R$3</f>
        <v>-11.629</v>
      </c>
      <c r="W111" s="114" t="n">
        <f aca="false">N111/$R$3</f>
        <v>-125.798</v>
      </c>
    </row>
    <row r="112" customFormat="false" ht="13.5" hidden="true" customHeight="true" outlineLevel="0" collapsed="false">
      <c r="A112" s="108" t="n">
        <f aca="false">A111+1</f>
        <v>36998</v>
      </c>
      <c r="B112" s="119" t="str">
        <f aca="false">INDEX('Master Data'!$A$2:$B$8,MATCH(WEEKDAY('ARG Gas IM'!A112,3),'Master Data'!$A$2:$A$8,0),2)</f>
        <v>T</v>
      </c>
      <c r="D112" s="112" t="n">
        <f aca="false">-1023/27.0963</f>
        <v>-37.7542321276337</v>
      </c>
      <c r="E112" s="112" t="n">
        <v>0</v>
      </c>
      <c r="F112" s="112" t="n">
        <v>0</v>
      </c>
      <c r="G112" s="112" t="n">
        <v>-5254</v>
      </c>
      <c r="I112" s="112" t="n">
        <f aca="false">IF(MONTH($A112)=MONTH($A111),IF(G112=0,I111,G112),G112)</f>
        <v>-5254</v>
      </c>
      <c r="J112" s="112" t="n">
        <f aca="false">IF(MONTH($A112)=MONTH($A111),SUM(I112-I111),I112)</f>
        <v>6375</v>
      </c>
      <c r="K112" s="112" t="n">
        <f aca="false">IF(WEEKDAY(A112,3)&gt;4,0,(IF(A112&lt;K$2,0,IF(A112&lt;=K$3,1,0))))</f>
        <v>0</v>
      </c>
      <c r="L112" s="112" t="n">
        <f aca="false">J112*K112</f>
        <v>0</v>
      </c>
      <c r="M112" s="112" t="n">
        <f aca="false">SUM(J$97:J112)</f>
        <v>-5254</v>
      </c>
      <c r="N112" s="112" t="n">
        <f aca="false">SUM(J$6:J112)</f>
        <v>-119423</v>
      </c>
      <c r="P112" s="112" t="n">
        <f aca="false">D112/P$3</f>
        <v>-3.77542321276337E-005</v>
      </c>
      <c r="Q112" s="112" t="n">
        <f aca="false">E112/P$3</f>
        <v>0</v>
      </c>
      <c r="R112" s="112" t="n">
        <f aca="false">F112/R$3</f>
        <v>0</v>
      </c>
      <c r="S112" s="114" t="n">
        <f aca="false">J112/$R$3</f>
        <v>6.375</v>
      </c>
      <c r="T112" s="114" t="n">
        <f aca="false">L112/$R$3</f>
        <v>0</v>
      </c>
      <c r="U112" s="114" t="n">
        <f aca="false">I112/$R$3</f>
        <v>-5.254</v>
      </c>
      <c r="V112" s="114" t="n">
        <f aca="false">M112/$R$3</f>
        <v>-5.254</v>
      </c>
      <c r="W112" s="114" t="n">
        <f aca="false">N112/$R$3</f>
        <v>-119.423</v>
      </c>
    </row>
    <row r="113" customFormat="false" ht="13.5" hidden="true" customHeight="true" outlineLevel="0" collapsed="false">
      <c r="A113" s="108" t="n">
        <f aca="false">A112+1</f>
        <v>36999</v>
      </c>
      <c r="B113" s="119" t="str">
        <f aca="false">INDEX('Master Data'!$A$2:$B$8,MATCH(WEEKDAY('ARG Gas IM'!A113,3),'Master Data'!$A$2:$A$8,0),2)</f>
        <v>W</v>
      </c>
      <c r="D113" s="112" t="n">
        <f aca="false">-1523/27.0963</f>
        <v>-56.2069360023324</v>
      </c>
      <c r="E113" s="112" t="n">
        <v>0</v>
      </c>
      <c r="F113" s="112" t="n">
        <v>0</v>
      </c>
      <c r="G113" s="112" t="n">
        <v>-7522</v>
      </c>
      <c r="I113" s="112" t="n">
        <f aca="false">IF(MONTH($A113)=MONTH($A112),IF(G113=0,I112,G113),G113)</f>
        <v>-7522</v>
      </c>
      <c r="J113" s="112" t="n">
        <f aca="false">IF(MONTH($A113)=MONTH($A112),SUM(I113-I112),I113)</f>
        <v>-2268</v>
      </c>
      <c r="K113" s="112" t="n">
        <f aca="false">IF(WEEKDAY(A113,3)&gt;4,0,(IF(A113&lt;K$2,0,IF(A113&lt;=K$3,1,0))))</f>
        <v>0</v>
      </c>
      <c r="L113" s="112" t="n">
        <f aca="false">J113*K113</f>
        <v>-0</v>
      </c>
      <c r="M113" s="112" t="n">
        <f aca="false">SUM(J$97:J113)</f>
        <v>-7522</v>
      </c>
      <c r="N113" s="112" t="n">
        <f aca="false">SUM(J$6:J113)</f>
        <v>-121691</v>
      </c>
      <c r="P113" s="112" t="n">
        <f aca="false">D113/P$3</f>
        <v>-5.62069360023324E-005</v>
      </c>
      <c r="Q113" s="112" t="n">
        <f aca="false">E113/P$3</f>
        <v>0</v>
      </c>
      <c r="R113" s="112" t="n">
        <f aca="false">F113/R$3</f>
        <v>0</v>
      </c>
      <c r="S113" s="114" t="n">
        <f aca="false">J113/$R$3</f>
        <v>-2.268</v>
      </c>
      <c r="T113" s="114" t="n">
        <f aca="false">L113/$R$3</f>
        <v>-0</v>
      </c>
      <c r="U113" s="114" t="n">
        <f aca="false">I113/$R$3</f>
        <v>-7.522</v>
      </c>
      <c r="V113" s="114" t="n">
        <f aca="false">M113/$R$3</f>
        <v>-7.522</v>
      </c>
      <c r="W113" s="114" t="n">
        <f aca="false">N113/$R$3</f>
        <v>-121.691</v>
      </c>
    </row>
    <row r="114" customFormat="false" ht="13.5" hidden="true" customHeight="true" outlineLevel="0" collapsed="false">
      <c r="A114" s="108" t="n">
        <f aca="false">A113+1</f>
        <v>37000</v>
      </c>
      <c r="B114" s="119" t="str">
        <f aca="false">INDEX('Master Data'!$A$2:$B$8,MATCH(WEEKDAY('ARG Gas IM'!A114,3),'Master Data'!$A$2:$A$8,0),2)</f>
        <v>Th</v>
      </c>
      <c r="D114" s="112" t="n">
        <f aca="false">-2023/27.0963</f>
        <v>-74.6596398770312</v>
      </c>
      <c r="E114" s="112" t="n">
        <v>0</v>
      </c>
      <c r="F114" s="112" t="n">
        <v>0</v>
      </c>
      <c r="G114" s="112" t="n">
        <v>-9785.56</v>
      </c>
      <c r="I114" s="112" t="n">
        <f aca="false">IF(MONTH($A114)=MONTH($A113),IF(G114=0,I113,G114),G114)</f>
        <v>-9785.56</v>
      </c>
      <c r="J114" s="112" t="n">
        <f aca="false">IF(MONTH($A114)=MONTH($A113),SUM(I114-I113),I114)</f>
        <v>-2263.56</v>
      </c>
      <c r="K114" s="112" t="n">
        <f aca="false">IF(WEEKDAY(A114,3)&gt;4,0,(IF(A114&lt;K$2,0,IF(A114&lt;=K$3,1,0))))</f>
        <v>0</v>
      </c>
      <c r="L114" s="112" t="n">
        <f aca="false">J114*K114</f>
        <v>-0</v>
      </c>
      <c r="M114" s="112" t="n">
        <f aca="false">SUM(J$97:J114)</f>
        <v>-9785.56</v>
      </c>
      <c r="N114" s="112" t="n">
        <f aca="false">SUM(J$6:J114)</f>
        <v>-123954.56</v>
      </c>
      <c r="P114" s="112" t="n">
        <f aca="false">D114/P$3</f>
        <v>-7.46596398770312E-005</v>
      </c>
      <c r="Q114" s="112" t="n">
        <f aca="false">E114/P$3</f>
        <v>0</v>
      </c>
      <c r="R114" s="112" t="n">
        <f aca="false">F114/R$3</f>
        <v>0</v>
      </c>
      <c r="S114" s="114" t="n">
        <f aca="false">J114/$R$3</f>
        <v>-2.26356</v>
      </c>
      <c r="T114" s="114" t="n">
        <f aca="false">L114/$R$3</f>
        <v>-0</v>
      </c>
      <c r="U114" s="114" t="n">
        <f aca="false">I114/$R$3</f>
        <v>-9.78556</v>
      </c>
      <c r="V114" s="114" t="n">
        <f aca="false">M114/$R$3</f>
        <v>-9.78556</v>
      </c>
      <c r="W114" s="114" t="n">
        <f aca="false">N114/$R$3</f>
        <v>-123.95456</v>
      </c>
    </row>
    <row r="115" customFormat="false" ht="13.5" hidden="true" customHeight="true" outlineLevel="0" collapsed="false">
      <c r="A115" s="108" t="n">
        <f aca="false">A114+1</f>
        <v>37001</v>
      </c>
      <c r="B115" s="119" t="str">
        <f aca="false">INDEX('Master Data'!$A$2:$B$8,MATCH(WEEKDAY('ARG Gas IM'!A115,3),'Master Data'!$A$2:$A$8,0),2)</f>
        <v>F</v>
      </c>
      <c r="D115" s="112" t="n">
        <f aca="false">-2523/27.0963</f>
        <v>-93.1123437517299</v>
      </c>
      <c r="E115" s="112" t="n">
        <v>0</v>
      </c>
      <c r="F115" s="112" t="n">
        <v>0</v>
      </c>
      <c r="G115" s="112" t="n">
        <v>-12029.9210707719</v>
      </c>
      <c r="I115" s="112" t="n">
        <f aca="false">IF(MONTH($A115)=MONTH($A114),IF(G115=0,I114,G115),G115)</f>
        <v>-12029.9210707719</v>
      </c>
      <c r="J115" s="112" t="n">
        <f aca="false">IF(MONTH($A115)=MONTH($A114),SUM(I115-I114),I115)</f>
        <v>-2244.36107077189</v>
      </c>
      <c r="K115" s="112" t="n">
        <f aca="false">IF(WEEKDAY(A115,3)&gt;4,0,(IF(A115&lt;K$2,0,IF(A115&lt;=K$3,1,0))))</f>
        <v>0</v>
      </c>
      <c r="L115" s="112" t="n">
        <f aca="false">J115*K115</f>
        <v>-0</v>
      </c>
      <c r="M115" s="112" t="n">
        <f aca="false">SUM(J$97:J115)</f>
        <v>-12029.9210707719</v>
      </c>
      <c r="N115" s="112" t="n">
        <f aca="false">SUM(J$6:J115)</f>
        <v>-126198.921070772</v>
      </c>
      <c r="P115" s="112" t="n">
        <f aca="false">D115/P$3</f>
        <v>-9.31123437517299E-005</v>
      </c>
      <c r="Q115" s="112" t="n">
        <f aca="false">E115/P$3</f>
        <v>0</v>
      </c>
      <c r="R115" s="112" t="n">
        <f aca="false">F115/R$3</f>
        <v>0</v>
      </c>
      <c r="S115" s="114" t="n">
        <f aca="false">J115/$R$3</f>
        <v>-2.24436107077189</v>
      </c>
      <c r="T115" s="114" t="n">
        <f aca="false">L115/$R$3</f>
        <v>-0</v>
      </c>
      <c r="U115" s="114" t="n">
        <f aca="false">I115/$R$3</f>
        <v>-12.0299210707719</v>
      </c>
      <c r="V115" s="114" t="n">
        <f aca="false">M115/$R$3</f>
        <v>-12.0299210707719</v>
      </c>
      <c r="W115" s="114" t="n">
        <f aca="false">N115/$R$3</f>
        <v>-126.198921070772</v>
      </c>
    </row>
    <row r="116" customFormat="false" ht="13.5" hidden="true" customHeight="true" outlineLevel="0" collapsed="false">
      <c r="A116" s="108" t="n">
        <f aca="false">A115+1</f>
        <v>37002</v>
      </c>
      <c r="B116" s="119" t="str">
        <f aca="false">INDEX('Master Data'!$A$2:$B$8,MATCH(WEEKDAY('ARG Gas IM'!A116,3),'Master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-12029.9210707719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-12029.9210707719</v>
      </c>
      <c r="N116" s="112" t="n">
        <f aca="false">SUM(J$6:J116)</f>
        <v>-126198.921070772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-12.0299210707719</v>
      </c>
      <c r="V116" s="114" t="n">
        <f aca="false">M116/$R$3</f>
        <v>-12.0299210707719</v>
      </c>
      <c r="W116" s="114" t="n">
        <f aca="false">N116/$R$3</f>
        <v>-126.198921070772</v>
      </c>
    </row>
    <row r="117" customFormat="false" ht="13.5" hidden="true" customHeight="true" outlineLevel="0" collapsed="false">
      <c r="A117" s="108" t="n">
        <f aca="false">A116+1</f>
        <v>37003</v>
      </c>
      <c r="B117" s="119" t="str">
        <f aca="false">INDEX('Master Data'!$A$2:$B$8,MATCH(WEEKDAY('ARG Gas IM'!A117,3),'Master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-12029.9210707719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-12029.9210707719</v>
      </c>
      <c r="N117" s="112" t="n">
        <f aca="false">SUM(J$6:J117)</f>
        <v>-126198.921070772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-12.0299210707719</v>
      </c>
      <c r="V117" s="114" t="n">
        <f aca="false">M117/$R$3</f>
        <v>-12.0299210707719</v>
      </c>
      <c r="W117" s="114" t="n">
        <f aca="false">N117/$R$3</f>
        <v>-126.198921070772</v>
      </c>
    </row>
    <row r="118" customFormat="false" ht="13.5" hidden="true" customHeight="true" outlineLevel="0" collapsed="false">
      <c r="A118" s="108" t="n">
        <f aca="false">A117+1</f>
        <v>37004</v>
      </c>
      <c r="B118" s="119" t="str">
        <f aca="false">INDEX('Master Data'!$A$2:$B$8,MATCH(WEEKDAY('ARG Gas IM'!A118,3),'Master Data'!$A$2:$A$8,0),2)</f>
        <v>M</v>
      </c>
      <c r="D118" s="112" t="n">
        <f aca="false">9477/27.0963</f>
        <v>349.75254924104</v>
      </c>
      <c r="E118" s="112" t="n">
        <v>0</v>
      </c>
      <c r="F118" s="112" t="n">
        <v>0</v>
      </c>
      <c r="G118" s="112" t="n">
        <v>-19187</v>
      </c>
      <c r="I118" s="112" t="n">
        <f aca="false">IF(MONTH($A118)=MONTH($A117),IF(G118=0,I117,G118),G118)</f>
        <v>-19187</v>
      </c>
      <c r="J118" s="112" t="n">
        <f aca="false">IF(MONTH($A118)=MONTH($A117),SUM(I118-I117),I118)</f>
        <v>-7157.07892922811</v>
      </c>
      <c r="K118" s="112" t="n">
        <f aca="false">IF(WEEKDAY(A118,3)&gt;4,0,(IF(A118&lt;K$2,0,IF(A118&lt;=K$3,1,0))))</f>
        <v>0</v>
      </c>
      <c r="L118" s="112" t="n">
        <f aca="false">J118*K118</f>
        <v>-0</v>
      </c>
      <c r="M118" s="112" t="n">
        <f aca="false">SUM(J$97:J118)</f>
        <v>-19187</v>
      </c>
      <c r="N118" s="112" t="n">
        <f aca="false">SUM(J$6:J118)</f>
        <v>-133356</v>
      </c>
      <c r="P118" s="112" t="n">
        <f aca="false">D118/P$3</f>
        <v>0.00034975254924104</v>
      </c>
      <c r="Q118" s="112" t="n">
        <f aca="false">E118/P$3</f>
        <v>0</v>
      </c>
      <c r="R118" s="112" t="n">
        <f aca="false">F118/R$3</f>
        <v>0</v>
      </c>
      <c r="S118" s="114" t="n">
        <f aca="false">J118/$R$3</f>
        <v>-7.15707892922811</v>
      </c>
      <c r="T118" s="114" t="n">
        <f aca="false">L118/$R$3</f>
        <v>-0</v>
      </c>
      <c r="U118" s="114" t="n">
        <f aca="false">I118/$R$3</f>
        <v>-19.187</v>
      </c>
      <c r="V118" s="114" t="n">
        <f aca="false">M118/$R$3</f>
        <v>-19.187</v>
      </c>
      <c r="W118" s="114" t="n">
        <f aca="false">N118/$R$3</f>
        <v>-133.356</v>
      </c>
    </row>
    <row r="119" customFormat="false" ht="13.5" hidden="true" customHeight="true" outlineLevel="0" collapsed="false">
      <c r="A119" s="108" t="n">
        <f aca="false">A118+1</f>
        <v>37005</v>
      </c>
      <c r="B119" s="119" t="str">
        <f aca="false">INDEX('Master Data'!$A$2:$B$8,MATCH(WEEKDAY('ARG Gas IM'!A119,3),'Master Data'!$A$2:$A$8,0),2)</f>
        <v>T</v>
      </c>
      <c r="D119" s="112" t="n">
        <f aca="false">21477/27.0963</f>
        <v>792.617442233811</v>
      </c>
      <c r="E119" s="112" t="n">
        <v>0</v>
      </c>
      <c r="F119" s="112" t="n">
        <v>0</v>
      </c>
      <c r="G119" s="112" t="n">
        <v>-21791</v>
      </c>
      <c r="I119" s="112" t="n">
        <f aca="false">IF(MONTH($A119)=MONTH($A118),IF(G119=0,I118,G119),G119)</f>
        <v>-21791</v>
      </c>
      <c r="J119" s="112" t="n">
        <f aca="false">IF(MONTH($A119)=MONTH($A118),SUM(I119-I118),I119)</f>
        <v>-2604</v>
      </c>
      <c r="K119" s="112" t="n">
        <f aca="false">IF(WEEKDAY(A119,3)&gt;4,0,(IF(A119&lt;K$2,0,IF(A119&lt;=K$3,1,0))))</f>
        <v>0</v>
      </c>
      <c r="L119" s="112" t="n">
        <f aca="false">J119*K119</f>
        <v>-0</v>
      </c>
      <c r="M119" s="112" t="n">
        <f aca="false">SUM(J$97:J119)</f>
        <v>-21791</v>
      </c>
      <c r="N119" s="112" t="n">
        <f aca="false">SUM(J$6:J119)</f>
        <v>-135960</v>
      </c>
      <c r="P119" s="112" t="n">
        <f aca="false">D119/P$3</f>
        <v>0.000792617442233811</v>
      </c>
      <c r="Q119" s="112" t="n">
        <f aca="false">E119/P$3</f>
        <v>0</v>
      </c>
      <c r="R119" s="112" t="n">
        <f aca="false">F119/R$3</f>
        <v>0</v>
      </c>
      <c r="S119" s="114" t="n">
        <f aca="false">J119/$R$3</f>
        <v>-2.604</v>
      </c>
      <c r="T119" s="114" t="n">
        <f aca="false">L119/$R$3</f>
        <v>-0</v>
      </c>
      <c r="U119" s="114" t="n">
        <f aca="false">I119/$R$3</f>
        <v>-21.791</v>
      </c>
      <c r="V119" s="114" t="n">
        <f aca="false">M119/$R$3</f>
        <v>-21.791</v>
      </c>
      <c r="W119" s="114" t="n">
        <f aca="false">N119/$R$3</f>
        <v>-135.96</v>
      </c>
    </row>
    <row r="120" customFormat="false" ht="13.5" hidden="true" customHeight="true" outlineLevel="0" collapsed="false">
      <c r="A120" s="108" t="n">
        <f aca="false">A119+1</f>
        <v>37006</v>
      </c>
      <c r="B120" s="119" t="str">
        <f aca="false">INDEX('Master Data'!$A$2:$B$8,MATCH(WEEKDAY('ARG Gas IM'!A120,3),'Master Data'!$A$2:$A$8,0),2)</f>
        <v>W</v>
      </c>
      <c r="D120" s="112" t="n">
        <f aca="false">-26/27.0963</f>
        <v>-0.959540601484336</v>
      </c>
      <c r="E120" s="112" t="n">
        <v>0</v>
      </c>
      <c r="F120" s="112" t="n">
        <v>0</v>
      </c>
      <c r="G120" s="112" t="n">
        <v>-25310</v>
      </c>
      <c r="I120" s="112" t="n">
        <f aca="false">IF(MONTH($A120)=MONTH($A119),IF(G120=0,I119,G120),G120)</f>
        <v>-25310</v>
      </c>
      <c r="J120" s="112" t="n">
        <f aca="false">IF(MONTH($A120)=MONTH($A119),SUM(I120-I119),I120)</f>
        <v>-3519</v>
      </c>
      <c r="K120" s="112" t="n">
        <f aca="false">IF(WEEKDAY(A120,3)&gt;4,0,(IF(A120&lt;K$2,0,IF(A120&lt;=K$3,1,0))))</f>
        <v>0</v>
      </c>
      <c r="L120" s="112" t="n">
        <f aca="false">J120*K120</f>
        <v>-0</v>
      </c>
      <c r="M120" s="112" t="n">
        <f aca="false">SUM(J$97:J120)</f>
        <v>-25310</v>
      </c>
      <c r="N120" s="112" t="n">
        <f aca="false">SUM(J$6:J120)</f>
        <v>-139479</v>
      </c>
      <c r="P120" s="112" t="n">
        <f aca="false">D120/P$3</f>
        <v>-9.59540601484335E-007</v>
      </c>
      <c r="Q120" s="112" t="n">
        <f aca="false">E120/P$3</f>
        <v>0</v>
      </c>
      <c r="R120" s="112" t="n">
        <f aca="false">F120/R$3</f>
        <v>0</v>
      </c>
      <c r="S120" s="114" t="n">
        <f aca="false">J120/$R$3</f>
        <v>-3.519</v>
      </c>
      <c r="T120" s="114" t="n">
        <f aca="false">L120/$R$3</f>
        <v>-0</v>
      </c>
      <c r="U120" s="114" t="n">
        <f aca="false">I120/$R$3</f>
        <v>-25.31</v>
      </c>
      <c r="V120" s="114" t="n">
        <f aca="false">M120/$R$3</f>
        <v>-25.31</v>
      </c>
      <c r="W120" s="114" t="n">
        <f aca="false">N120/$R$3</f>
        <v>-139.479</v>
      </c>
    </row>
    <row r="121" customFormat="false" ht="13.5" hidden="true" customHeight="true" outlineLevel="0" collapsed="false">
      <c r="A121" s="108" t="n">
        <f aca="false">A120+1</f>
        <v>37007</v>
      </c>
      <c r="B121" s="119" t="str">
        <f aca="false">INDEX('Master Data'!$A$2:$B$8,MATCH(WEEKDAY('ARG Gas IM'!A121,3),'Master Data'!$A$2:$A$8,0),2)</f>
        <v>Th</v>
      </c>
      <c r="D121" s="112" t="n">
        <f aca="false">-26/27.0963</f>
        <v>-0.959540601484336</v>
      </c>
      <c r="E121" s="112" t="n">
        <v>0</v>
      </c>
      <c r="F121" s="112" t="n">
        <v>0</v>
      </c>
      <c r="G121" s="112" t="n">
        <v>-27620</v>
      </c>
      <c r="I121" s="112" t="n">
        <f aca="false">IF(MONTH($A121)=MONTH($A120),IF(G121=0,I120,G121),G121)</f>
        <v>-27620</v>
      </c>
      <c r="J121" s="112" t="n">
        <f aca="false">IF(MONTH($A121)=MONTH($A120),SUM(I121-I120),I121)</f>
        <v>-2310</v>
      </c>
      <c r="K121" s="112" t="n">
        <f aca="false">IF(WEEKDAY(A121,3)&gt;4,0,(IF(A121&lt;K$2,0,IF(A121&lt;=K$3,1,0))))</f>
        <v>0</v>
      </c>
      <c r="L121" s="112" t="n">
        <f aca="false">J121*K121</f>
        <v>-0</v>
      </c>
      <c r="M121" s="112" t="n">
        <f aca="false">SUM(J$97:J121)</f>
        <v>-27620</v>
      </c>
      <c r="N121" s="112" t="n">
        <f aca="false">SUM(J$6:J121)</f>
        <v>-141789</v>
      </c>
      <c r="P121" s="112" t="n">
        <f aca="false">D121/P$3</f>
        <v>-9.59540601484335E-007</v>
      </c>
      <c r="Q121" s="112" t="n">
        <f aca="false">E121/P$3</f>
        <v>0</v>
      </c>
      <c r="R121" s="112" t="n">
        <f aca="false">F121/R$3</f>
        <v>0</v>
      </c>
      <c r="S121" s="114" t="n">
        <f aca="false">J121/$R$3</f>
        <v>-2.31</v>
      </c>
      <c r="T121" s="114" t="n">
        <f aca="false">L121/$R$3</f>
        <v>-0</v>
      </c>
      <c r="U121" s="114" t="n">
        <f aca="false">I121/$R$3</f>
        <v>-27.62</v>
      </c>
      <c r="V121" s="114" t="n">
        <f aca="false">M121/$R$3</f>
        <v>-27.62</v>
      </c>
      <c r="W121" s="114" t="n">
        <f aca="false">N121/$R$3</f>
        <v>-141.789</v>
      </c>
    </row>
    <row r="122" customFormat="false" ht="13.5" hidden="true" customHeight="true" outlineLevel="0" collapsed="false">
      <c r="A122" s="108" t="n">
        <f aca="false">A121+1</f>
        <v>37008</v>
      </c>
      <c r="B122" s="119" t="str">
        <f aca="false">INDEX('Master Data'!$A$2:$B$8,MATCH(WEEKDAY('ARG Gas IM'!A122,3),'Master Data'!$A$2:$A$8,0),2)</f>
        <v>F</v>
      </c>
      <c r="D122" s="112" t="n">
        <f aca="false">-26/27.0963</f>
        <v>-0.959540601484336</v>
      </c>
      <c r="E122" s="112" t="n">
        <v>0</v>
      </c>
      <c r="F122" s="112" t="n">
        <v>0</v>
      </c>
      <c r="G122" s="112" t="n">
        <v>-29928</v>
      </c>
      <c r="I122" s="112" t="n">
        <f aca="false">IF(MONTH($A122)=MONTH($A121),IF(G122=0,I121,G122),G122)</f>
        <v>-29928</v>
      </c>
      <c r="J122" s="112" t="n">
        <f aca="false">IF(MONTH($A122)=MONTH($A121),SUM(I122-I121),I122)</f>
        <v>-2308</v>
      </c>
      <c r="K122" s="112" t="n">
        <f aca="false">IF(WEEKDAY(A122,3)&gt;4,0,(IF(A122&lt;K$2,0,IF(A122&lt;=K$3,1,0))))</f>
        <v>0</v>
      </c>
      <c r="L122" s="112" t="n">
        <f aca="false">J122*K122</f>
        <v>-0</v>
      </c>
      <c r="M122" s="112" t="n">
        <f aca="false">SUM(J$97:J122)</f>
        <v>-29928</v>
      </c>
      <c r="N122" s="112" t="n">
        <f aca="false">SUM(J$6:J122)</f>
        <v>-144097</v>
      </c>
      <c r="P122" s="112" t="n">
        <f aca="false">D122/P$3</f>
        <v>-9.59540601484335E-007</v>
      </c>
      <c r="Q122" s="112" t="n">
        <f aca="false">E122/P$3</f>
        <v>0</v>
      </c>
      <c r="R122" s="112" t="n">
        <f aca="false">F122/R$3</f>
        <v>0</v>
      </c>
      <c r="S122" s="114" t="n">
        <f aca="false">J122/$R$3</f>
        <v>-2.308</v>
      </c>
      <c r="T122" s="114" t="n">
        <f aca="false">L122/$R$3</f>
        <v>-0</v>
      </c>
      <c r="U122" s="114" t="n">
        <f aca="false">I122/$R$3</f>
        <v>-29.928</v>
      </c>
      <c r="V122" s="114" t="n">
        <f aca="false">M122/$R$3</f>
        <v>-29.928</v>
      </c>
      <c r="W122" s="114" t="n">
        <f aca="false">N122/$R$3</f>
        <v>-144.097</v>
      </c>
    </row>
    <row r="123" customFormat="false" ht="13.5" hidden="true" customHeight="true" outlineLevel="0" collapsed="false">
      <c r="A123" s="108" t="n">
        <f aca="false">A122+1</f>
        <v>37009</v>
      </c>
      <c r="B123" s="119" t="str">
        <f aca="false">INDEX('Master Data'!$A$2:$B$8,MATCH(WEEKDAY('ARG Gas IM'!A123,3),'Master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-29928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-29928</v>
      </c>
      <c r="N123" s="112" t="n">
        <f aca="false">SUM(J$6:J123)</f>
        <v>-144097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-29.928</v>
      </c>
      <c r="V123" s="114" t="n">
        <f aca="false">M123/$R$3</f>
        <v>-29.928</v>
      </c>
      <c r="W123" s="114" t="n">
        <f aca="false">N123/$R$3</f>
        <v>-144.097</v>
      </c>
    </row>
    <row r="124" customFormat="false" ht="13.5" hidden="true" customHeight="true" outlineLevel="0" collapsed="false">
      <c r="A124" s="108" t="n">
        <f aca="false">A123+1</f>
        <v>37010</v>
      </c>
      <c r="B124" s="119" t="str">
        <f aca="false">INDEX('Master Data'!$A$2:$B$8,MATCH(WEEKDAY('ARG Gas IM'!A124,3),'Master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-29928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-29928</v>
      </c>
      <c r="N124" s="112" t="n">
        <f aca="false">SUM(J$6:J124)</f>
        <v>-144097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-29.928</v>
      </c>
      <c r="V124" s="114" t="n">
        <f aca="false">M124/$R$3</f>
        <v>-29.928</v>
      </c>
      <c r="W124" s="114" t="n">
        <f aca="false">N124/$R$3</f>
        <v>-144.097</v>
      </c>
    </row>
    <row r="125" customFormat="false" ht="13.5" hidden="false" customHeight="true" outlineLevel="0" collapsed="false">
      <c r="A125" s="108" t="n">
        <f aca="false">A124+1</f>
        <v>37011</v>
      </c>
      <c r="B125" s="119" t="str">
        <f aca="false">INDEX('Master Data'!$A$2:$B$8,MATCH(WEEKDAY('ARG Gas IM'!A125,3),'Master Data'!$A$2:$A$8,0),2)</f>
        <v>M</v>
      </c>
      <c r="D125" s="112" t="n">
        <f aca="false">-95155/27.0963</f>
        <v>-3511.73407439392</v>
      </c>
      <c r="E125" s="112" t="n">
        <v>0</v>
      </c>
      <c r="F125" s="112" t="n">
        <v>0</v>
      </c>
      <c r="G125" s="112" t="n">
        <v>-29605</v>
      </c>
      <c r="I125" s="112" t="n">
        <f aca="false">IF(MONTH($A125)=MONTH($A124),IF(G125=0,I124,G125),G125)</f>
        <v>-29605</v>
      </c>
      <c r="J125" s="112" t="n">
        <f aca="false">IF(MONTH($A125)=MONTH($A124),SUM(I125-I124),I125)</f>
        <v>323</v>
      </c>
      <c r="K125" s="112" t="n">
        <f aca="false">IF(WEEKDAY(A125,3)&gt;4,0,(IF(A125&lt;K$2,0,IF(A125&lt;=K$3,1,0))))</f>
        <v>0</v>
      </c>
      <c r="L125" s="112" t="n">
        <f aca="false">J125*K125</f>
        <v>0</v>
      </c>
      <c r="M125" s="112" t="n">
        <f aca="false">SUM(J$97:J125)</f>
        <v>-29605</v>
      </c>
      <c r="N125" s="112" t="n">
        <f aca="false">SUM(J$6:J125)</f>
        <v>-143774</v>
      </c>
      <c r="P125" s="112" t="n">
        <f aca="false">D125/P$3</f>
        <v>-0.00351173407439392</v>
      </c>
      <c r="Q125" s="112" t="n">
        <f aca="false">E125/P$3</f>
        <v>0</v>
      </c>
      <c r="R125" s="112" t="n">
        <f aca="false">F125/R$3</f>
        <v>0</v>
      </c>
      <c r="S125" s="114" t="n">
        <f aca="false">J125/$R$3</f>
        <v>0.323</v>
      </c>
      <c r="T125" s="114" t="n">
        <f aca="false">L125/$R$3</f>
        <v>0</v>
      </c>
      <c r="U125" s="114" t="n">
        <f aca="false">I125/$R$3</f>
        <v>-29.605</v>
      </c>
      <c r="V125" s="114" t="n">
        <f aca="false">M125/$R$3</f>
        <v>-29.605</v>
      </c>
      <c r="W125" s="114" t="n">
        <f aca="false">N125/$R$3</f>
        <v>-143.774</v>
      </c>
    </row>
    <row r="126" customFormat="false" ht="13.5" hidden="true" customHeight="true" outlineLevel="0" collapsed="false">
      <c r="A126" s="108" t="n">
        <f aca="false">A125+1</f>
        <v>37012</v>
      </c>
      <c r="B126" s="119" t="str">
        <f aca="false">INDEX('Master Data'!$A$2:$B$8,MATCH(WEEKDAY('ARG Gas IM'!A126,3),'Master Data'!$A$2:$A$8,0),2)</f>
        <v>T</v>
      </c>
      <c r="D126" s="112" t="n">
        <f aca="false">14554</f>
        <v>14554</v>
      </c>
      <c r="E126" s="112" t="n">
        <v>0</v>
      </c>
      <c r="F126" s="112" t="n">
        <v>0</v>
      </c>
      <c r="G126" s="112" t="n">
        <v>-1021</v>
      </c>
      <c r="I126" s="112" t="n">
        <f aca="false">IF(MONTH($A126)=MONTH($A125),IF(G126=0,I125,G126),G126)</f>
        <v>-1021</v>
      </c>
      <c r="J126" s="112" t="n">
        <f aca="false">IF(MONTH($A126)=MONTH($A125),SUM(I126-I125),I126)</f>
        <v>-1021</v>
      </c>
      <c r="K126" s="112" t="n">
        <f aca="false">IF(WEEKDAY(A126,3)&gt;4,0,(IF(A126&lt;K$2,0,IF(A126&lt;=K$3,1,0))))</f>
        <v>0</v>
      </c>
      <c r="L126" s="112" t="n">
        <f aca="false">J126*K126</f>
        <v>-0</v>
      </c>
      <c r="M126" s="112" t="n">
        <f aca="false">SUM(J$97:J126)</f>
        <v>-30626</v>
      </c>
      <c r="N126" s="112" t="n">
        <f aca="false">SUM(J$6:J126)</f>
        <v>-144795</v>
      </c>
      <c r="P126" s="112" t="n">
        <f aca="false">D126/P$3</f>
        <v>0.014554</v>
      </c>
      <c r="Q126" s="112" t="n">
        <f aca="false">E126/P$3</f>
        <v>0</v>
      </c>
      <c r="R126" s="112" t="n">
        <f aca="false">F126/R$3</f>
        <v>0</v>
      </c>
      <c r="S126" s="114" t="n">
        <f aca="false">J126/$R$3</f>
        <v>-1.021</v>
      </c>
      <c r="T126" s="114" t="n">
        <f aca="false">L126/$R$3</f>
        <v>-0</v>
      </c>
      <c r="U126" s="114" t="n">
        <f aca="false">I126/$R$3</f>
        <v>-1.021</v>
      </c>
      <c r="V126" s="114" t="n">
        <f aca="false">M126/$R$3</f>
        <v>-30.626</v>
      </c>
      <c r="W126" s="114" t="n">
        <f aca="false">N126/$R$3</f>
        <v>-144.795</v>
      </c>
    </row>
    <row r="127" customFormat="false" ht="13.5" hidden="true" customHeight="true" outlineLevel="0" collapsed="false">
      <c r="A127" s="108" t="n">
        <f aca="false">A126+1</f>
        <v>37013</v>
      </c>
      <c r="B127" s="119" t="str">
        <f aca="false">INDEX('Master Data'!$A$2:$B$8,MATCH(WEEKDAY('ARG Gas IM'!A127,3),'Master Data'!$A$2:$A$8,0),2)</f>
        <v>W</v>
      </c>
      <c r="D127" s="112" t="n">
        <v>14070.9420999996</v>
      </c>
      <c r="E127" s="112" t="n">
        <v>0</v>
      </c>
      <c r="F127" s="112" t="n">
        <v>0</v>
      </c>
      <c r="G127" s="112" t="n">
        <v>-27545</v>
      </c>
      <c r="I127" s="112" t="n">
        <f aca="false">IF(MONTH($A127)=MONTH($A126),IF(G127=0,I126,G127),G127)</f>
        <v>-27545</v>
      </c>
      <c r="J127" s="112" t="n">
        <f aca="false">IF(MONTH($A127)=MONTH($A126),SUM(I127-I126),I127)</f>
        <v>-26524</v>
      </c>
      <c r="K127" s="112" t="n">
        <f aca="false">IF(WEEKDAY(A127,3)&gt;4,0,(IF(A127&lt;K$2,0,IF(A127&lt;=K$3,1,0))))</f>
        <v>0</v>
      </c>
      <c r="L127" s="112" t="n">
        <f aca="false">J127*K127</f>
        <v>-0</v>
      </c>
      <c r="M127" s="112" t="n">
        <f aca="false">SUM(J$97:J127)</f>
        <v>-57150</v>
      </c>
      <c r="N127" s="112" t="n">
        <f aca="false">SUM(J$6:J127)</f>
        <v>-171319</v>
      </c>
      <c r="P127" s="112" t="n">
        <f aca="false">D127/P$3</f>
        <v>0.0140709420999996</v>
      </c>
      <c r="Q127" s="112" t="n">
        <f aca="false">E127/P$3</f>
        <v>0</v>
      </c>
      <c r="R127" s="112" t="n">
        <f aca="false">F127/R$3</f>
        <v>0</v>
      </c>
      <c r="S127" s="114" t="n">
        <f aca="false">J127/$R$3</f>
        <v>-26.524</v>
      </c>
      <c r="T127" s="114" t="n">
        <f aca="false">L127/$R$3</f>
        <v>-0</v>
      </c>
      <c r="U127" s="114" t="n">
        <f aca="false">I127/$R$3</f>
        <v>-27.545</v>
      </c>
      <c r="V127" s="114" t="n">
        <f aca="false">M127/$R$3</f>
        <v>-57.15</v>
      </c>
      <c r="W127" s="114" t="n">
        <f aca="false">N127/$R$3</f>
        <v>-171.319</v>
      </c>
    </row>
    <row r="128" customFormat="false" ht="13.5" hidden="true" customHeight="true" outlineLevel="0" collapsed="false">
      <c r="A128" s="108" t="n">
        <f aca="false">A127+1</f>
        <v>37014</v>
      </c>
      <c r="B128" s="119" t="str">
        <f aca="false">INDEX('Master Data'!$A$2:$B$8,MATCH(WEEKDAY('ARG Gas IM'!A128,3),'Master Data'!$A$2:$A$8,0),2)</f>
        <v>Th</v>
      </c>
      <c r="D128" s="112" t="n">
        <v>-7343.8664</v>
      </c>
      <c r="E128" s="112" t="n">
        <v>0</v>
      </c>
      <c r="F128" s="112" t="n">
        <v>0</v>
      </c>
      <c r="G128" s="112" t="n">
        <v>-18793</v>
      </c>
      <c r="I128" s="112" t="n">
        <f aca="false">IF(MONTH($A128)=MONTH($A127),IF(G128=0,I127,G128),G128)</f>
        <v>-18793</v>
      </c>
      <c r="J128" s="112" t="n">
        <f aca="false">IF(MONTH($A128)=MONTH($A127),SUM(I128-I127),I128)</f>
        <v>8752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-48398</v>
      </c>
      <c r="N128" s="112" t="n">
        <f aca="false">SUM(J$6:J128)</f>
        <v>-162567</v>
      </c>
      <c r="P128" s="112" t="n">
        <f aca="false">D128/P$3</f>
        <v>-0.0073438664</v>
      </c>
      <c r="Q128" s="112" t="n">
        <f aca="false">E128/P$3</f>
        <v>0</v>
      </c>
      <c r="R128" s="112" t="n">
        <f aca="false">F128/R$3</f>
        <v>0</v>
      </c>
      <c r="S128" s="114" t="n">
        <f aca="false">J128/$R$3</f>
        <v>8.752</v>
      </c>
      <c r="T128" s="114" t="n">
        <f aca="false">L128/$R$3</f>
        <v>0</v>
      </c>
      <c r="U128" s="114" t="n">
        <f aca="false">I128/$R$3</f>
        <v>-18.793</v>
      </c>
      <c r="V128" s="114" t="n">
        <f aca="false">M128/$R$3</f>
        <v>-48.398</v>
      </c>
      <c r="W128" s="114" t="n">
        <f aca="false">N128/$R$3</f>
        <v>-162.567</v>
      </c>
    </row>
    <row r="129" customFormat="false" ht="13.5" hidden="true" customHeight="true" outlineLevel="0" collapsed="false">
      <c r="A129" s="108" t="n">
        <f aca="false">A128+1</f>
        <v>37015</v>
      </c>
      <c r="B129" s="119" t="str">
        <f aca="false">INDEX('Master Data'!$A$2:$B$8,MATCH(WEEKDAY('ARG Gas IM'!A129,3),'Master Data'!$A$2:$A$8,0),2)</f>
        <v>F</v>
      </c>
      <c r="D129" s="112" t="n">
        <v>9106.76230000141</v>
      </c>
      <c r="E129" s="112" t="n">
        <v>0</v>
      </c>
      <c r="F129" s="112" t="n">
        <v>0</v>
      </c>
      <c r="G129" s="112" t="n">
        <v>-18816</v>
      </c>
      <c r="I129" s="112" t="n">
        <f aca="false">IF(MONTH($A129)=MONTH($A128),IF(G129=0,I128,G129),G129)</f>
        <v>-18816</v>
      </c>
      <c r="J129" s="112" t="n">
        <f aca="false">IF(MONTH($A129)=MONTH($A128),SUM(I129-I128),I129)</f>
        <v>-23</v>
      </c>
      <c r="K129" s="112" t="n">
        <f aca="false">IF(WEEKDAY(A129,3)&gt;4,0,(IF(A129&lt;K$2,0,IF(A129&lt;=K$3,1,0))))</f>
        <v>0</v>
      </c>
      <c r="L129" s="112" t="n">
        <f aca="false">J129*K129</f>
        <v>-0</v>
      </c>
      <c r="M129" s="112" t="n">
        <f aca="false">SUM(J$97:J129)</f>
        <v>-48421</v>
      </c>
      <c r="N129" s="112" t="n">
        <f aca="false">SUM(J$6:J129)</f>
        <v>-162590</v>
      </c>
      <c r="P129" s="112" t="n">
        <f aca="false">D129/P$3</f>
        <v>0.00910676230000141</v>
      </c>
      <c r="Q129" s="112" t="n">
        <f aca="false">E129/P$3</f>
        <v>0</v>
      </c>
      <c r="R129" s="112" t="n">
        <f aca="false">F129/R$3</f>
        <v>0</v>
      </c>
      <c r="S129" s="114" t="n">
        <f aca="false">J129/$R$3</f>
        <v>-0.023</v>
      </c>
      <c r="T129" s="114" t="n">
        <f aca="false">L129/$R$3</f>
        <v>-0</v>
      </c>
      <c r="U129" s="114" t="n">
        <f aca="false">I129/$R$3</f>
        <v>-18.816</v>
      </c>
      <c r="V129" s="114" t="n">
        <f aca="false">M129/$R$3</f>
        <v>-48.421</v>
      </c>
      <c r="W129" s="114" t="n">
        <f aca="false">N129/$R$3</f>
        <v>-162.59</v>
      </c>
    </row>
    <row r="130" customFormat="false" ht="13.5" hidden="true" customHeight="true" outlineLevel="0" collapsed="false">
      <c r="A130" s="108" t="n">
        <f aca="false">A129+1</f>
        <v>37016</v>
      </c>
      <c r="B130" s="119" t="str">
        <f aca="false">INDEX('Master Data'!$A$2:$B$8,MATCH(WEEKDAY('ARG Gas IM'!A130,3),'Master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-18816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-48421</v>
      </c>
      <c r="N130" s="112" t="n">
        <f aca="false">SUM(J$6:J130)</f>
        <v>-162590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-18.816</v>
      </c>
      <c r="V130" s="114" t="n">
        <f aca="false">M130/$R$3</f>
        <v>-48.421</v>
      </c>
      <c r="W130" s="114" t="n">
        <f aca="false">N130/$R$3</f>
        <v>-162.59</v>
      </c>
    </row>
    <row r="131" customFormat="false" ht="13.5" hidden="true" customHeight="true" outlineLevel="0" collapsed="false">
      <c r="A131" s="108" t="n">
        <f aca="false">A130+1</f>
        <v>37017</v>
      </c>
      <c r="B131" s="119" t="str">
        <f aca="false">INDEX('Master Data'!$A$2:$B$8,MATCH(WEEKDAY('ARG Gas IM'!A131,3),'Master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-18816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-48421</v>
      </c>
      <c r="N131" s="112" t="n">
        <f aca="false">SUM(J$6:J131)</f>
        <v>-162590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-18.816</v>
      </c>
      <c r="V131" s="114" t="n">
        <f aca="false">M131/$R$3</f>
        <v>-48.421</v>
      </c>
      <c r="W131" s="114" t="n">
        <f aca="false">N131/$R$3</f>
        <v>-162.59</v>
      </c>
    </row>
    <row r="132" customFormat="false" ht="13.5" hidden="true" customHeight="true" outlineLevel="0" collapsed="false">
      <c r="A132" s="108" t="n">
        <f aca="false">A131+1</f>
        <v>37018</v>
      </c>
      <c r="B132" s="119" t="str">
        <f aca="false">INDEX('Master Data'!$A$2:$B$8,MATCH(WEEKDAY('ARG Gas IM'!A132,3),'Master Data'!$A$2:$A$8,0),2)</f>
        <v>M</v>
      </c>
      <c r="D132" s="112" t="n">
        <v>11652.2208000007</v>
      </c>
      <c r="E132" s="112" t="n">
        <v>0</v>
      </c>
      <c r="F132" s="112" t="n">
        <v>0</v>
      </c>
      <c r="G132" s="112" t="n">
        <v>-19247</v>
      </c>
      <c r="I132" s="112" t="n">
        <f aca="false">IF(MONTH($A132)=MONTH($A131),IF(G132=0,I131,G132),G132)</f>
        <v>-19247</v>
      </c>
      <c r="J132" s="112" t="n">
        <f aca="false">IF(MONTH($A132)=MONTH($A131),SUM(I132-I131),I132)</f>
        <v>-431</v>
      </c>
      <c r="K132" s="112" t="n">
        <f aca="false">IF(WEEKDAY(A132,3)&gt;4,0,(IF(A132&lt;K$2,0,IF(A132&lt;=K$3,1,0))))</f>
        <v>0</v>
      </c>
      <c r="L132" s="112" t="n">
        <f aca="false">J132*K132</f>
        <v>-0</v>
      </c>
      <c r="M132" s="112" t="n">
        <f aca="false">SUM(J$97:J132)</f>
        <v>-48852</v>
      </c>
      <c r="N132" s="112" t="n">
        <f aca="false">SUM(J$6:J132)</f>
        <v>-163021</v>
      </c>
      <c r="P132" s="112" t="n">
        <f aca="false">D132/P$3</f>
        <v>0.0116522208000007</v>
      </c>
      <c r="Q132" s="112" t="n">
        <f aca="false">E132/P$3</f>
        <v>0</v>
      </c>
      <c r="R132" s="112" t="n">
        <f aca="false">F132/R$3</f>
        <v>0</v>
      </c>
      <c r="S132" s="114" t="n">
        <f aca="false">J132/$R$3</f>
        <v>-0.431</v>
      </c>
      <c r="T132" s="114" t="n">
        <f aca="false">L132/$R$3</f>
        <v>-0</v>
      </c>
      <c r="U132" s="114" t="n">
        <f aca="false">I132/$R$3</f>
        <v>-19.247</v>
      </c>
      <c r="V132" s="114" t="n">
        <f aca="false">M132/$R$3</f>
        <v>-48.852</v>
      </c>
      <c r="W132" s="114" t="n">
        <f aca="false">N132/$R$3</f>
        <v>-163.021</v>
      </c>
    </row>
    <row r="133" customFormat="false" ht="13.5" hidden="true" customHeight="true" outlineLevel="0" collapsed="false">
      <c r="A133" s="108" t="n">
        <f aca="false">A132+1</f>
        <v>37019</v>
      </c>
      <c r="B133" s="119" t="str">
        <f aca="false">INDEX('Master Data'!$A$2:$B$8,MATCH(WEEKDAY('ARG Gas IM'!A133,3),'Master Data'!$A$2:$A$8,0),2)</f>
        <v>T</v>
      </c>
      <c r="D133" s="112" t="n">
        <v>11169.9177999991</v>
      </c>
      <c r="E133" s="112" t="n">
        <v>0</v>
      </c>
      <c r="F133" s="112" t="n">
        <v>0</v>
      </c>
      <c r="G133" s="112" t="n">
        <v>-38965</v>
      </c>
      <c r="I133" s="112" t="n">
        <f aca="false">IF(MONTH($A133)=MONTH($A132),IF(G133=0,I132,G133),G133)</f>
        <v>-38965</v>
      </c>
      <c r="J133" s="112" t="n">
        <f aca="false">IF(MONTH($A133)=MONTH($A132),SUM(I133-I132),I133)</f>
        <v>-19718</v>
      </c>
      <c r="K133" s="112" t="n">
        <f aca="false">IF(WEEKDAY(A133,3)&gt;4,0,(IF(A133&lt;K$2,0,IF(A133&lt;=K$3,1,0))))</f>
        <v>0</v>
      </c>
      <c r="L133" s="112" t="n">
        <f aca="false">J133*K133</f>
        <v>-0</v>
      </c>
      <c r="M133" s="112" t="n">
        <f aca="false">SUM(J$97:J133)</f>
        <v>-68570</v>
      </c>
      <c r="N133" s="112" t="n">
        <f aca="false">SUM(J$6:J133)</f>
        <v>-182739</v>
      </c>
      <c r="P133" s="112" t="n">
        <f aca="false">D133/P$3</f>
        <v>0.0111699177999991</v>
      </c>
      <c r="Q133" s="112" t="n">
        <f aca="false">E133/P$3</f>
        <v>0</v>
      </c>
      <c r="R133" s="112" t="n">
        <f aca="false">F133/R$3</f>
        <v>0</v>
      </c>
      <c r="S133" s="114" t="n">
        <f aca="false">J133/$R$3</f>
        <v>-19.718</v>
      </c>
      <c r="T133" s="114" t="n">
        <f aca="false">L133/$R$3</f>
        <v>-0</v>
      </c>
      <c r="U133" s="114" t="n">
        <f aca="false">I133/$R$3</f>
        <v>-38.965</v>
      </c>
      <c r="V133" s="114" t="n">
        <f aca="false">M133/$R$3</f>
        <v>-68.57</v>
      </c>
      <c r="W133" s="114" t="n">
        <f aca="false">N133/$R$3</f>
        <v>-182.739</v>
      </c>
    </row>
    <row r="134" customFormat="false" ht="13.5" hidden="true" customHeight="true" outlineLevel="0" collapsed="false">
      <c r="A134" s="108" t="n">
        <f aca="false">A133+1</f>
        <v>37020</v>
      </c>
      <c r="B134" s="119" t="str">
        <f aca="false">INDEX('Master Data'!$A$2:$B$8,MATCH(WEEKDAY('ARG Gas IM'!A134,3),'Master Data'!$A$2:$A$8,0),2)</f>
        <v>W</v>
      </c>
      <c r="D134" s="112" t="n">
        <v>10685.545200001</v>
      </c>
      <c r="E134" s="112" t="n">
        <v>0</v>
      </c>
      <c r="F134" s="112" t="n">
        <v>0</v>
      </c>
      <c r="G134" s="112" t="n">
        <v>-56750</v>
      </c>
      <c r="I134" s="112" t="n">
        <f aca="false">IF(MONTH($A134)=MONTH($A133),IF(G134=0,I133,G134),G134)</f>
        <v>-56750</v>
      </c>
      <c r="J134" s="112" t="n">
        <f aca="false">IF(MONTH($A134)=MONTH($A133),SUM(I134-I133),I134)</f>
        <v>-17785</v>
      </c>
      <c r="K134" s="112" t="n">
        <f aca="false">IF(WEEKDAY(A134,3)&gt;4,0,(IF(A134&lt;K$2,0,IF(A134&lt;=K$3,1,0))))</f>
        <v>0</v>
      </c>
      <c r="L134" s="112" t="n">
        <f aca="false">J134*K134</f>
        <v>-0</v>
      </c>
      <c r="M134" s="112" t="n">
        <f aca="false">SUM(J$97:J134)</f>
        <v>-86355</v>
      </c>
      <c r="N134" s="112" t="n">
        <f aca="false">SUM(J$6:J134)</f>
        <v>-200524</v>
      </c>
      <c r="P134" s="112" t="n">
        <f aca="false">D134/P$3</f>
        <v>0.010685545200001</v>
      </c>
      <c r="Q134" s="112" t="n">
        <f aca="false">E134/P$3</f>
        <v>0</v>
      </c>
      <c r="R134" s="112" t="n">
        <f aca="false">F134/R$3</f>
        <v>0</v>
      </c>
      <c r="S134" s="114" t="n">
        <f aca="false">J134/$R$3</f>
        <v>-17.785</v>
      </c>
      <c r="T134" s="114" t="n">
        <f aca="false">L134/$R$3</f>
        <v>-0</v>
      </c>
      <c r="U134" s="114" t="n">
        <f aca="false">I134/$R$3</f>
        <v>-56.75</v>
      </c>
      <c r="V134" s="114" t="n">
        <f aca="false">M134/$R$3</f>
        <v>-86.355</v>
      </c>
      <c r="W134" s="114" t="n">
        <f aca="false">N134/$R$3</f>
        <v>-200.524</v>
      </c>
    </row>
    <row r="135" customFormat="false" ht="13.5" hidden="true" customHeight="true" outlineLevel="0" collapsed="false">
      <c r="A135" s="108" t="n">
        <f aca="false">A134+1</f>
        <v>37021</v>
      </c>
      <c r="B135" s="119" t="str">
        <f aca="false">INDEX('Master Data'!$A$2:$B$8,MATCH(WEEKDAY('ARG Gas IM'!A135,3),'Master Data'!$A$2:$A$8,0),2)</f>
        <v>Th</v>
      </c>
      <c r="D135" s="112" t="n">
        <v>31670.4107999999</v>
      </c>
      <c r="E135" s="112" t="n">
        <v>0</v>
      </c>
      <c r="F135" s="112" t="n">
        <v>0</v>
      </c>
      <c r="G135" s="112" t="n">
        <v>-117156</v>
      </c>
      <c r="I135" s="112" t="n">
        <f aca="false">IF(MONTH($A135)=MONTH($A134),IF(G135=0,I134,G135),G135)</f>
        <v>-117156</v>
      </c>
      <c r="J135" s="112" t="n">
        <f aca="false">IF(MONTH($A135)=MONTH($A134),SUM(I135-I134),I135)</f>
        <v>-60406</v>
      </c>
      <c r="K135" s="112" t="n">
        <f aca="false">IF(WEEKDAY(A135,3)&gt;4,0,(IF(A135&lt;K$2,0,IF(A135&lt;=K$3,1,0))))</f>
        <v>0</v>
      </c>
      <c r="L135" s="112" t="n">
        <f aca="false">J135*K135</f>
        <v>-0</v>
      </c>
      <c r="M135" s="112" t="n">
        <f aca="false">SUM(J$97:J135)</f>
        <v>-146761</v>
      </c>
      <c r="N135" s="112" t="n">
        <f aca="false">SUM(J$6:J135)</f>
        <v>-260930</v>
      </c>
      <c r="P135" s="112" t="n">
        <f aca="false">D135/P$3</f>
        <v>0.0316704107999999</v>
      </c>
      <c r="Q135" s="112" t="n">
        <f aca="false">E135/P$3</f>
        <v>0</v>
      </c>
      <c r="R135" s="112" t="n">
        <f aca="false">F135/R$3</f>
        <v>0</v>
      </c>
      <c r="S135" s="114" t="n">
        <f aca="false">J135/$R$3</f>
        <v>-60.406</v>
      </c>
      <c r="T135" s="114" t="n">
        <f aca="false">L135/$R$3</f>
        <v>-0</v>
      </c>
      <c r="U135" s="114" t="n">
        <f aca="false">I135/$R$3</f>
        <v>-117.156</v>
      </c>
      <c r="V135" s="114" t="n">
        <f aca="false">M135/$R$3</f>
        <v>-146.761</v>
      </c>
      <c r="W135" s="114" t="n">
        <f aca="false">N135/$R$3</f>
        <v>-260.93</v>
      </c>
    </row>
    <row r="136" customFormat="false" ht="13.5" hidden="true" customHeight="true" outlineLevel="0" collapsed="false">
      <c r="A136" s="108" t="n">
        <f aca="false">A135+1</f>
        <v>37022</v>
      </c>
      <c r="B136" s="119" t="str">
        <f aca="false">INDEX('Master Data'!$A$2:$B$8,MATCH(WEEKDAY('ARG Gas IM'!A136,3),'Master Data'!$A$2:$A$8,0),2)</f>
        <v>F</v>
      </c>
      <c r="D136" s="112" t="n">
        <v>30166.0774000001</v>
      </c>
      <c r="E136" s="112" t="n">
        <v>0</v>
      </c>
      <c r="F136" s="112" t="n">
        <v>0</v>
      </c>
      <c r="G136" s="112" t="n">
        <v>-117348</v>
      </c>
      <c r="I136" s="112" t="n">
        <f aca="false">IF(MONTH($A136)=MONTH($A135),IF(G136=0,I135,G136),G136)</f>
        <v>-117348</v>
      </c>
      <c r="J136" s="112" t="n">
        <f aca="false">IF(MONTH($A136)=MONTH($A135),SUM(I136-I135),I136)</f>
        <v>-192</v>
      </c>
      <c r="K136" s="112" t="n">
        <f aca="false">IF(WEEKDAY(A136,3)&gt;4,0,(IF(A136&lt;K$2,0,IF(A136&lt;=K$3,1,0))))</f>
        <v>0</v>
      </c>
      <c r="L136" s="112" t="n">
        <f aca="false">J136*K136</f>
        <v>-0</v>
      </c>
      <c r="M136" s="112" t="n">
        <f aca="false">SUM(J$97:J136)</f>
        <v>-146953</v>
      </c>
      <c r="N136" s="112" t="n">
        <f aca="false">SUM(J$6:J136)</f>
        <v>-261122</v>
      </c>
      <c r="P136" s="112" t="n">
        <f aca="false">D136/P$3</f>
        <v>0.0301660774000001</v>
      </c>
      <c r="Q136" s="112" t="n">
        <f aca="false">E136/P$3</f>
        <v>0</v>
      </c>
      <c r="R136" s="112" t="n">
        <f aca="false">F136/R$3</f>
        <v>0</v>
      </c>
      <c r="S136" s="114" t="n">
        <f aca="false">J136/$R$3</f>
        <v>-0.192</v>
      </c>
      <c r="T136" s="114" t="n">
        <f aca="false">L136/$R$3</f>
        <v>-0</v>
      </c>
      <c r="U136" s="114" t="n">
        <f aca="false">I136/$R$3</f>
        <v>-117.348</v>
      </c>
      <c r="V136" s="114" t="n">
        <f aca="false">M136/$R$3</f>
        <v>-146.953</v>
      </c>
      <c r="W136" s="114" t="n">
        <f aca="false">N136/$R$3</f>
        <v>-261.122</v>
      </c>
    </row>
    <row r="137" customFormat="false" ht="13.5" hidden="true" customHeight="true" outlineLevel="0" collapsed="false">
      <c r="A137" s="108" t="n">
        <f aca="false">A136+1</f>
        <v>37023</v>
      </c>
      <c r="B137" s="119" t="str">
        <f aca="false">INDEX('Master Data'!$A$2:$B$8,MATCH(WEEKDAY('ARG Gas IM'!A137,3),'Master Data'!$A$2:$A$8,0),2)</f>
        <v>Sa</v>
      </c>
      <c r="D137" s="112"/>
      <c r="E137" s="112"/>
      <c r="F137" s="112"/>
      <c r="G137" s="112"/>
      <c r="I137" s="112" t="n">
        <f aca="false">IF(MONTH($A137)=MONTH($A136),IF(G137=0,I136,G137),G137)</f>
        <v>-117348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-146953</v>
      </c>
      <c r="N137" s="112" t="n">
        <f aca="false">SUM(J$6:J137)</f>
        <v>-261122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-117.348</v>
      </c>
      <c r="V137" s="114" t="n">
        <f aca="false">M137/$R$3</f>
        <v>-146.953</v>
      </c>
      <c r="W137" s="114" t="n">
        <f aca="false">N137/$R$3</f>
        <v>-261.122</v>
      </c>
    </row>
    <row r="138" customFormat="false" ht="13.5" hidden="true" customHeight="true" outlineLevel="0" collapsed="false">
      <c r="A138" s="108" t="n">
        <f aca="false">A137+1</f>
        <v>37024</v>
      </c>
      <c r="B138" s="119" t="str">
        <f aca="false">INDEX('Master Data'!$A$2:$B$8,MATCH(WEEKDAY('ARG Gas IM'!A138,3),'Master Data'!$A$2:$A$8,0),2)</f>
        <v>Su</v>
      </c>
      <c r="D138" s="112"/>
      <c r="E138" s="112"/>
      <c r="F138" s="112"/>
      <c r="G138" s="112"/>
      <c r="I138" s="112" t="n">
        <f aca="false">IF(MONTH($A138)=MONTH($A137),IF(G138=0,I137,G138),G138)</f>
        <v>-117348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-146953</v>
      </c>
      <c r="N138" s="112" t="n">
        <f aca="false">SUM(J$6:J138)</f>
        <v>-261122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-117.348</v>
      </c>
      <c r="V138" s="114" t="n">
        <f aca="false">M138/$R$3</f>
        <v>-146.953</v>
      </c>
      <c r="W138" s="114" t="n">
        <f aca="false">N138/$R$3</f>
        <v>-261.122</v>
      </c>
    </row>
    <row r="139" customFormat="false" ht="13.5" hidden="true" customHeight="true" outlineLevel="0" collapsed="false">
      <c r="A139" s="108" t="n">
        <f aca="false">A138+1</f>
        <v>37025</v>
      </c>
      <c r="B139" s="119" t="str">
        <f aca="false">INDEX('Master Data'!$A$2:$B$8,MATCH(WEEKDAY('ARG Gas IM'!A139,3),'Master Data'!$A$2:$A$8,0),2)</f>
        <v>M</v>
      </c>
      <c r="D139" s="112" t="n">
        <v>25650.2018000001</v>
      </c>
      <c r="E139" s="112"/>
      <c r="F139" s="112"/>
      <c r="G139" s="112" t="n">
        <v>-112271.196841248</v>
      </c>
      <c r="I139" s="112" t="n">
        <f aca="false">IF(MONTH($A139)=MONTH($A138),IF(G139=0,I138,G139),G139)</f>
        <v>-112271.196841248</v>
      </c>
      <c r="J139" s="112" t="n">
        <f aca="false">IF(MONTH($A139)=MONTH($A138),SUM(I139-I138),I139)</f>
        <v>5076.8031587516</v>
      </c>
      <c r="K139" s="112" t="n">
        <f aca="false">IF(WEEKDAY(A139,3)&gt;4,0,(IF(A139&lt;K$2,0,IF(A139&lt;=K$3,1,0))))</f>
        <v>0</v>
      </c>
      <c r="L139" s="112" t="n">
        <f aca="false">J139*K139</f>
        <v>0</v>
      </c>
      <c r="M139" s="112" t="n">
        <f aca="false">SUM(J$97:J139)</f>
        <v>-141876.196841248</v>
      </c>
      <c r="N139" s="112" t="n">
        <f aca="false">SUM(J$6:J139)</f>
        <v>-256045.196841248</v>
      </c>
      <c r="P139" s="112" t="n">
        <f aca="false">D139/P$3</f>
        <v>0.0256502018000001</v>
      </c>
      <c r="Q139" s="112" t="n">
        <f aca="false">E139/P$3</f>
        <v>0</v>
      </c>
      <c r="R139" s="112" t="n">
        <f aca="false">F139/R$3</f>
        <v>0</v>
      </c>
      <c r="S139" s="114" t="n">
        <f aca="false">J139/$R$3</f>
        <v>5.0768031587516</v>
      </c>
      <c r="T139" s="114" t="n">
        <f aca="false">L139/$R$3</f>
        <v>0</v>
      </c>
      <c r="U139" s="114" t="n">
        <f aca="false">I139/$R$3</f>
        <v>-112.271196841248</v>
      </c>
      <c r="V139" s="114" t="n">
        <f aca="false">M139/$R$3</f>
        <v>-141.876196841248</v>
      </c>
      <c r="W139" s="114" t="n">
        <f aca="false">N139/$R$3</f>
        <v>-256.045196841248</v>
      </c>
    </row>
    <row r="140" customFormat="false" ht="13.5" hidden="true" customHeight="true" outlineLevel="0" collapsed="false">
      <c r="A140" s="108" t="n">
        <f aca="false">A139+1</f>
        <v>37026</v>
      </c>
      <c r="B140" s="119" t="str">
        <f aca="false">INDEX('Master Data'!$A$2:$B$8,MATCH(WEEKDAY('ARG Gas IM'!A140,3),'Master Data'!$A$2:$A$8,0),2)</f>
        <v>T</v>
      </c>
      <c r="D140" s="112" t="n">
        <v>24145</v>
      </c>
      <c r="E140" s="112"/>
      <c r="F140" s="112"/>
      <c r="G140" s="112" t="n">
        <v>-110790</v>
      </c>
      <c r="I140" s="112" t="n">
        <f aca="false">IF(MONTH($A140)=MONTH($A139),IF(G140=0,I139,G140),G140)</f>
        <v>-110790</v>
      </c>
      <c r="J140" s="112" t="n">
        <f aca="false">IF(MONTH($A140)=MONTH($A139),SUM(I140-I139),I140)</f>
        <v>1481.1968412484</v>
      </c>
      <c r="K140" s="112" t="n">
        <f aca="false">IF(WEEKDAY(A140,3)&gt;4,0,(IF(A140&lt;K$2,0,IF(A140&lt;=K$3,1,0))))</f>
        <v>0</v>
      </c>
      <c r="L140" s="112" t="n">
        <f aca="false">J140*K140</f>
        <v>0</v>
      </c>
      <c r="M140" s="112" t="n">
        <f aca="false">SUM(J$97:J140)</f>
        <v>-140395</v>
      </c>
      <c r="N140" s="112" t="n">
        <f aca="false">SUM(J$6:J140)</f>
        <v>-254564</v>
      </c>
      <c r="P140" s="112" t="n">
        <f aca="false">D140/P$3</f>
        <v>0.024145</v>
      </c>
      <c r="Q140" s="112" t="n">
        <f aca="false">E140/P$3</f>
        <v>0</v>
      </c>
      <c r="R140" s="112" t="n">
        <f aca="false">F140/R$3</f>
        <v>0</v>
      </c>
      <c r="S140" s="114" t="n">
        <f aca="false">J140/$R$3</f>
        <v>1.4811968412484</v>
      </c>
      <c r="T140" s="114" t="n">
        <f aca="false">L140/$R$3</f>
        <v>0</v>
      </c>
      <c r="U140" s="114" t="n">
        <f aca="false">I140/$R$3</f>
        <v>-110.79</v>
      </c>
      <c r="V140" s="114" t="n">
        <f aca="false">M140/$R$3</f>
        <v>-140.395</v>
      </c>
      <c r="W140" s="114" t="n">
        <f aca="false">N140/$R$3</f>
        <v>-254.564</v>
      </c>
    </row>
    <row r="141" customFormat="false" ht="13.5" hidden="true" customHeight="true" outlineLevel="0" collapsed="false">
      <c r="A141" s="108" t="n">
        <f aca="false">A140+1</f>
        <v>37027</v>
      </c>
      <c r="B141" s="119" t="str">
        <f aca="false">INDEX('Master Data'!$A$2:$B$8,MATCH(WEEKDAY('ARG Gas IM'!A141,3),'Master Data'!$A$2:$A$8,0),2)</f>
        <v>W</v>
      </c>
      <c r="D141" s="112" t="n">
        <v>22969.1325000002</v>
      </c>
      <c r="E141" s="112"/>
      <c r="F141" s="112"/>
      <c r="G141" s="112" t="n">
        <v>-99952</v>
      </c>
      <c r="I141" s="112" t="n">
        <f aca="false">IF(MONTH($A141)=MONTH($A140),IF(G141=0,I140,G141),G141)</f>
        <v>-99952</v>
      </c>
      <c r="J141" s="112" t="n">
        <f aca="false">IF(MONTH($A141)=MONTH($A140),SUM(I141-I140),I141)</f>
        <v>10838</v>
      </c>
      <c r="K141" s="112" t="n">
        <f aca="false">IF(WEEKDAY(A141,3)&gt;4,0,(IF(A141&lt;K$2,0,IF(A141&lt;=K$3,1,0))))</f>
        <v>0</v>
      </c>
      <c r="L141" s="112" t="n">
        <f aca="false">J141*K141</f>
        <v>0</v>
      </c>
      <c r="M141" s="112" t="n">
        <f aca="false">SUM(J$97:J141)</f>
        <v>-129557</v>
      </c>
      <c r="N141" s="112" t="n">
        <f aca="false">SUM(J$6:J141)</f>
        <v>-243726</v>
      </c>
      <c r="P141" s="112" t="n">
        <f aca="false">D141/P$3</f>
        <v>0.0229691325000002</v>
      </c>
      <c r="Q141" s="112" t="n">
        <f aca="false">E141/P$3</f>
        <v>0</v>
      </c>
      <c r="R141" s="112" t="n">
        <f aca="false">F141/R$3</f>
        <v>0</v>
      </c>
      <c r="S141" s="114" t="n">
        <f aca="false">J141/$R$3</f>
        <v>10.838</v>
      </c>
      <c r="T141" s="114" t="n">
        <f aca="false">L141/$R$3</f>
        <v>0</v>
      </c>
      <c r="U141" s="114" t="n">
        <f aca="false">I141/$R$3</f>
        <v>-99.952</v>
      </c>
      <c r="V141" s="114" t="n">
        <f aca="false">M141/$R$3</f>
        <v>-129.557</v>
      </c>
      <c r="W141" s="114" t="n">
        <f aca="false">N141/$R$3</f>
        <v>-243.726</v>
      </c>
    </row>
    <row r="142" customFormat="false" ht="13.5" hidden="true" customHeight="true" outlineLevel="0" collapsed="false">
      <c r="A142" s="108" t="n">
        <f aca="false">A141+1</f>
        <v>37028</v>
      </c>
      <c r="B142" s="119" t="str">
        <f aca="false">INDEX('Master Data'!$A$2:$B$8,MATCH(WEEKDAY('ARG Gas IM'!A142,3),'Master Data'!$A$2:$A$8,0),2)</f>
        <v>Th</v>
      </c>
      <c r="D142" s="112" t="n">
        <v>18645.4072000003</v>
      </c>
      <c r="E142" s="112"/>
      <c r="F142" s="112"/>
      <c r="G142" s="112" t="n">
        <v>-87989</v>
      </c>
      <c r="I142" s="112" t="n">
        <f aca="false">IF(MONTH($A142)=MONTH($A141),IF(G142=0,I141,G142),G142)</f>
        <v>-87989</v>
      </c>
      <c r="J142" s="112" t="n">
        <f aca="false">IF(MONTH($A142)=MONTH($A141),SUM(I142-I141),I142)</f>
        <v>11963</v>
      </c>
      <c r="K142" s="112" t="n">
        <f aca="false">IF(WEEKDAY(A142,3)&gt;4,0,(IF(A142&lt;K$2,0,IF(A142&lt;=K$3,1,0))))</f>
        <v>0</v>
      </c>
      <c r="L142" s="112" t="n">
        <f aca="false">J142*K142</f>
        <v>0</v>
      </c>
      <c r="M142" s="112" t="n">
        <f aca="false">SUM(J$97:J142)</f>
        <v>-117594</v>
      </c>
      <c r="N142" s="112" t="n">
        <f aca="false">SUM(J$6:J142)</f>
        <v>-231763</v>
      </c>
      <c r="P142" s="112" t="n">
        <f aca="false">D142/P$3</f>
        <v>0.0186454072000003</v>
      </c>
      <c r="Q142" s="112" t="n">
        <f aca="false">E142/P$3</f>
        <v>0</v>
      </c>
      <c r="R142" s="112" t="n">
        <f aca="false">F142/R$3</f>
        <v>0</v>
      </c>
      <c r="S142" s="114" t="n">
        <f aca="false">J142/$R$3</f>
        <v>11.963</v>
      </c>
      <c r="T142" s="114" t="n">
        <f aca="false">L142/$R$3</f>
        <v>0</v>
      </c>
      <c r="U142" s="114" t="n">
        <f aca="false">I142/$R$3</f>
        <v>-87.989</v>
      </c>
      <c r="V142" s="114" t="n">
        <f aca="false">M142/$R$3</f>
        <v>-117.594</v>
      </c>
      <c r="W142" s="114" t="n">
        <f aca="false">N142/$R$3</f>
        <v>-231.763</v>
      </c>
    </row>
    <row r="143" customFormat="false" ht="13.5" hidden="true" customHeight="true" outlineLevel="0" collapsed="false">
      <c r="A143" s="108" t="n">
        <f aca="false">A142+1</f>
        <v>37029</v>
      </c>
      <c r="B143" s="119" t="str">
        <f aca="false">INDEX('Master Data'!$A$2:$B$8,MATCH(WEEKDAY('ARG Gas IM'!A143,3),'Master Data'!$A$2:$A$8,0),2)</f>
        <v>F</v>
      </c>
      <c r="D143" s="112" t="n">
        <v>17315.8652000003</v>
      </c>
      <c r="E143" s="112"/>
      <c r="F143" s="112"/>
      <c r="G143" s="112" t="n">
        <v>-81252</v>
      </c>
      <c r="I143" s="112" t="n">
        <f aca="false">IF(MONTH($A143)=MONTH($A142),IF(G143=0,I142,G143),G143)</f>
        <v>-81252</v>
      </c>
      <c r="J143" s="112" t="n">
        <f aca="false">IF(MONTH($A143)=MONTH($A142),SUM(I143-I142),I143)</f>
        <v>6737</v>
      </c>
      <c r="K143" s="112" t="n">
        <f aca="false">IF(WEEKDAY(A143,3)&gt;4,0,(IF(A143&lt;K$2,0,IF(A143&lt;=K$3,1,0))))</f>
        <v>0</v>
      </c>
      <c r="L143" s="112" t="n">
        <f aca="false">J143*K143</f>
        <v>0</v>
      </c>
      <c r="M143" s="112" t="n">
        <f aca="false">SUM(J$97:J143)</f>
        <v>-110857</v>
      </c>
      <c r="N143" s="112" t="n">
        <f aca="false">SUM(J$6:J143)</f>
        <v>-225026</v>
      </c>
      <c r="P143" s="112" t="n">
        <f aca="false">D143/P$3</f>
        <v>0.0173158652000003</v>
      </c>
      <c r="Q143" s="112" t="n">
        <f aca="false">E143/P$3</f>
        <v>0</v>
      </c>
      <c r="R143" s="112" t="n">
        <f aca="false">F143/R$3</f>
        <v>0</v>
      </c>
      <c r="S143" s="114" t="n">
        <f aca="false">J143/$R$3</f>
        <v>6.737</v>
      </c>
      <c r="T143" s="114" t="n">
        <f aca="false">L143/$R$3</f>
        <v>0</v>
      </c>
      <c r="U143" s="114" t="n">
        <f aca="false">I143/$R$3</f>
        <v>-81.252</v>
      </c>
      <c r="V143" s="114" t="n">
        <f aca="false">M143/$R$3</f>
        <v>-110.857</v>
      </c>
      <c r="W143" s="114" t="n">
        <f aca="false">N143/$R$3</f>
        <v>-225.026</v>
      </c>
    </row>
    <row r="144" customFormat="false" ht="13.5" hidden="true" customHeight="true" outlineLevel="0" collapsed="false">
      <c r="A144" s="108" t="n">
        <f aca="false">A143+1</f>
        <v>37030</v>
      </c>
      <c r="B144" s="119" t="str">
        <f aca="false">INDEX('Master Data'!$A$2:$B$8,MATCH(WEEKDAY('ARG Gas IM'!A144,3),'Master Data'!$A$2:$A$8,0),2)</f>
        <v>Sa</v>
      </c>
      <c r="D144" s="112"/>
      <c r="E144" s="112"/>
      <c r="F144" s="112"/>
      <c r="G144" s="112"/>
      <c r="I144" s="112" t="n">
        <f aca="false">IF(MONTH($A144)=MONTH($A143),IF(G144=0,I143,G144),G144)</f>
        <v>-81252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-110857</v>
      </c>
      <c r="N144" s="112" t="n">
        <f aca="false">SUM(J$6:J144)</f>
        <v>-225026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-81.252</v>
      </c>
      <c r="V144" s="114" t="n">
        <f aca="false">M144/$R$3</f>
        <v>-110.857</v>
      </c>
      <c r="W144" s="114" t="n">
        <f aca="false">N144/$R$3</f>
        <v>-225.026</v>
      </c>
    </row>
    <row r="145" customFormat="false" ht="13.5" hidden="true" customHeight="true" outlineLevel="0" collapsed="false">
      <c r="A145" s="108" t="n">
        <f aca="false">A144+1</f>
        <v>37031</v>
      </c>
      <c r="B145" s="119" t="str">
        <f aca="false">INDEX('Master Data'!$A$2:$B$8,MATCH(WEEKDAY('ARG Gas IM'!A145,3),'Master Data'!$A$2:$A$8,0),2)</f>
        <v>Su</v>
      </c>
      <c r="D145" s="112"/>
      <c r="E145" s="112"/>
      <c r="F145" s="112"/>
      <c r="G145" s="112"/>
      <c r="I145" s="112" t="n">
        <f aca="false">IF(MONTH($A145)=MONTH($A144),IF(G145=0,I144,G145),G145)</f>
        <v>-81252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-110857</v>
      </c>
      <c r="N145" s="112" t="n">
        <f aca="false">SUM(J$6:J145)</f>
        <v>-225026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-81.252</v>
      </c>
      <c r="V145" s="114" t="n">
        <f aca="false">M145/$R$3</f>
        <v>-110.857</v>
      </c>
      <c r="W145" s="114" t="n">
        <f aca="false">N145/$R$3</f>
        <v>-225.026</v>
      </c>
    </row>
    <row r="146" customFormat="false" ht="13.5" hidden="true" customHeight="true" outlineLevel="0" collapsed="false">
      <c r="A146" s="108" t="n">
        <f aca="false">A145+1</f>
        <v>37032</v>
      </c>
      <c r="B146" s="119" t="str">
        <f aca="false">INDEX('Master Data'!$A$2:$B$8,MATCH(WEEKDAY('ARG Gas IM'!A146,3),'Master Data'!$A$2:$A$8,0),2)</f>
        <v>M</v>
      </c>
      <c r="D146" s="112" t="n">
        <v>13508</v>
      </c>
      <c r="E146" s="112"/>
      <c r="F146" s="112"/>
      <c r="G146" s="112" t="n">
        <v>-76251.4669978743</v>
      </c>
      <c r="I146" s="112" t="n">
        <f aca="false">IF(MONTH($A146)=MONTH($A145),IF(G146=0,I145,G146),G146)</f>
        <v>-76251.4669978743</v>
      </c>
      <c r="J146" s="112" t="n">
        <f aca="false">IF(MONTH($A146)=MONTH($A145),SUM(I146-I145),I146)</f>
        <v>5000.53300212568</v>
      </c>
      <c r="K146" s="112" t="n">
        <f aca="false">IF(WEEKDAY(A146,3)&gt;4,0,(IF(A146&lt;K$2,0,IF(A146&lt;=K$3,1,0))))</f>
        <v>0</v>
      </c>
      <c r="L146" s="112" t="n">
        <f aca="false">J146*K146</f>
        <v>0</v>
      </c>
      <c r="M146" s="112" t="n">
        <f aca="false">SUM(J$97:J146)</f>
        <v>-105856.466997874</v>
      </c>
      <c r="N146" s="112" t="n">
        <f aca="false">SUM(J$6:J146)</f>
        <v>-220025.466997874</v>
      </c>
      <c r="P146" s="112" t="n">
        <f aca="false">D146/P$3</f>
        <v>0.013508</v>
      </c>
      <c r="Q146" s="112" t="n">
        <f aca="false">E146/P$3</f>
        <v>0</v>
      </c>
      <c r="R146" s="112" t="n">
        <f aca="false">F146/R$3</f>
        <v>0</v>
      </c>
      <c r="S146" s="114" t="n">
        <f aca="false">J146/$R$3</f>
        <v>5.00053300212568</v>
      </c>
      <c r="T146" s="114" t="n">
        <f aca="false">L146/$R$3</f>
        <v>0</v>
      </c>
      <c r="U146" s="114" t="n">
        <f aca="false">I146/$R$3</f>
        <v>-76.2514669978743</v>
      </c>
      <c r="V146" s="114" t="n">
        <f aca="false">M146/$R$3</f>
        <v>-105.856466997874</v>
      </c>
      <c r="W146" s="114" t="n">
        <f aca="false">N146/$R$3</f>
        <v>-220.025466997874</v>
      </c>
    </row>
    <row r="147" customFormat="false" ht="13.5" hidden="true" customHeight="true" outlineLevel="0" collapsed="false">
      <c r="A147" s="108" t="n">
        <f aca="false">A146+1</f>
        <v>37033</v>
      </c>
      <c r="B147" s="119" t="str">
        <f aca="false">INDEX('Master Data'!$A$2:$B$8,MATCH(WEEKDAY('ARG Gas IM'!A147,3),'Master Data'!$A$2:$A$8,0),2)</f>
        <v>T</v>
      </c>
      <c r="D147" s="112" t="n">
        <v>11993.2038000002</v>
      </c>
      <c r="E147" s="112"/>
      <c r="F147" s="112"/>
      <c r="G147" s="112" t="n">
        <v>-73520</v>
      </c>
      <c r="I147" s="112" t="n">
        <f aca="false">IF(MONTH($A147)=MONTH($A146),IF(G147=0,I146,G147),G147)</f>
        <v>-73520</v>
      </c>
      <c r="J147" s="112" t="n">
        <f aca="false">IF(MONTH($A147)=MONTH($A146),SUM(I147-I146),I147)</f>
        <v>2731.46699787432</v>
      </c>
      <c r="K147" s="112" t="n">
        <f aca="false">IF(WEEKDAY(A147,3)&gt;4,0,(IF(A147&lt;K$2,0,IF(A147&lt;=K$3,1,0))))</f>
        <v>0</v>
      </c>
      <c r="L147" s="112" t="n">
        <f aca="false">J147*K147</f>
        <v>0</v>
      </c>
      <c r="M147" s="112" t="n">
        <f aca="false">SUM(J$97:J147)</f>
        <v>-103125</v>
      </c>
      <c r="N147" s="112" t="n">
        <f aca="false">SUM(J$6:J147)</f>
        <v>-217294</v>
      </c>
      <c r="P147" s="112" t="n">
        <f aca="false">D147/P$3</f>
        <v>0.0119932038000002</v>
      </c>
      <c r="Q147" s="112" t="n">
        <f aca="false">E147/P$3</f>
        <v>0</v>
      </c>
      <c r="R147" s="112" t="n">
        <f aca="false">F147/R$3</f>
        <v>0</v>
      </c>
      <c r="S147" s="114" t="n">
        <f aca="false">J147/$R$3</f>
        <v>2.73146699787432</v>
      </c>
      <c r="T147" s="114" t="n">
        <f aca="false">L147/$R$3</f>
        <v>0</v>
      </c>
      <c r="U147" s="114" t="n">
        <f aca="false">I147/$R$3</f>
        <v>-73.52</v>
      </c>
      <c r="V147" s="114" t="n">
        <f aca="false">M147/$R$3</f>
        <v>-103.125</v>
      </c>
      <c r="W147" s="114" t="n">
        <f aca="false">N147/$R$3</f>
        <v>-217.294</v>
      </c>
    </row>
    <row r="148" customFormat="false" ht="13.5" hidden="true" customHeight="true" outlineLevel="0" collapsed="false">
      <c r="A148" s="108" t="n">
        <f aca="false">A147+1</f>
        <v>37034</v>
      </c>
      <c r="B148" s="119" t="str">
        <f aca="false">INDEX('Master Data'!$A$2:$B$8,MATCH(WEEKDAY('ARG Gas IM'!A148,3),'Master Data'!$A$2:$A$8,0),2)</f>
        <v>W</v>
      </c>
      <c r="D148" s="112" t="n">
        <v>10662</v>
      </c>
      <c r="E148" s="112"/>
      <c r="F148" s="112"/>
      <c r="G148" s="112" t="n">
        <v>-73570</v>
      </c>
      <c r="I148" s="112" t="n">
        <f aca="false">IF(MONTH($A148)=MONTH($A147),IF(G148=0,I147,G148),G148)</f>
        <v>-73570</v>
      </c>
      <c r="J148" s="112" t="n">
        <f aca="false">IF(MONTH($A148)=MONTH($A147),SUM(I148-I147),I148)</f>
        <v>-50</v>
      </c>
      <c r="K148" s="112" t="n">
        <f aca="false">IF(WEEKDAY(A148,3)&gt;4,0,(IF(A148&lt;K$2,0,IF(A148&lt;=K$3,1,0))))</f>
        <v>0</v>
      </c>
      <c r="L148" s="112" t="n">
        <f aca="false">J148*K148</f>
        <v>-0</v>
      </c>
      <c r="M148" s="112" t="n">
        <f aca="false">SUM(J$97:J148)</f>
        <v>-103175</v>
      </c>
      <c r="N148" s="112" t="n">
        <f aca="false">SUM(J$6:J148)</f>
        <v>-217344</v>
      </c>
      <c r="P148" s="112" t="n">
        <f aca="false">D148/P$3</f>
        <v>0.010662</v>
      </c>
      <c r="Q148" s="112" t="n">
        <f aca="false">E148/P$3</f>
        <v>0</v>
      </c>
      <c r="R148" s="112" t="n">
        <f aca="false">F148/R$3</f>
        <v>0</v>
      </c>
      <c r="S148" s="114" t="n">
        <f aca="false">J148/$R$3</f>
        <v>-0.05</v>
      </c>
      <c r="T148" s="114" t="n">
        <f aca="false">L148/$R$3</f>
        <v>-0</v>
      </c>
      <c r="U148" s="114" t="n">
        <f aca="false">I148/$R$3</f>
        <v>-73.57</v>
      </c>
      <c r="V148" s="114" t="n">
        <f aca="false">M148/$R$3</f>
        <v>-103.175</v>
      </c>
      <c r="W148" s="114" t="n">
        <f aca="false">N148/$R$3</f>
        <v>-217.344</v>
      </c>
    </row>
    <row r="149" customFormat="false" ht="13.5" hidden="true" customHeight="true" outlineLevel="0" collapsed="false">
      <c r="A149" s="108" t="n">
        <f aca="false">A148+1</f>
        <v>37035</v>
      </c>
      <c r="B149" s="119" t="str">
        <f aca="false">INDEX('Master Data'!$A$2:$B$8,MATCH(WEEKDAY('ARG Gas IM'!A149,3),'Master Data'!$A$2:$A$8,0),2)</f>
        <v>Th</v>
      </c>
      <c r="D149" s="112" t="n">
        <v>7785.74929999994</v>
      </c>
      <c r="E149" s="112"/>
      <c r="F149" s="112"/>
      <c r="G149" s="112" t="n">
        <v>-76054</v>
      </c>
      <c r="I149" s="112" t="n">
        <f aca="false">IF(MONTH($A149)=MONTH($A148),IF(G149=0,I148,G149),G149)</f>
        <v>-76054</v>
      </c>
      <c r="J149" s="112" t="n">
        <f aca="false">IF(MONTH($A149)=MONTH($A148),SUM(I149-I148),I149)</f>
        <v>-2484</v>
      </c>
      <c r="K149" s="112" t="n">
        <f aca="false">IF(WEEKDAY(A149,3)&gt;4,0,(IF(A149&lt;K$2,0,IF(A149&lt;=K$3,1,0))))</f>
        <v>0</v>
      </c>
      <c r="L149" s="112" t="n">
        <f aca="false">J149*K149</f>
        <v>-0</v>
      </c>
      <c r="M149" s="112" t="n">
        <f aca="false">SUM(J$97:J149)</f>
        <v>-105659</v>
      </c>
      <c r="N149" s="112" t="n">
        <f aca="false">SUM(J$6:J149)</f>
        <v>-219828</v>
      </c>
      <c r="P149" s="112" t="n">
        <f aca="false">D149/P$3</f>
        <v>0.00778574929999994</v>
      </c>
      <c r="Q149" s="112" t="n">
        <f aca="false">E149/P$3</f>
        <v>0</v>
      </c>
      <c r="R149" s="112" t="n">
        <f aca="false">F149/R$3</f>
        <v>0</v>
      </c>
      <c r="S149" s="114" t="n">
        <f aca="false">J149/$R$3</f>
        <v>-2.484</v>
      </c>
      <c r="T149" s="114" t="n">
        <f aca="false">L149/$R$3</f>
        <v>-0</v>
      </c>
      <c r="U149" s="114" t="n">
        <f aca="false">I149/$R$3</f>
        <v>-76.054</v>
      </c>
      <c r="V149" s="114" t="n">
        <f aca="false">M149/$R$3</f>
        <v>-105.659</v>
      </c>
      <c r="W149" s="114" t="n">
        <f aca="false">N149/$R$3</f>
        <v>-219.828</v>
      </c>
    </row>
    <row r="150" customFormat="false" ht="13.5" hidden="true" customHeight="true" outlineLevel="0" collapsed="false">
      <c r="A150" s="108" t="n">
        <f aca="false">A149+1</f>
        <v>37036</v>
      </c>
      <c r="B150" s="119" t="str">
        <f aca="false">INDEX('Master Data'!$A$2:$B$8,MATCH(WEEKDAY('ARG Gas IM'!A150,3),'Master Data'!$A$2:$A$8,0),2)</f>
        <v>F</v>
      </c>
      <c r="D150" s="112" t="n">
        <v>7998.52000000003</v>
      </c>
      <c r="E150" s="112"/>
      <c r="F150" s="112"/>
      <c r="G150" s="112" t="n">
        <v>-71273</v>
      </c>
      <c r="I150" s="112" t="n">
        <f aca="false">IF(MONTH($A150)=MONTH($A149),IF(G150=0,I149,G150),G150)</f>
        <v>-71273</v>
      </c>
      <c r="J150" s="112" t="n">
        <f aca="false">IF(MONTH($A150)=MONTH($A149),SUM(I150-I149),I150)</f>
        <v>4781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-100878</v>
      </c>
      <c r="N150" s="112" t="n">
        <f aca="false">SUM(J$6:J150)</f>
        <v>-215047</v>
      </c>
      <c r="P150" s="112" t="n">
        <f aca="false">D150/P$3</f>
        <v>0.00799852000000003</v>
      </c>
      <c r="Q150" s="112" t="n">
        <f aca="false">E150/P$3</f>
        <v>0</v>
      </c>
      <c r="R150" s="112" t="n">
        <f aca="false">F150/R$3</f>
        <v>0</v>
      </c>
      <c r="S150" s="114" t="n">
        <f aca="false">J150/$R$3</f>
        <v>4.781</v>
      </c>
      <c r="T150" s="114" t="n">
        <f aca="false">L150/$R$3</f>
        <v>0</v>
      </c>
      <c r="U150" s="114" t="n">
        <f aca="false">I150/$R$3</f>
        <v>-71.273</v>
      </c>
      <c r="V150" s="114" t="n">
        <f aca="false">M150/$R$3</f>
        <v>-100.878</v>
      </c>
      <c r="W150" s="114" t="n">
        <f aca="false">N150/$R$3</f>
        <v>-215.047</v>
      </c>
    </row>
    <row r="151" customFormat="false" ht="13.5" hidden="true" customHeight="true" outlineLevel="0" collapsed="false">
      <c r="A151" s="108" t="n">
        <f aca="false">A150+1</f>
        <v>37037</v>
      </c>
      <c r="B151" s="119" t="str">
        <f aca="false">INDEX('Master Data'!$A$2:$B$8,MATCH(WEEKDAY('ARG Gas IM'!A151,3),'Master Data'!$A$2:$A$8,0),2)</f>
        <v>Sa</v>
      </c>
      <c r="D151" s="112"/>
      <c r="E151" s="112"/>
      <c r="F151" s="112"/>
      <c r="G151" s="112"/>
      <c r="I151" s="112" t="n">
        <f aca="false">IF(MONTH($A151)=MONTH($A150),IF(G151=0,I150,G151),G151)</f>
        <v>-71273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-100878</v>
      </c>
      <c r="N151" s="112" t="n">
        <f aca="false">SUM(J$6:J151)</f>
        <v>-215047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-71.273</v>
      </c>
      <c r="V151" s="114" t="n">
        <f aca="false">M151/$R$3</f>
        <v>-100.878</v>
      </c>
      <c r="W151" s="114" t="n">
        <f aca="false">N151/$R$3</f>
        <v>-215.047</v>
      </c>
    </row>
    <row r="152" customFormat="false" ht="13.5" hidden="true" customHeight="true" outlineLevel="0" collapsed="false">
      <c r="A152" s="108" t="n">
        <f aca="false">A151+1</f>
        <v>37038</v>
      </c>
      <c r="B152" s="119" t="str">
        <f aca="false">INDEX('Master Data'!$A$2:$B$8,MATCH(WEEKDAY('ARG Gas IM'!A152,3),'Master Data'!$A$2:$A$8,0),2)</f>
        <v>Su</v>
      </c>
      <c r="D152" s="112"/>
      <c r="E152" s="112"/>
      <c r="F152" s="112"/>
      <c r="G152" s="112"/>
      <c r="I152" s="112" t="n">
        <f aca="false">IF(MONTH($A152)=MONTH($A151),IF(G152=0,I151,G152),G152)</f>
        <v>-71273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-100878</v>
      </c>
      <c r="N152" s="112" t="n">
        <f aca="false">SUM(J$6:J152)</f>
        <v>-215047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-71.273</v>
      </c>
      <c r="V152" s="114" t="n">
        <f aca="false">M152/$R$3</f>
        <v>-100.878</v>
      </c>
      <c r="W152" s="114" t="n">
        <f aca="false">N152/$R$3</f>
        <v>-215.047</v>
      </c>
    </row>
    <row r="153" customFormat="false" ht="13.5" hidden="true" customHeight="true" outlineLevel="0" collapsed="false">
      <c r="A153" s="108" t="n">
        <f aca="false">A152+1</f>
        <v>37039</v>
      </c>
      <c r="B153" s="119" t="str">
        <f aca="false">INDEX('Master Data'!$A$2:$B$8,MATCH(WEEKDAY('ARG Gas IM'!A153,3),'Master Data'!$A$2:$A$8,0),2)</f>
        <v>M</v>
      </c>
      <c r="D153" s="112"/>
      <c r="E153" s="112"/>
      <c r="F153" s="112"/>
      <c r="G153" s="112"/>
      <c r="I153" s="112" t="n">
        <f aca="false">IF(MONTH($A153)=MONTH($A152),IF(G153=0,I152,G153),G153)</f>
        <v>-71273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-100878</v>
      </c>
      <c r="N153" s="112" t="n">
        <f aca="false">SUM(J$6:J153)</f>
        <v>-215047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-71.273</v>
      </c>
      <c r="V153" s="114" t="n">
        <f aca="false">M153/$R$3</f>
        <v>-100.878</v>
      </c>
      <c r="W153" s="114" t="n">
        <f aca="false">N153/$R$3</f>
        <v>-215.047</v>
      </c>
    </row>
    <row r="154" customFormat="false" ht="13.5" hidden="true" customHeight="true" outlineLevel="0" collapsed="false">
      <c r="A154" s="108" t="n">
        <f aca="false">A153+1</f>
        <v>37040</v>
      </c>
      <c r="B154" s="119" t="str">
        <f aca="false">INDEX('Master Data'!$A$2:$B$8,MATCH(WEEKDAY('ARG Gas IM'!A154,3),'Master Data'!$A$2:$A$8,0),2)</f>
        <v>T</v>
      </c>
      <c r="D154" s="112" t="n">
        <v>2667.38599999999</v>
      </c>
      <c r="E154" s="112"/>
      <c r="F154" s="112"/>
      <c r="G154" s="112" t="n">
        <v>-61738</v>
      </c>
      <c r="I154" s="112" t="n">
        <f aca="false">IF(MONTH($A154)=MONTH($A153),IF(G154=0,I153,G154),G154)</f>
        <v>-61738</v>
      </c>
      <c r="J154" s="112" t="n">
        <f aca="false">IF(MONTH($A154)=MONTH($A153),SUM(I154-I153),I154)</f>
        <v>9535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-91343</v>
      </c>
      <c r="N154" s="112" t="n">
        <f aca="false">SUM(J$6:J154)</f>
        <v>-205512</v>
      </c>
      <c r="P154" s="112" t="n">
        <f aca="false">D154/P$3</f>
        <v>0.00266738599999999</v>
      </c>
      <c r="Q154" s="112" t="n">
        <f aca="false">E154/P$3</f>
        <v>0</v>
      </c>
      <c r="R154" s="112" t="n">
        <f aca="false">F154/R$3</f>
        <v>0</v>
      </c>
      <c r="S154" s="114" t="n">
        <f aca="false">J154/$R$3</f>
        <v>9.535</v>
      </c>
      <c r="T154" s="114" t="n">
        <f aca="false">L154/$R$3</f>
        <v>0</v>
      </c>
      <c r="U154" s="114" t="n">
        <f aca="false">I154/$R$3</f>
        <v>-61.738</v>
      </c>
      <c r="V154" s="114" t="n">
        <f aca="false">M154/$R$3</f>
        <v>-91.343</v>
      </c>
      <c r="W154" s="114" t="n">
        <f aca="false">N154/$R$3</f>
        <v>-205.512</v>
      </c>
    </row>
    <row r="155" customFormat="false" ht="13.5" hidden="true" customHeight="true" outlineLevel="0" collapsed="false">
      <c r="A155" s="108" t="n">
        <f aca="false">A154+1</f>
        <v>37041</v>
      </c>
      <c r="B155" s="119" t="str">
        <f aca="false">INDEX('Master Data'!$A$2:$B$8,MATCH(WEEKDAY('ARG Gas IM'!A155,3),'Master Data'!$A$2:$A$8,0),2)</f>
        <v>W</v>
      </c>
      <c r="D155" s="112" t="n">
        <v>1329.3208</v>
      </c>
      <c r="E155" s="112"/>
      <c r="F155" s="112"/>
      <c r="G155" s="112" t="n">
        <v>-59323.0110577799</v>
      </c>
      <c r="I155" s="112" t="n">
        <f aca="false">IF(MONTH($A155)=MONTH($A154),IF(G155=0,I154,G155),G155)</f>
        <v>-59323.0110577799</v>
      </c>
      <c r="J155" s="112" t="n">
        <f aca="false">IF(MONTH($A155)=MONTH($A154),SUM(I155-I154),I155)</f>
        <v>2414.98894222014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-88928.0110577799</v>
      </c>
      <c r="N155" s="112" t="n">
        <f aca="false">SUM(J$6:J155)</f>
        <v>-203097.01105778</v>
      </c>
      <c r="P155" s="112" t="n">
        <f aca="false">D155/P$3</f>
        <v>0.0013293208</v>
      </c>
      <c r="Q155" s="112" t="n">
        <f aca="false">E155/P$3</f>
        <v>0</v>
      </c>
      <c r="R155" s="112" t="n">
        <f aca="false">F155/R$3</f>
        <v>0</v>
      </c>
      <c r="S155" s="114" t="n">
        <f aca="false">J155/$R$3</f>
        <v>2.41498894222014</v>
      </c>
      <c r="T155" s="114" t="n">
        <f aca="false">L155/$R$3</f>
        <v>0</v>
      </c>
      <c r="U155" s="114" t="n">
        <f aca="false">I155/$R$3</f>
        <v>-59.3230110577799</v>
      </c>
      <c r="V155" s="114" t="n">
        <f aca="false">M155/$R$3</f>
        <v>-88.9280110577799</v>
      </c>
      <c r="W155" s="114" t="n">
        <f aca="false">N155/$R$3</f>
        <v>-203.09701105778</v>
      </c>
    </row>
    <row r="156" customFormat="false" ht="13.5" hidden="false" customHeight="true" outlineLevel="0" collapsed="false">
      <c r="A156" s="108" t="n">
        <f aca="false">A155+1</f>
        <v>37042</v>
      </c>
      <c r="B156" s="119" t="str">
        <f aca="false">INDEX('Master Data'!$A$2:$B$8,MATCH(WEEKDAY('ARG Gas IM'!A156,3),'Master Data'!$A$2:$A$8,0),2)</f>
        <v>Th</v>
      </c>
      <c r="D156" s="112" t="n">
        <v>-30521.7119999999</v>
      </c>
      <c r="E156" s="112"/>
      <c r="F156" s="112"/>
      <c r="G156" s="112" t="n">
        <v>-69518</v>
      </c>
      <c r="I156" s="112" t="n">
        <f aca="false">IF(MONTH($A156)=MONTH($A155),IF(G156=0,I155,G156),G156)</f>
        <v>-69518</v>
      </c>
      <c r="J156" s="112" t="n">
        <f aca="false">IF(MONTH($A156)=MONTH($A155),SUM(I156-I155),I156)</f>
        <v>-10194.9889422201</v>
      </c>
      <c r="K156" s="112" t="n">
        <f aca="false">IF(WEEKDAY(A156,3)&gt;4,0,(IF(A156&lt;K$2,0,IF(A156&lt;=K$3,1,0))))</f>
        <v>0</v>
      </c>
      <c r="L156" s="112" t="n">
        <f aca="false">J156*K156</f>
        <v>-0</v>
      </c>
      <c r="M156" s="112" t="n">
        <f aca="false">SUM(J$97:J156)</f>
        <v>-99123</v>
      </c>
      <c r="N156" s="112" t="n">
        <f aca="false">SUM(J$6:J156)</f>
        <v>-213292</v>
      </c>
      <c r="P156" s="112" t="n">
        <f aca="false">D156/P$3</f>
        <v>-0.0305217119999999</v>
      </c>
      <c r="Q156" s="112" t="n">
        <f aca="false">E156/P$3</f>
        <v>0</v>
      </c>
      <c r="R156" s="112" t="n">
        <f aca="false">F156/R$3</f>
        <v>0</v>
      </c>
      <c r="S156" s="114" t="n">
        <f aca="false">J156/$R$3</f>
        <v>-10.1949889422201</v>
      </c>
      <c r="T156" s="114" t="n">
        <f aca="false">L156/$R$3</f>
        <v>-0</v>
      </c>
      <c r="U156" s="114" t="n">
        <f aca="false">I156/$R$3</f>
        <v>-69.518</v>
      </c>
      <c r="V156" s="114" t="n">
        <f aca="false">M156/$R$3</f>
        <v>-99.123</v>
      </c>
      <c r="W156" s="114" t="n">
        <f aca="false">N156/$R$3</f>
        <v>-213.292</v>
      </c>
    </row>
    <row r="157" customFormat="false" ht="13.5" hidden="true" customHeight="true" outlineLevel="0" collapsed="false">
      <c r="A157" s="108" t="n">
        <f aca="false">A156+1</f>
        <v>37043</v>
      </c>
      <c r="B157" s="119" t="str">
        <f aca="false">INDEX('Master Data'!$A$2:$B$8,MATCH(WEEKDAY('ARG Gas IM'!A157,3),'Master Data'!$A$2:$A$8,0),2)</f>
        <v>F</v>
      </c>
      <c r="D157" s="112" t="n">
        <v>-29507.6421</v>
      </c>
      <c r="E157" s="112"/>
      <c r="F157" s="112"/>
      <c r="G157" s="112" t="n">
        <v>-38738.184056391</v>
      </c>
      <c r="I157" s="112" t="n">
        <f aca="false">IF(MONTH($A157)=MONTH($A156),IF(G157=0,I156,G157),G157)</f>
        <v>-38738.184056391</v>
      </c>
      <c r="J157" s="112" t="n">
        <f aca="false">IF(MONTH($A157)=MONTH($A156),SUM(I157-I156),I157)</f>
        <v>-38738.184056391</v>
      </c>
      <c r="K157" s="112" t="n">
        <f aca="false">IF(WEEKDAY(A157,3)&gt;4,0,(IF(A157&lt;K$2,0,IF(A157&lt;=K$3,1,0))))</f>
        <v>0</v>
      </c>
      <c r="L157" s="112" t="n">
        <f aca="false">J157*K157</f>
        <v>-0</v>
      </c>
      <c r="M157" s="112" t="n">
        <f aca="false">SUM(J$97:J157)</f>
        <v>-137861.184056391</v>
      </c>
      <c r="N157" s="112" t="n">
        <f aca="false">SUM(J$6:J157)</f>
        <v>-252030.184056391</v>
      </c>
      <c r="P157" s="112" t="n">
        <f aca="false">D157/P$3</f>
        <v>-0.0295076421</v>
      </c>
      <c r="Q157" s="112" t="n">
        <f aca="false">E157/P$3</f>
        <v>0</v>
      </c>
      <c r="R157" s="112" t="n">
        <f aca="false">F157/R$3</f>
        <v>0</v>
      </c>
      <c r="S157" s="114" t="n">
        <f aca="false">J157/$R$3</f>
        <v>-38.738184056391</v>
      </c>
      <c r="T157" s="114" t="n">
        <f aca="false">L157/$R$3</f>
        <v>-0</v>
      </c>
      <c r="U157" s="114" t="n">
        <f aca="false">I157/$R$3</f>
        <v>-38.738184056391</v>
      </c>
      <c r="V157" s="114" t="n">
        <f aca="false">M157/$R$3</f>
        <v>-137.861184056391</v>
      </c>
      <c r="W157" s="114" t="n">
        <f aca="false">N157/$R$3</f>
        <v>-252.030184056391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Data'!$A$2:$B$8,MATCH(WEEKDAY('ARG Gas IM'!A158,3),'Master Data'!$A$2:$A$8,0),2)</f>
        <v>Sa</v>
      </c>
      <c r="D158" s="112"/>
      <c r="E158" s="112"/>
      <c r="F158" s="112"/>
      <c r="G158" s="112"/>
      <c r="I158" s="112" t="n">
        <f aca="false">IF(MONTH($A158)=MONTH($A157),IF(G158=0,I157,G158),G158)</f>
        <v>-38738.184056391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-137861.184056391</v>
      </c>
      <c r="N158" s="112" t="n">
        <f aca="false">SUM(J$6:J158)</f>
        <v>-252030.184056391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-38.738184056391</v>
      </c>
      <c r="V158" s="114" t="n">
        <f aca="false">M158/$R$3</f>
        <v>-137.861184056391</v>
      </c>
      <c r="W158" s="114" t="n">
        <f aca="false">N158/$R$3</f>
        <v>-252.030184056391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Data'!$A$2:$B$8,MATCH(WEEKDAY('ARG Gas IM'!A159,3),'Master Data'!$A$2:$A$8,0),2)</f>
        <v>Su</v>
      </c>
      <c r="D159" s="112"/>
      <c r="E159" s="112"/>
      <c r="F159" s="112"/>
      <c r="G159" s="112"/>
      <c r="I159" s="112" t="n">
        <f aca="false">IF(MONTH($A159)=MONTH($A158),IF(G159=0,I158,G159),G159)</f>
        <v>-38738.184056391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-137861.184056391</v>
      </c>
      <c r="N159" s="112" t="n">
        <f aca="false">SUM(J$6:J159)</f>
        <v>-252030.184056391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-38.738184056391</v>
      </c>
      <c r="V159" s="114" t="n">
        <f aca="false">M159/$R$3</f>
        <v>-137.861184056391</v>
      </c>
      <c r="W159" s="114" t="n">
        <f aca="false">N159/$R$3</f>
        <v>-252.030184056391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Data'!$A$2:$B$8,MATCH(WEEKDAY('ARG Gas IM'!A160,3),'Master Data'!$A$2:$A$8,0),2)</f>
        <v>M</v>
      </c>
      <c r="D160" s="112" t="n">
        <v>-30536.4749999996</v>
      </c>
      <c r="E160" s="112"/>
      <c r="F160" s="112"/>
      <c r="G160" s="112" t="n">
        <v>-45696</v>
      </c>
      <c r="I160" s="112" t="n">
        <f aca="false">IF(MONTH($A160)=MONTH($A159),IF(G160=0,I159,G160),G160)</f>
        <v>-45696</v>
      </c>
      <c r="J160" s="112" t="n">
        <f aca="false">IF(MONTH($A160)=MONTH($A159),SUM(I160-I159),I160)</f>
        <v>-6957.81594360901</v>
      </c>
      <c r="K160" s="112" t="n">
        <f aca="false">IF(WEEKDAY(A160,3)&gt;4,0,(IF(A160&lt;K$2,0,IF(A160&lt;=K$3,1,0))))</f>
        <v>0</v>
      </c>
      <c r="L160" s="112" t="n">
        <f aca="false">J160*K160</f>
        <v>-0</v>
      </c>
      <c r="M160" s="112" t="n">
        <f aca="false">SUM(J$97:J160)</f>
        <v>-144819</v>
      </c>
      <c r="N160" s="112" t="n">
        <f aca="false">SUM(J$6:J160)</f>
        <v>-258988</v>
      </c>
      <c r="P160" s="112" t="n">
        <f aca="false">D160/P$3</f>
        <v>-0.0305364749999996</v>
      </c>
      <c r="Q160" s="112" t="n">
        <f aca="false">E160/P$3</f>
        <v>0</v>
      </c>
      <c r="R160" s="112" t="n">
        <f aca="false">F160/R$3</f>
        <v>0</v>
      </c>
      <c r="S160" s="114" t="n">
        <f aca="false">J160/$R$3</f>
        <v>-6.95781594360901</v>
      </c>
      <c r="T160" s="114" t="n">
        <f aca="false">L160/$R$3</f>
        <v>-0</v>
      </c>
      <c r="U160" s="114" t="n">
        <f aca="false">I160/$R$3</f>
        <v>-45.696</v>
      </c>
      <c r="V160" s="114" t="n">
        <f aca="false">M160/$R$3</f>
        <v>-144.819</v>
      </c>
      <c r="W160" s="114" t="n">
        <f aca="false">N160/$R$3</f>
        <v>-258.988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Data'!$A$2:$B$8,MATCH(WEEKDAY('ARG Gas IM'!A161,3),'Master Data'!$A$2:$A$8,0),2)</f>
        <v>T</v>
      </c>
      <c r="D161" s="112" t="n">
        <v>78963.7679000002</v>
      </c>
      <c r="E161" s="112"/>
      <c r="F161" s="112"/>
      <c r="G161" s="112" t="n">
        <v>-62292</v>
      </c>
      <c r="I161" s="112" t="n">
        <f aca="false">IF(MONTH($A161)=MONTH($A160),IF(G161=0,I160,G161),G161)</f>
        <v>-62292</v>
      </c>
      <c r="J161" s="112" t="n">
        <f aca="false">IF(MONTH($A161)=MONTH($A160),SUM(I161-I160),I161)</f>
        <v>-16596</v>
      </c>
      <c r="K161" s="112" t="n">
        <f aca="false">IF(WEEKDAY(A161,3)&gt;4,0,(IF(A161&lt;K$2,0,IF(A161&lt;=K$3,1,0))))</f>
        <v>0</v>
      </c>
      <c r="L161" s="112" t="n">
        <f aca="false">J161*K161</f>
        <v>-0</v>
      </c>
      <c r="M161" s="112" t="n">
        <f aca="false">SUM(J$97:J161)</f>
        <v>-161415</v>
      </c>
      <c r="N161" s="112" t="n">
        <f aca="false">SUM(J$6:J161)</f>
        <v>-275584</v>
      </c>
      <c r="P161" s="112" t="n">
        <f aca="false">D161/P$3</f>
        <v>0.0789637679000002</v>
      </c>
      <c r="Q161" s="112" t="n">
        <f aca="false">E161/P$3</f>
        <v>0</v>
      </c>
      <c r="R161" s="112" t="n">
        <f aca="false">F161/R$3</f>
        <v>0</v>
      </c>
      <c r="S161" s="114" t="n">
        <f aca="false">J161/$R$3</f>
        <v>-16.596</v>
      </c>
      <c r="T161" s="114" t="n">
        <f aca="false">L161/$R$3</f>
        <v>-0</v>
      </c>
      <c r="U161" s="114" t="n">
        <f aca="false">I161/$R$3</f>
        <v>-62.292</v>
      </c>
      <c r="V161" s="114" t="n">
        <f aca="false">M161/$R$3</f>
        <v>-161.415</v>
      </c>
      <c r="W161" s="114" t="n">
        <f aca="false">N161/$R$3</f>
        <v>-275.584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Data'!$A$2:$B$8,MATCH(WEEKDAY('ARG Gas IM'!A162,3),'Master Data'!$A$2:$A$8,0),2)</f>
        <v>W</v>
      </c>
      <c r="D162" s="112" t="n">
        <v>76328.5913999994</v>
      </c>
      <c r="E162" s="112"/>
      <c r="F162" s="112"/>
      <c r="G162" s="112" t="n">
        <v>-63582</v>
      </c>
      <c r="I162" s="112" t="n">
        <f aca="false">IF(MONTH($A162)=MONTH($A161),IF(G162=0,I161,G162),G162)</f>
        <v>-63582</v>
      </c>
      <c r="J162" s="112" t="n">
        <f aca="false">IF(MONTH($A162)=MONTH($A161),SUM(I162-I161),I162)</f>
        <v>-1290</v>
      </c>
      <c r="K162" s="112" t="n">
        <f aca="false">IF(WEEKDAY(A162,3)&gt;4,0,(IF(A162&lt;K$2,0,IF(A162&lt;=K$3,1,0))))</f>
        <v>0</v>
      </c>
      <c r="L162" s="112" t="n">
        <f aca="false">J162*K162</f>
        <v>-0</v>
      </c>
      <c r="M162" s="112" t="n">
        <f aca="false">SUM(J$97:J162)</f>
        <v>-162705</v>
      </c>
      <c r="N162" s="112" t="n">
        <f aca="false">SUM(J$6:J162)</f>
        <v>-276874</v>
      </c>
      <c r="P162" s="112" t="n">
        <f aca="false">D162/P$3</f>
        <v>0.0763285913999994</v>
      </c>
      <c r="Q162" s="112" t="n">
        <f aca="false">E162/P$3</f>
        <v>0</v>
      </c>
      <c r="R162" s="112" t="n">
        <f aca="false">F162/R$3</f>
        <v>0</v>
      </c>
      <c r="S162" s="114" t="n">
        <f aca="false">J162/$R$3</f>
        <v>-1.29</v>
      </c>
      <c r="T162" s="114" t="n">
        <f aca="false">L162/$R$3</f>
        <v>-0</v>
      </c>
      <c r="U162" s="114" t="n">
        <f aca="false">I162/$R$3</f>
        <v>-63.582</v>
      </c>
      <c r="V162" s="114" t="n">
        <f aca="false">M162/$R$3</f>
        <v>-162.705</v>
      </c>
      <c r="W162" s="114" t="n">
        <f aca="false">N162/$R$3</f>
        <v>-276.874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Data'!$A$2:$B$8,MATCH(WEEKDAY('ARG Gas IM'!A163,3),'Master Data'!$A$2:$A$8,0),2)</f>
        <v>Th</v>
      </c>
      <c r="D163" s="112" t="n">
        <v>73692.2456</v>
      </c>
      <c r="E163" s="112"/>
      <c r="F163" s="112"/>
      <c r="G163" s="112" t="n">
        <v>-53964</v>
      </c>
      <c r="I163" s="112" t="n">
        <f aca="false">IF(MONTH($A163)=MONTH($A162),IF(G163=0,I162,G163),G163)</f>
        <v>-53964</v>
      </c>
      <c r="J163" s="112" t="n">
        <f aca="false">IF(MONTH($A163)=MONTH($A162),SUM(I163-I162),I163)</f>
        <v>9618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-153087</v>
      </c>
      <c r="N163" s="112" t="n">
        <f aca="false">SUM(J$6:J163)</f>
        <v>-267256</v>
      </c>
      <c r="P163" s="112" t="n">
        <f aca="false">D163/P$3</f>
        <v>0.0736922456</v>
      </c>
      <c r="Q163" s="112" t="n">
        <f aca="false">E163/P$3</f>
        <v>0</v>
      </c>
      <c r="R163" s="112" t="n">
        <f aca="false">F163/R$3</f>
        <v>0</v>
      </c>
      <c r="S163" s="114" t="n">
        <f aca="false">J163/$R$3</f>
        <v>9.618</v>
      </c>
      <c r="T163" s="114" t="n">
        <f aca="false">L163/$R$3</f>
        <v>0</v>
      </c>
      <c r="U163" s="114" t="n">
        <f aca="false">I163/$R$3</f>
        <v>-53.964</v>
      </c>
      <c r="V163" s="114" t="n">
        <f aca="false">M163/$R$3</f>
        <v>-153.087</v>
      </c>
      <c r="W163" s="114" t="n">
        <f aca="false">N163/$R$3</f>
        <v>-267.256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Data'!$A$2:$B$8,MATCH(WEEKDAY('ARG Gas IM'!A164,3),'Master Data'!$A$2:$A$8,0),2)</f>
        <v>F</v>
      </c>
      <c r="D164" s="112" t="n">
        <v>29275.3229000005</v>
      </c>
      <c r="E164" s="112"/>
      <c r="F164" s="112"/>
      <c r="G164" s="112" t="n">
        <v>-43344</v>
      </c>
      <c r="I164" s="112" t="n">
        <f aca="false">IF(MONTH($A164)=MONTH($A163),IF(G164=0,I163,G164),G164)</f>
        <v>-43344</v>
      </c>
      <c r="J164" s="112" t="n">
        <f aca="false">IF(MONTH($A164)=MONTH($A163),SUM(I164-I163),I164)</f>
        <v>10620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-142467</v>
      </c>
      <c r="N164" s="112" t="n">
        <f aca="false">SUM(J$6:J164)</f>
        <v>-256636</v>
      </c>
      <c r="P164" s="112" t="n">
        <f aca="false">D164/P$3</f>
        <v>0.0292753229000005</v>
      </c>
      <c r="Q164" s="112" t="n">
        <f aca="false">E164/P$3</f>
        <v>0</v>
      </c>
      <c r="R164" s="112" t="n">
        <f aca="false">F164/R$3</f>
        <v>0</v>
      </c>
      <c r="S164" s="114" t="n">
        <f aca="false">J164/$R$3</f>
        <v>10.62</v>
      </c>
      <c r="T164" s="114" t="n">
        <f aca="false">L164/$R$3</f>
        <v>0</v>
      </c>
      <c r="U164" s="114" t="n">
        <f aca="false">I164/$R$3</f>
        <v>-43.344</v>
      </c>
      <c r="V164" s="114" t="n">
        <f aca="false">M164/$R$3</f>
        <v>-142.467</v>
      </c>
      <c r="W164" s="114" t="n">
        <f aca="false">N164/$R$3</f>
        <v>-256.636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Data'!$A$2:$B$8,MATCH(WEEKDAY('ARG Gas IM'!A165,3),'Master Data'!$A$2:$A$8,0),2)</f>
        <v>Sa</v>
      </c>
      <c r="D165" s="112"/>
      <c r="E165" s="112"/>
      <c r="F165" s="112"/>
      <c r="G165" s="112"/>
      <c r="I165" s="112" t="n">
        <f aca="false">IF(MONTH($A165)=MONTH($A164),IF(G165=0,I164,G165),G165)</f>
        <v>-43344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-142467</v>
      </c>
      <c r="N165" s="112" t="n">
        <f aca="false">SUM(J$6:J165)</f>
        <v>-256636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-43.344</v>
      </c>
      <c r="V165" s="114" t="n">
        <f aca="false">M165/$R$3</f>
        <v>-142.467</v>
      </c>
      <c r="W165" s="114" t="n">
        <f aca="false">N165/$R$3</f>
        <v>-256.636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Data'!$A$2:$B$8,MATCH(WEEKDAY('ARG Gas IM'!A166,3),'Master Data'!$A$2:$A$8,0),2)</f>
        <v>Su</v>
      </c>
      <c r="D166" s="112"/>
      <c r="E166" s="112"/>
      <c r="F166" s="112"/>
      <c r="G166" s="112"/>
      <c r="I166" s="112" t="n">
        <f aca="false">IF(MONTH($A166)=MONTH($A165),IF(G166=0,I165,G166),G166)</f>
        <v>-43344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-142467</v>
      </c>
      <c r="N166" s="112" t="n">
        <f aca="false">SUM(J$6:J166)</f>
        <v>-256636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-43.344</v>
      </c>
      <c r="V166" s="114" t="n">
        <f aca="false">M166/$R$3</f>
        <v>-142.467</v>
      </c>
      <c r="W166" s="114" t="n">
        <f aca="false">N166/$R$3</f>
        <v>-256.636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Data'!$A$2:$B$8,MATCH(WEEKDAY('ARG Gas IM'!A167,3),'Master Data'!$A$2:$A$8,0),2)</f>
        <v>M</v>
      </c>
      <c r="D167" s="112" t="n">
        <v>25291.717500001</v>
      </c>
      <c r="E167" s="112"/>
      <c r="F167" s="112"/>
      <c r="G167" s="112" t="n">
        <v>-43708</v>
      </c>
      <c r="I167" s="112" t="n">
        <f aca="false">IF(MONTH($A167)=MONTH($A166),IF(G167=0,I166,G167),G167)</f>
        <v>-43708</v>
      </c>
      <c r="J167" s="112" t="n">
        <f aca="false">IF(MONTH($A167)=MONTH($A166),SUM(I167-I166),I167)</f>
        <v>-364</v>
      </c>
      <c r="K167" s="112" t="n">
        <f aca="false">IF(WEEKDAY(A167,3)&gt;4,0,(IF(A167&lt;K$2,0,IF(A167&lt;=K$3,1,0))))</f>
        <v>0</v>
      </c>
      <c r="L167" s="112" t="n">
        <f aca="false">J167*K167</f>
        <v>-0</v>
      </c>
      <c r="M167" s="112" t="n">
        <f aca="false">SUM(J$97:J167)</f>
        <v>-142831</v>
      </c>
      <c r="N167" s="112" t="n">
        <f aca="false">SUM(J$6:J167)</f>
        <v>-257000</v>
      </c>
      <c r="P167" s="112" t="n">
        <f aca="false">D167/P$3</f>
        <v>0.025291717500001</v>
      </c>
      <c r="Q167" s="112" t="n">
        <f aca="false">E167/P$3</f>
        <v>0</v>
      </c>
      <c r="R167" s="112" t="n">
        <f aca="false">F167/R$3</f>
        <v>0</v>
      </c>
      <c r="S167" s="114" t="n">
        <f aca="false">J167/$R$3</f>
        <v>-0.364</v>
      </c>
      <c r="T167" s="114" t="n">
        <f aca="false">L167/$R$3</f>
        <v>-0</v>
      </c>
      <c r="U167" s="114" t="n">
        <f aca="false">I167/$R$3</f>
        <v>-43.708</v>
      </c>
      <c r="V167" s="114" t="n">
        <f aca="false">M167/$R$3</f>
        <v>-142.831</v>
      </c>
      <c r="W167" s="114" t="n">
        <f aca="false">N167/$R$3</f>
        <v>-257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Data'!$A$2:$B$8,MATCH(WEEKDAY('ARG Gas IM'!A168,3),'Master Data'!$A$2:$A$8,0),2)</f>
        <v>T</v>
      </c>
      <c r="D168" s="112" t="n">
        <v>23963.2474999997</v>
      </c>
      <c r="E168" s="112"/>
      <c r="F168" s="112"/>
      <c r="G168" s="112" t="n">
        <v>-43995</v>
      </c>
      <c r="I168" s="112" t="n">
        <f aca="false">IF(MONTH($A168)=MONTH($A167),IF(G168=0,I167,G168),G168)</f>
        <v>-43995</v>
      </c>
      <c r="J168" s="112" t="n">
        <f aca="false">IF(MONTH($A168)=MONTH($A167),SUM(I168-I167),I168)</f>
        <v>-287</v>
      </c>
      <c r="K168" s="112" t="n">
        <f aca="false">IF(WEEKDAY(A168,3)&gt;4,0,(IF(A168&lt;K$2,0,IF(A168&lt;=K$3,1,0))))</f>
        <v>0</v>
      </c>
      <c r="L168" s="112" t="n">
        <f aca="false">J168*K168</f>
        <v>-0</v>
      </c>
      <c r="M168" s="112" t="n">
        <f aca="false">SUM(J$97:J168)</f>
        <v>-143118</v>
      </c>
      <c r="N168" s="112" t="n">
        <f aca="false">SUM(J$6:J168)</f>
        <v>-257287</v>
      </c>
      <c r="P168" s="112" t="n">
        <f aca="false">D168/P$3</f>
        <v>0.0239632474999997</v>
      </c>
      <c r="Q168" s="112" t="n">
        <f aca="false">E168/P$3</f>
        <v>0</v>
      </c>
      <c r="R168" s="112" t="n">
        <f aca="false">F168/R$3</f>
        <v>0</v>
      </c>
      <c r="S168" s="114" t="n">
        <f aca="false">J168/$R$3</f>
        <v>-0.287</v>
      </c>
      <c r="T168" s="114" t="n">
        <f aca="false">L168/$R$3</f>
        <v>-0</v>
      </c>
      <c r="U168" s="114" t="n">
        <f aca="false">I168/$R$3</f>
        <v>-43.995</v>
      </c>
      <c r="V168" s="114" t="n">
        <f aca="false">M168/$R$3</f>
        <v>-143.118</v>
      </c>
      <c r="W168" s="114" t="n">
        <f aca="false">N168/$R$3</f>
        <v>-257.287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Data'!$A$2:$B$8,MATCH(WEEKDAY('ARG Gas IM'!A169,3),'Master Data'!$A$2:$A$8,0),2)</f>
        <v>W</v>
      </c>
      <c r="D169" s="112" t="n">
        <v>22634.5055000006</v>
      </c>
      <c r="E169" s="112"/>
      <c r="F169" s="112"/>
      <c r="G169" s="112" t="n">
        <v>-44285</v>
      </c>
      <c r="I169" s="112" t="n">
        <f aca="false">IF(MONTH($A169)=MONTH($A168),IF(G169=0,I168,G169),G169)</f>
        <v>-44285</v>
      </c>
      <c r="J169" s="112" t="n">
        <f aca="false">IF(MONTH($A169)=MONTH($A168),SUM(I169-I168),I169)</f>
        <v>-290</v>
      </c>
      <c r="K169" s="112" t="n">
        <f aca="false">IF(WEEKDAY(A169,3)&gt;4,0,(IF(A169&lt;K$2,0,IF(A169&lt;=K$3,1,0))))</f>
        <v>0</v>
      </c>
      <c r="L169" s="112" t="n">
        <f aca="false">J169*K169</f>
        <v>-0</v>
      </c>
      <c r="M169" s="112" t="n">
        <f aca="false">SUM(J$97:J169)</f>
        <v>-143408</v>
      </c>
      <c r="N169" s="112" t="n">
        <f aca="false">SUM(J$6:J169)</f>
        <v>-257577</v>
      </c>
      <c r="P169" s="112" t="n">
        <f aca="false">D169/P$3</f>
        <v>0.0226345055000005</v>
      </c>
      <c r="Q169" s="112" t="n">
        <f aca="false">E169/P$3</f>
        <v>0</v>
      </c>
      <c r="R169" s="112" t="n">
        <f aca="false">F169/R$3</f>
        <v>0</v>
      </c>
      <c r="S169" s="114" t="n">
        <f aca="false">J169/$R$3</f>
        <v>-0.29</v>
      </c>
      <c r="T169" s="114" t="n">
        <f aca="false">L169/$R$3</f>
        <v>-0</v>
      </c>
      <c r="U169" s="114" t="n">
        <f aca="false">I169/$R$3</f>
        <v>-44.285</v>
      </c>
      <c r="V169" s="114" t="n">
        <f aca="false">M169/$R$3</f>
        <v>-143.408</v>
      </c>
      <c r="W169" s="114" t="n">
        <f aca="false">N169/$R$3</f>
        <v>-257.577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Data'!$A$2:$B$8,MATCH(WEEKDAY('ARG Gas IM'!A170,3),'Master Data'!$A$2:$A$8,0),2)</f>
        <v>Th</v>
      </c>
      <c r="D170" s="112" t="n">
        <v>48678.6706000001</v>
      </c>
      <c r="E170" s="112"/>
      <c r="F170" s="112"/>
      <c r="G170" s="112" t="n">
        <v>-41293</v>
      </c>
      <c r="I170" s="112" t="n">
        <f aca="false">IF(MONTH($A170)=MONTH($A169),IF(G170=0,I169,G170),G170)</f>
        <v>-41293</v>
      </c>
      <c r="J170" s="112" t="n">
        <f aca="false">IF(MONTH($A170)=MONTH($A169),SUM(I170-I169),I170)</f>
        <v>2992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-140416</v>
      </c>
      <c r="N170" s="112" t="n">
        <f aca="false">SUM(J$6:J170)</f>
        <v>-254585</v>
      </c>
      <c r="P170" s="112" t="n">
        <f aca="false">D170/P$3</f>
        <v>0.0486786706000001</v>
      </c>
      <c r="Q170" s="112" t="n">
        <f aca="false">E170/P$3</f>
        <v>0</v>
      </c>
      <c r="R170" s="112" t="n">
        <f aca="false">F170/R$3</f>
        <v>0</v>
      </c>
      <c r="S170" s="114" t="n">
        <f aca="false">J170/$R$3</f>
        <v>2.992</v>
      </c>
      <c r="T170" s="114" t="n">
        <f aca="false">L170/$R$3</f>
        <v>0</v>
      </c>
      <c r="U170" s="114" t="n">
        <f aca="false">I170/$R$3</f>
        <v>-41.293</v>
      </c>
      <c r="V170" s="114" t="n">
        <f aca="false">M170/$R$3</f>
        <v>-140.416</v>
      </c>
      <c r="W170" s="114" t="n">
        <f aca="false">N170/$R$3</f>
        <v>-254.585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Data'!$A$2:$B$8,MATCH(WEEKDAY('ARG Gas IM'!A171,3),'Master Data'!$A$2:$A$8,0),2)</f>
        <v>F</v>
      </c>
      <c r="D171" s="112" t="n">
        <v>14927.8615000001</v>
      </c>
      <c r="E171" s="112"/>
      <c r="F171" s="112"/>
      <c r="G171" s="112" t="n">
        <v>-104462</v>
      </c>
      <c r="I171" s="112" t="n">
        <f aca="false">IF(MONTH($A171)=MONTH($A170),IF(G171=0,I170,G171),G171)</f>
        <v>-104462</v>
      </c>
      <c r="J171" s="112" t="n">
        <f aca="false">IF(MONTH($A171)=MONTH($A170),SUM(I171-I170),I171)</f>
        <v>-63169</v>
      </c>
      <c r="K171" s="112" t="n">
        <f aca="false">IF(WEEKDAY(A171,3)&gt;4,0,(IF(A171&lt;K$2,0,IF(A171&lt;=K$3,1,0))))</f>
        <v>0</v>
      </c>
      <c r="L171" s="112" t="n">
        <f aca="false">J171*K171</f>
        <v>-0</v>
      </c>
      <c r="M171" s="112" t="n">
        <f aca="false">SUM(J$97:J171)</f>
        <v>-203585</v>
      </c>
      <c r="N171" s="112" t="n">
        <f aca="false">SUM(J$6:J171)</f>
        <v>-317754</v>
      </c>
      <c r="P171" s="112" t="n">
        <f aca="false">D171/P$3</f>
        <v>0.0149278615000001</v>
      </c>
      <c r="Q171" s="112" t="n">
        <f aca="false">E171/P$3</f>
        <v>0</v>
      </c>
      <c r="R171" s="112" t="n">
        <f aca="false">F171/R$3</f>
        <v>0</v>
      </c>
      <c r="S171" s="114" t="n">
        <f aca="false">J171/$R$3</f>
        <v>-63.169</v>
      </c>
      <c r="T171" s="114" t="n">
        <f aca="false">L171/$R$3</f>
        <v>-0</v>
      </c>
      <c r="U171" s="114" t="n">
        <f aca="false">I171/$R$3</f>
        <v>-104.462</v>
      </c>
      <c r="V171" s="114" t="n">
        <f aca="false">M171/$R$3</f>
        <v>-203.585</v>
      </c>
      <c r="W171" s="114" t="n">
        <f aca="false">N171/$R$3</f>
        <v>-317.754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Data'!$A$2:$B$8,MATCH(WEEKDAY('ARG Gas IM'!A172,3),'Master Data'!$A$2:$A$8,0),2)</f>
        <v>Sa</v>
      </c>
      <c r="D172" s="112"/>
      <c r="E172" s="112"/>
      <c r="F172" s="112"/>
      <c r="G172" s="112"/>
      <c r="I172" s="112" t="n">
        <f aca="false">IF(MONTH($A172)=MONTH($A171),IF(G172=0,I171,G172),G172)</f>
        <v>-104462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-203585</v>
      </c>
      <c r="N172" s="112" t="n">
        <f aca="false">SUM(J$6:J172)</f>
        <v>-317754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-104.462</v>
      </c>
      <c r="V172" s="114" t="n">
        <f aca="false">M172/$R$3</f>
        <v>-203.585</v>
      </c>
      <c r="W172" s="114" t="n">
        <f aca="false">N172/$R$3</f>
        <v>-317.754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Data'!$A$2:$B$8,MATCH(WEEKDAY('ARG Gas IM'!A173,3),'Master Data'!$A$2:$A$8,0),2)</f>
        <v>Su</v>
      </c>
      <c r="D173" s="112"/>
      <c r="E173" s="112"/>
      <c r="F173" s="112"/>
      <c r="G173" s="112"/>
      <c r="I173" s="112" t="n">
        <f aca="false">IF(MONTH($A173)=MONTH($A172),IF(G173=0,I172,G173),G173)</f>
        <v>-104462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-203585</v>
      </c>
      <c r="N173" s="112" t="n">
        <f aca="false">SUM(J$6:J173)</f>
        <v>-317754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-104.462</v>
      </c>
      <c r="V173" s="114" t="n">
        <f aca="false">M173/$R$3</f>
        <v>-203.585</v>
      </c>
      <c r="W173" s="114" t="n">
        <f aca="false">N173/$R$3</f>
        <v>-317.754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Data'!$A$2:$B$8,MATCH(WEEKDAY('ARG Gas IM'!A174,3),'Master Data'!$A$2:$A$8,0),2)</f>
        <v>M</v>
      </c>
      <c r="D174" s="112" t="n">
        <v>11581.2392</v>
      </c>
      <c r="E174" s="112"/>
      <c r="F174" s="112"/>
      <c r="G174" s="112" t="n">
        <v>-103659</v>
      </c>
      <c r="I174" s="112" t="n">
        <f aca="false">IF(MONTH($A174)=MONTH($A173),IF(G174=0,I173,G174),G174)</f>
        <v>-103659</v>
      </c>
      <c r="J174" s="112" t="n">
        <f aca="false">IF(MONTH($A174)=MONTH($A173),SUM(I174-I173),I174)</f>
        <v>803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-202782</v>
      </c>
      <c r="N174" s="112" t="n">
        <f aca="false">SUM(J$6:J174)</f>
        <v>-316951</v>
      </c>
      <c r="P174" s="112" t="n">
        <f aca="false">D174/P$3</f>
        <v>0.0115812392</v>
      </c>
      <c r="Q174" s="112" t="n">
        <f aca="false">E174/P$3</f>
        <v>0</v>
      </c>
      <c r="R174" s="112" t="n">
        <f aca="false">F174/R$3</f>
        <v>0</v>
      </c>
      <c r="S174" s="114" t="n">
        <f aca="false">J174/$R$3</f>
        <v>0.803</v>
      </c>
      <c r="T174" s="114" t="n">
        <f aca="false">L174/$R$3</f>
        <v>0</v>
      </c>
      <c r="U174" s="114" t="n">
        <f aca="false">I174/$R$3</f>
        <v>-103.659</v>
      </c>
      <c r="V174" s="114" t="n">
        <f aca="false">M174/$R$3</f>
        <v>-202.782</v>
      </c>
      <c r="W174" s="114" t="n">
        <f aca="false">N174/$R$3</f>
        <v>-316.951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Data'!$A$2:$B$8,MATCH(WEEKDAY('ARG Gas IM'!A175,3),'Master Data'!$A$2:$A$8,0),2)</f>
        <v>T</v>
      </c>
      <c r="D175" s="112" t="n">
        <v>3315.12030000002</v>
      </c>
      <c r="E175" s="112"/>
      <c r="F175" s="112"/>
      <c r="G175" s="112" t="n">
        <v>-81027</v>
      </c>
      <c r="I175" s="112" t="n">
        <f aca="false">IF(MONTH($A175)=MONTH($A174),IF(G175=0,I174,G175),G175)</f>
        <v>-81027</v>
      </c>
      <c r="J175" s="112" t="n">
        <f aca="false">IF(MONTH($A175)=MONTH($A174),SUM(I175-I174),I175)</f>
        <v>22632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-180150</v>
      </c>
      <c r="N175" s="112" t="n">
        <f aca="false">SUM(J$6:J175)</f>
        <v>-294319</v>
      </c>
      <c r="P175" s="112" t="n">
        <f aca="false">D175/P$3</f>
        <v>0.00331512030000002</v>
      </c>
      <c r="Q175" s="112" t="n">
        <f aca="false">E175/P$3</f>
        <v>0</v>
      </c>
      <c r="R175" s="112" t="n">
        <f aca="false">F175/R$3</f>
        <v>0</v>
      </c>
      <c r="S175" s="114" t="n">
        <f aca="false">J175/$R$3</f>
        <v>22.632</v>
      </c>
      <c r="T175" s="114" t="n">
        <f aca="false">L175/$R$3</f>
        <v>0</v>
      </c>
      <c r="U175" s="114" t="n">
        <f aca="false">I175/$R$3</f>
        <v>-81.027</v>
      </c>
      <c r="V175" s="114" t="n">
        <f aca="false">M175/$R$3</f>
        <v>-180.15</v>
      </c>
      <c r="W175" s="114" t="n">
        <f aca="false">N175/$R$3</f>
        <v>-294.319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Data'!$A$2:$B$8,MATCH(WEEKDAY('ARG Gas IM'!A176,3),'Master Data'!$A$2:$A$8,0),2)</f>
        <v>W</v>
      </c>
      <c r="D176" s="112" t="n">
        <v>2885.90879999996</v>
      </c>
      <c r="E176" s="112"/>
      <c r="F176" s="112"/>
      <c r="G176" s="112" t="n">
        <v>-85565</v>
      </c>
      <c r="I176" s="112" t="n">
        <f aca="false">IF(MONTH($A176)=MONTH($A175),IF(G176=0,I175,G176),G176)</f>
        <v>-85565</v>
      </c>
      <c r="J176" s="112" t="n">
        <f aca="false">IF(MONTH($A176)=MONTH($A175),SUM(I176-I175),I176)</f>
        <v>-4538</v>
      </c>
      <c r="K176" s="112" t="n">
        <f aca="false">IF(WEEKDAY(A176,3)&gt;4,0,(IF(A176&lt;K$2,0,IF(A176&lt;=K$3,1,0))))</f>
        <v>0</v>
      </c>
      <c r="L176" s="112" t="n">
        <f aca="false">J176*K176</f>
        <v>-0</v>
      </c>
      <c r="M176" s="112" t="n">
        <f aca="false">SUM(J$97:J176)</f>
        <v>-184688</v>
      </c>
      <c r="N176" s="112" t="n">
        <f aca="false">SUM(J$6:J176)</f>
        <v>-298857</v>
      </c>
      <c r="P176" s="112" t="n">
        <f aca="false">D176/P$3</f>
        <v>0.00288590879999996</v>
      </c>
      <c r="Q176" s="112" t="n">
        <f aca="false">E176/P$3</f>
        <v>0</v>
      </c>
      <c r="R176" s="112" t="n">
        <f aca="false">F176/R$3</f>
        <v>0</v>
      </c>
      <c r="S176" s="114" t="n">
        <f aca="false">J176/$R$3</f>
        <v>-4.538</v>
      </c>
      <c r="T176" s="114" t="n">
        <f aca="false">L176/$R$3</f>
        <v>-0</v>
      </c>
      <c r="U176" s="114" t="n">
        <f aca="false">I176/$R$3</f>
        <v>-85.565</v>
      </c>
      <c r="V176" s="114" t="n">
        <f aca="false">M176/$R$3</f>
        <v>-184.688</v>
      </c>
      <c r="W176" s="114" t="n">
        <f aca="false">N176/$R$3</f>
        <v>-298.857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Data'!$A$2:$B$8,MATCH(WEEKDAY('ARG Gas IM'!A177,3),'Master Data'!$A$2:$A$8,0),2)</f>
        <v>Th</v>
      </c>
      <c r="D177" s="112" t="n">
        <v>10707.6495</v>
      </c>
      <c r="E177" s="112"/>
      <c r="F177" s="112"/>
      <c r="G177" s="112" t="n">
        <v>-6372</v>
      </c>
      <c r="I177" s="112" t="n">
        <f aca="false">IF(MONTH($A177)=MONTH($A176),IF(G177=0,I176,G177),G177)</f>
        <v>-6372</v>
      </c>
      <c r="J177" s="112" t="n">
        <f aca="false">IF(MONTH($A177)=MONTH($A176),SUM(I177-I176),I177)</f>
        <v>79193</v>
      </c>
      <c r="K177" s="112" t="n">
        <f aca="false">IF(WEEKDAY(A177,3)&gt;4,0,(IF(A177&lt;K$2,0,IF(A177&lt;=K$3,1,0))))</f>
        <v>0</v>
      </c>
      <c r="L177" s="112" t="n">
        <f aca="false">J177*K177</f>
        <v>0</v>
      </c>
      <c r="M177" s="112" t="n">
        <f aca="false">SUM(J$97:J177)</f>
        <v>-105495</v>
      </c>
      <c r="N177" s="112" t="n">
        <f aca="false">SUM(J$6:J177)</f>
        <v>-219664</v>
      </c>
      <c r="P177" s="112" t="n">
        <f aca="false">D177/P$3</f>
        <v>0.0107076495</v>
      </c>
      <c r="Q177" s="112" t="n">
        <f aca="false">E177/P$3</f>
        <v>0</v>
      </c>
      <c r="R177" s="112" t="n">
        <f aca="false">F177/R$3</f>
        <v>0</v>
      </c>
      <c r="S177" s="114" t="n">
        <f aca="false">J177/$R$3</f>
        <v>79.193</v>
      </c>
      <c r="T177" s="114" t="n">
        <f aca="false">L177/$R$3</f>
        <v>0</v>
      </c>
      <c r="U177" s="114" t="n">
        <f aca="false">I177/$R$3</f>
        <v>-6.372</v>
      </c>
      <c r="V177" s="114" t="n">
        <f aca="false">M177/$R$3</f>
        <v>-105.495</v>
      </c>
      <c r="W177" s="114" t="n">
        <f aca="false">N177/$R$3</f>
        <v>-219.664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Data'!$A$2:$B$8,MATCH(WEEKDAY('ARG Gas IM'!A178,3),'Master Data'!$A$2:$A$8,0),2)</f>
        <v>F</v>
      </c>
      <c r="D178" s="112" t="n">
        <v>10609.9722</v>
      </c>
      <c r="E178" s="112"/>
      <c r="F178" s="112"/>
      <c r="G178" s="112" t="n">
        <v>-78219</v>
      </c>
      <c r="I178" s="112" t="n">
        <f aca="false">IF(MONTH($A178)=MONTH($A177),IF(G178=0,I177,G178),G178)</f>
        <v>-78219</v>
      </c>
      <c r="J178" s="112" t="n">
        <f aca="false">IF(MONTH($A178)=MONTH($A177),SUM(I178-I177),I178)</f>
        <v>-71847</v>
      </c>
      <c r="K178" s="112" t="n">
        <f aca="false">IF(WEEKDAY(A178,3)&gt;4,0,(IF(A178&lt;K$2,0,IF(A178&lt;=K$3,1,0))))</f>
        <v>0</v>
      </c>
      <c r="L178" s="112" t="n">
        <f aca="false">J178*K178</f>
        <v>-0</v>
      </c>
      <c r="M178" s="112" t="n">
        <f aca="false">SUM(J$97:J178)</f>
        <v>-177342</v>
      </c>
      <c r="N178" s="112" t="n">
        <f aca="false">SUM(J$6:J178)</f>
        <v>-291511</v>
      </c>
      <c r="P178" s="112" t="n">
        <f aca="false">D178/P$3</f>
        <v>0.0106099722</v>
      </c>
      <c r="Q178" s="112" t="n">
        <f aca="false">E178/P$3</f>
        <v>0</v>
      </c>
      <c r="R178" s="112" t="n">
        <f aca="false">F178/R$3</f>
        <v>0</v>
      </c>
      <c r="S178" s="114" t="n">
        <f aca="false">J178/$R$3</f>
        <v>-71.847</v>
      </c>
      <c r="T178" s="114" t="n">
        <f aca="false">L178/$R$3</f>
        <v>-0</v>
      </c>
      <c r="U178" s="114" t="n">
        <f aca="false">I178/$R$3</f>
        <v>-78.219</v>
      </c>
      <c r="V178" s="114" t="n">
        <f aca="false">M178/$R$3</f>
        <v>-177.342</v>
      </c>
      <c r="W178" s="114" t="n">
        <f aca="false">N178/$R$3</f>
        <v>-291.511</v>
      </c>
    </row>
    <row r="179" customFormat="false" ht="12.75" hidden="false" customHeight="false" outlineLevel="0" collapsed="false">
      <c r="A179" s="108" t="n">
        <f aca="false">A178+1</f>
        <v>37065</v>
      </c>
      <c r="B179" s="119" t="str">
        <f aca="false">INDEX('Master Data'!$A$2:$B$8,MATCH(WEEKDAY('ARG Gas IM'!A179,3),'Master Data'!$A$2:$A$8,0),2)</f>
        <v>Sa</v>
      </c>
      <c r="D179" s="112"/>
      <c r="E179" s="112"/>
      <c r="F179" s="112"/>
      <c r="G179" s="112"/>
      <c r="I179" s="112" t="n">
        <f aca="false">IF(MONTH($A179)=MONTH($A178),IF(G179=0,I178,G179),G179)</f>
        <v>-78219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-177342</v>
      </c>
      <c r="N179" s="112" t="n">
        <f aca="false">SUM(J$6:J179)</f>
        <v>-291511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-78.219</v>
      </c>
      <c r="V179" s="114" t="n">
        <f aca="false">M179/$R$3</f>
        <v>-177.342</v>
      </c>
      <c r="W179" s="114" t="n">
        <f aca="false">N179/$R$3</f>
        <v>-291.511</v>
      </c>
    </row>
    <row r="180" customFormat="false" ht="12.75" hidden="false" customHeight="false" outlineLevel="0" collapsed="false">
      <c r="A180" s="108" t="n">
        <f aca="false">A179+1</f>
        <v>37066</v>
      </c>
      <c r="B180" s="119" t="str">
        <f aca="false">INDEX('Master Data'!$A$2:$B$8,MATCH(WEEKDAY('ARG Gas IM'!A180,3),'Master Data'!$A$2:$A$8,0),2)</f>
        <v>Su</v>
      </c>
      <c r="D180" s="112"/>
      <c r="E180" s="112"/>
      <c r="F180" s="112"/>
      <c r="G180" s="112"/>
      <c r="I180" s="112" t="n">
        <f aca="false">IF(MONTH($A180)=MONTH($A179),IF(G180=0,I179,G180),G180)</f>
        <v>-78219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-177342</v>
      </c>
      <c r="N180" s="112" t="n">
        <f aca="false">SUM(J$6:J180)</f>
        <v>-291511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-78.219</v>
      </c>
      <c r="V180" s="114" t="n">
        <f aca="false">M180/$R$3</f>
        <v>-177.342</v>
      </c>
      <c r="W180" s="114" t="n">
        <f aca="false">N180/$R$3</f>
        <v>-291.511</v>
      </c>
    </row>
    <row r="181" customFormat="false" ht="12.75" hidden="false" customHeight="false" outlineLevel="0" collapsed="false">
      <c r="A181" s="108" t="n">
        <f aca="false">A180+1</f>
        <v>37067</v>
      </c>
      <c r="B181" s="119" t="str">
        <f aca="false">INDEX('Master Data'!$A$2:$B$8,MATCH(WEEKDAY('ARG Gas IM'!A181,3),'Master Data'!$A$2:$A$8,0),2)</f>
        <v>M</v>
      </c>
      <c r="D181" s="112" t="n">
        <v>6402.50900000002</v>
      </c>
      <c r="E181" s="112"/>
      <c r="F181" s="112"/>
      <c r="G181" s="112" t="n">
        <v>-71448.5</v>
      </c>
      <c r="I181" s="112" t="n">
        <f aca="false">IF(MONTH($A181)=MONTH($A180),IF(G181=0,I180,G181),G181)</f>
        <v>-71448.5</v>
      </c>
      <c r="J181" s="112" t="n">
        <f aca="false">IF(MONTH($A181)=MONTH($A180),SUM(I181-I180),I181)</f>
        <v>6770.5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-170571.5</v>
      </c>
      <c r="N181" s="112" t="n">
        <f aca="false">SUM(J$6:J181)</f>
        <v>-284740.5</v>
      </c>
      <c r="P181" s="112" t="n">
        <f aca="false">D181/P$3</f>
        <v>0.00640250900000001</v>
      </c>
      <c r="Q181" s="112" t="n">
        <f aca="false">E181/P$3</f>
        <v>0</v>
      </c>
      <c r="R181" s="112" t="n">
        <f aca="false">F181/R$3</f>
        <v>0</v>
      </c>
      <c r="S181" s="114" t="n">
        <f aca="false">J181/$R$3</f>
        <v>6.7705</v>
      </c>
      <c r="T181" s="114" t="n">
        <f aca="false">L181/$R$3</f>
        <v>0</v>
      </c>
      <c r="U181" s="114" t="n">
        <f aca="false">I181/$R$3</f>
        <v>-71.4485</v>
      </c>
      <c r="V181" s="114" t="n">
        <f aca="false">M181/$R$3</f>
        <v>-170.5715</v>
      </c>
      <c r="W181" s="114" t="n">
        <f aca="false">N181/$R$3</f>
        <v>-284.7405</v>
      </c>
    </row>
    <row r="182" customFormat="false" ht="12.75" hidden="false" customHeight="false" outlineLevel="0" collapsed="false">
      <c r="A182" s="108" t="n">
        <f aca="false">A181+1</f>
        <v>37068</v>
      </c>
      <c r="B182" s="119" t="str">
        <f aca="false">INDEX('Master Data'!$A$2:$B$8,MATCH(WEEKDAY('ARG Gas IM'!A182,3),'Master Data'!$A$2:$A$8,0),2)</f>
        <v>T</v>
      </c>
      <c r="D182" s="112" t="n">
        <v>5333.88690000001</v>
      </c>
      <c r="E182" s="112"/>
      <c r="F182" s="112"/>
      <c r="G182" s="112" t="n">
        <v>-31611</v>
      </c>
      <c r="I182" s="112" t="n">
        <f aca="false">IF(MONTH($A182)=MONTH($A181),IF(G182=0,I181,G182),G182)</f>
        <v>-31611</v>
      </c>
      <c r="J182" s="112" t="n">
        <f aca="false">IF(MONTH($A182)=MONTH($A181),SUM(I182-I181),I182)</f>
        <v>39837.5</v>
      </c>
      <c r="K182" s="112" t="n">
        <f aca="false">IF(WEEKDAY(A182,3)&gt;4,0,(IF(A182&lt;K$2,0,IF(A182&lt;=K$3,1,0))))</f>
        <v>0</v>
      </c>
      <c r="L182" s="112" t="n">
        <f aca="false">J182*K182</f>
        <v>0</v>
      </c>
      <c r="M182" s="112" t="n">
        <f aca="false">SUM(J$97:J182)</f>
        <v>-130734</v>
      </c>
      <c r="N182" s="112" t="n">
        <f aca="false">SUM(J$6:J182)</f>
        <v>-244903</v>
      </c>
      <c r="P182" s="112" t="n">
        <f aca="false">D182/P$3</f>
        <v>0.00533388690000001</v>
      </c>
      <c r="Q182" s="112" t="n">
        <f aca="false">E182/P$3</f>
        <v>0</v>
      </c>
      <c r="R182" s="112" t="n">
        <f aca="false">F182/R$3</f>
        <v>0</v>
      </c>
      <c r="S182" s="114" t="n">
        <f aca="false">J182/$R$3</f>
        <v>39.8375</v>
      </c>
      <c r="T182" s="114" t="n">
        <f aca="false">L182/$R$3</f>
        <v>0</v>
      </c>
      <c r="U182" s="114" t="n">
        <f aca="false">I182/$R$3</f>
        <v>-31.611</v>
      </c>
      <c r="V182" s="114" t="n">
        <f aca="false">M182/$R$3</f>
        <v>-130.734</v>
      </c>
      <c r="W182" s="114" t="n">
        <f aca="false">N182/$R$3</f>
        <v>-244.903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Data'!$A$2:$B$8,MATCH(WEEKDAY('ARG Gas IM'!A183,3),'Master Data'!$A$2:$A$8,0),2)</f>
        <v>W</v>
      </c>
      <c r="D183" s="112" t="n">
        <v>5157.54479999999</v>
      </c>
      <c r="E183" s="112"/>
      <c r="F183" s="112"/>
      <c r="G183" s="112" t="n">
        <v>-8647</v>
      </c>
      <c r="I183" s="112" t="n">
        <f aca="false">IF(MONTH($A183)=MONTH($A182),IF(G183=0,I182,G183),G183)</f>
        <v>-8647</v>
      </c>
      <c r="J183" s="112" t="n">
        <f aca="false">IF(MONTH($A183)=MONTH($A182),SUM(I183-I182),I183)</f>
        <v>22964</v>
      </c>
      <c r="K183" s="112" t="n">
        <f aca="false">IF(WEEKDAY(A183,3)&gt;4,0,(IF(A183&lt;K$2,0,IF(A183&lt;=K$3,1,0))))</f>
        <v>0</v>
      </c>
      <c r="L183" s="112" t="n">
        <f aca="false">J183*K183</f>
        <v>0</v>
      </c>
      <c r="M183" s="112" t="n">
        <f aca="false">SUM(J$97:J183)</f>
        <v>-107770</v>
      </c>
      <c r="N183" s="112" t="n">
        <f aca="false">SUM(J$6:J183)</f>
        <v>-221939</v>
      </c>
      <c r="P183" s="112" t="n">
        <f aca="false">D183/P$3</f>
        <v>0.00515754479999999</v>
      </c>
      <c r="Q183" s="112" t="n">
        <f aca="false">E183/P$3</f>
        <v>0</v>
      </c>
      <c r="R183" s="112" t="n">
        <f aca="false">F183/R$3</f>
        <v>0</v>
      </c>
      <c r="S183" s="114" t="n">
        <f aca="false">J183/$R$3</f>
        <v>22.964</v>
      </c>
      <c r="T183" s="114" t="n">
        <f aca="false">L183/$R$3</f>
        <v>0</v>
      </c>
      <c r="U183" s="114" t="n">
        <f aca="false">I183/$R$3</f>
        <v>-8.647</v>
      </c>
      <c r="V183" s="114" t="n">
        <f aca="false">M183/$R$3</f>
        <v>-107.77</v>
      </c>
      <c r="W183" s="114" t="n">
        <f aca="false">N183/$R$3</f>
        <v>-221.939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Data'!$A$2:$B$8,MATCH(WEEKDAY('ARG Gas IM'!A184,3),'Master Data'!$A$2:$A$8,0),2)</f>
        <v>Th</v>
      </c>
      <c r="D184" s="112" t="n">
        <v>3315.73309999999</v>
      </c>
      <c r="E184" s="112"/>
      <c r="F184" s="112"/>
      <c r="G184" s="112" t="n">
        <v>-11349</v>
      </c>
      <c r="I184" s="112" t="n">
        <f aca="false">IF(MONTH($A184)=MONTH($A183),IF(G184=0,I183,G184),G184)</f>
        <v>-11349</v>
      </c>
      <c r="J184" s="112" t="n">
        <f aca="false">IF(MONTH($A184)=MONTH($A183),SUM(I184-I183),I184)</f>
        <v>-2702</v>
      </c>
      <c r="K184" s="112" t="n">
        <f aca="false">IF(WEEKDAY(A184,3)&gt;4,0,(IF(A184&lt;K$2,0,IF(A184&lt;=K$3,1,0))))</f>
        <v>0</v>
      </c>
      <c r="L184" s="112" t="n">
        <f aca="false">J184*K184</f>
        <v>-0</v>
      </c>
      <c r="M184" s="112" t="n">
        <f aca="false">SUM(J$97:J184)</f>
        <v>-110472</v>
      </c>
      <c r="N184" s="112" t="n">
        <f aca="false">SUM(J$6:J184)</f>
        <v>-224641</v>
      </c>
      <c r="P184" s="112" t="n">
        <f aca="false">D184/P$3</f>
        <v>0.00331573309999999</v>
      </c>
      <c r="Q184" s="112" t="n">
        <f aca="false">E184/P$3</f>
        <v>0</v>
      </c>
      <c r="R184" s="112" t="n">
        <f aca="false">F184/R$3</f>
        <v>0</v>
      </c>
      <c r="S184" s="114" t="n">
        <f aca="false">J184/$R$3</f>
        <v>-2.702</v>
      </c>
      <c r="T184" s="114" t="n">
        <f aca="false">L184/$R$3</f>
        <v>-0</v>
      </c>
      <c r="U184" s="114" t="n">
        <f aca="false">I184/$R$3</f>
        <v>-11.349</v>
      </c>
      <c r="V184" s="114" t="n">
        <f aca="false">M184/$R$3</f>
        <v>-110.472</v>
      </c>
      <c r="W184" s="114" t="n">
        <f aca="false">N184/$R$3</f>
        <v>-224.641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Data'!$A$2:$B$8,MATCH(WEEKDAY('ARG Gas IM'!A185,3),'Master Data'!$A$2:$A$8,0),2)</f>
        <v>F</v>
      </c>
      <c r="D185" s="112" t="n">
        <v>0</v>
      </c>
      <c r="E185" s="112"/>
      <c r="F185" s="112"/>
      <c r="G185" s="112" t="n">
        <v>-51755</v>
      </c>
      <c r="I185" s="112" t="n">
        <f aca="false">IF(MONTH($A185)=MONTH($A184),IF(G185=0,I184,G185),G185)</f>
        <v>-51755</v>
      </c>
      <c r="J185" s="112" t="n">
        <f aca="false">IF(MONTH($A185)=MONTH($A184),SUM(I185-I184),I185)</f>
        <v>-40406</v>
      </c>
      <c r="K185" s="112" t="n">
        <f aca="false">IF(WEEKDAY(A185,3)&gt;4,0,(IF(A185&lt;K$2,0,IF(A185&lt;=K$3,1,0))))</f>
        <v>0</v>
      </c>
      <c r="L185" s="112" t="n">
        <f aca="false">J185*K185</f>
        <v>-0</v>
      </c>
      <c r="M185" s="112" t="n">
        <f aca="false">SUM(J$97:J185)</f>
        <v>-150878</v>
      </c>
      <c r="N185" s="112" t="n">
        <f aca="false">SUM(J$6:J185)</f>
        <v>-265047</v>
      </c>
      <c r="P185" s="112" t="n">
        <f aca="false">D185/P$3</f>
        <v>0</v>
      </c>
      <c r="Q185" s="112" t="n">
        <f aca="false">E185/P$3</f>
        <v>0</v>
      </c>
      <c r="R185" s="112" t="n">
        <f aca="false">F185/R$3</f>
        <v>0</v>
      </c>
      <c r="S185" s="114" t="n">
        <f aca="false">J185/$R$3</f>
        <v>-40.406</v>
      </c>
      <c r="T185" s="114" t="n">
        <f aca="false">L185/$R$3</f>
        <v>-0</v>
      </c>
      <c r="U185" s="114" t="n">
        <f aca="false">I185/$R$3</f>
        <v>-51.755</v>
      </c>
      <c r="V185" s="114" t="n">
        <f aca="false">M185/$R$3</f>
        <v>-150.878</v>
      </c>
      <c r="W185" s="114" t="n">
        <f aca="false">N185/$R$3</f>
        <v>-265.047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Data'!$A$2:$B$8,MATCH(WEEKDAY('ARG Gas IM'!A186,3),'Master Data'!$A$2:$A$8,0),2)</f>
        <v>Sa</v>
      </c>
      <c r="D186" s="112"/>
      <c r="E186" s="112"/>
      <c r="F186" s="112"/>
      <c r="G186" s="112"/>
      <c r="I186" s="112" t="n">
        <f aca="false">IF(MONTH($A186)=MONTH($A185),IF(G186=0,I185,G186),G186)</f>
        <v>-51755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-150878</v>
      </c>
      <c r="N186" s="112" t="n">
        <f aca="false">SUM(J$6:J186)</f>
        <v>-265047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-51.755</v>
      </c>
      <c r="V186" s="114" t="n">
        <f aca="false">M186/$R$3</f>
        <v>-150.878</v>
      </c>
      <c r="W186" s="114" t="n">
        <f aca="false">N186/$R$3</f>
        <v>-265.047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Data'!$A$2:$B$8,MATCH(WEEKDAY('ARG Gas IM'!A187,3),'Master Data'!$A$2:$A$8,0),2)</f>
        <v>Su</v>
      </c>
      <c r="D187" s="112"/>
      <c r="E187" s="112"/>
      <c r="F187" s="112"/>
      <c r="G187" s="112"/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-150878</v>
      </c>
      <c r="N187" s="112" t="n">
        <f aca="false">SUM(J$6:J187)</f>
        <v>-265047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-150.878</v>
      </c>
      <c r="W187" s="114" t="n">
        <f aca="false">N187/$R$3</f>
        <v>-265.047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Data'!$A$2:$B$8,MATCH(WEEKDAY('ARG Gas IM'!A188,3),'Master Data'!$A$2:$A$8,0),2)</f>
        <v>M</v>
      </c>
      <c r="D188" s="112" t="n">
        <v>-7538.12469999945</v>
      </c>
      <c r="E188" s="112"/>
      <c r="F188" s="112"/>
      <c r="G188" s="112" t="n">
        <v>-112874</v>
      </c>
      <c r="I188" s="112" t="n">
        <f aca="false">IF(MONTH($A188)=MONTH($A187),IF(G188=0,I187,G188),G188)</f>
        <v>-112874</v>
      </c>
      <c r="J188" s="112" t="n">
        <f aca="false">IF(MONTH($A188)=MONTH($A187),SUM(I188-I187),I188)</f>
        <v>-112874</v>
      </c>
      <c r="K188" s="112" t="n">
        <f aca="false">IF(WEEKDAY(A188,3)&gt;4,0,(IF(A188&lt;K$2,0,IF(A188&lt;=K$3,1,0))))</f>
        <v>0</v>
      </c>
      <c r="L188" s="112" t="n">
        <f aca="false">J188*K188</f>
        <v>-0</v>
      </c>
      <c r="M188" s="112" t="n">
        <f aca="false">SUM(J$188:J188)</f>
        <v>-112874</v>
      </c>
      <c r="N188" s="112" t="n">
        <f aca="false">SUM(J$6:J188)</f>
        <v>-377921</v>
      </c>
      <c r="P188" s="112" t="n">
        <f aca="false">D188/P$3</f>
        <v>-0.00753812469999945</v>
      </c>
      <c r="Q188" s="112" t="n">
        <f aca="false">E188/P$3</f>
        <v>0</v>
      </c>
      <c r="R188" s="112" t="n">
        <f aca="false">F188/R$3</f>
        <v>0</v>
      </c>
      <c r="S188" s="114" t="n">
        <f aca="false">J188/$R$3</f>
        <v>-112.874</v>
      </c>
      <c r="T188" s="114" t="n">
        <f aca="false">L188/$R$3</f>
        <v>-0</v>
      </c>
      <c r="U188" s="114" t="n">
        <f aca="false">I188/$R$3</f>
        <v>-112.874</v>
      </c>
      <c r="V188" s="114" t="n">
        <f aca="false">M188/$R$3</f>
        <v>-112.874</v>
      </c>
      <c r="W188" s="114" t="n">
        <f aca="false">N188/$R$3</f>
        <v>-377.921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Data'!$A$2:$B$8,MATCH(WEEKDAY('ARG Gas IM'!A189,3),'Master Data'!$A$2:$A$8,0),2)</f>
        <v>T</v>
      </c>
      <c r="D189" s="112" t="n">
        <v>50545.6086999998</v>
      </c>
      <c r="E189" s="112"/>
      <c r="F189" s="112"/>
      <c r="G189" s="112" t="n">
        <v>-124393</v>
      </c>
      <c r="I189" s="112" t="n">
        <f aca="false">IF(MONTH($A189)=MONTH($A188),IF(G189=0,I188,G189),G189)</f>
        <v>-124393</v>
      </c>
      <c r="J189" s="112" t="n">
        <f aca="false">IF(MONTH($A189)=MONTH($A188),SUM(I189-I188),I189)</f>
        <v>-11519</v>
      </c>
      <c r="K189" s="112" t="n">
        <f aca="false">IF(WEEKDAY(A189,3)&gt;4,0,(IF(A189&lt;K$2,0,IF(A189&lt;=K$3,1,0))))</f>
        <v>1</v>
      </c>
      <c r="L189" s="112" t="n">
        <f aca="false">J189*K189</f>
        <v>-11519</v>
      </c>
      <c r="M189" s="112" t="n">
        <f aca="false">SUM(J$188:J189)</f>
        <v>-124393</v>
      </c>
      <c r="N189" s="112" t="n">
        <f aca="false">SUM(J$6:J189)</f>
        <v>-389440</v>
      </c>
      <c r="P189" s="112" t="n">
        <f aca="false">D189/P$3</f>
        <v>0.0505456086999998</v>
      </c>
      <c r="Q189" s="112" t="n">
        <f aca="false">E189/P$3</f>
        <v>0</v>
      </c>
      <c r="R189" s="112" t="n">
        <f aca="false">F189/R$3</f>
        <v>0</v>
      </c>
      <c r="S189" s="114" t="n">
        <f aca="false">J189/$R$3</f>
        <v>-11.519</v>
      </c>
      <c r="T189" s="114" t="n">
        <f aca="false">L189/$R$3</f>
        <v>-11.519</v>
      </c>
      <c r="U189" s="114" t="n">
        <f aca="false">I189/$R$3</f>
        <v>-124.393</v>
      </c>
      <c r="V189" s="114" t="n">
        <f aca="false">M189/$R$3</f>
        <v>-124.393</v>
      </c>
      <c r="W189" s="114" t="n">
        <f aca="false">N189/$R$3</f>
        <v>-389.44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Data'!$A$2:$B$8,MATCH(WEEKDAY('ARG Gas IM'!A190,3),'Master Data'!$A$2:$A$8,0),2)</f>
        <v>W</v>
      </c>
      <c r="D190" s="112"/>
      <c r="E190" s="112"/>
      <c r="F190" s="112"/>
      <c r="G190" s="112"/>
      <c r="I190" s="112" t="n">
        <f aca="false">IF(MONTH($A190)=MONTH($A189),IF(G190=0,I189,G190),G190)</f>
        <v>-124393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-124393</v>
      </c>
      <c r="N190" s="112" t="n">
        <f aca="false">SUM(J$6:J190)</f>
        <v>-389440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-124.393</v>
      </c>
      <c r="V190" s="114" t="n">
        <f aca="false">M190/$R$3</f>
        <v>-124.393</v>
      </c>
      <c r="W190" s="114" t="n">
        <f aca="false">N190/$R$3</f>
        <v>-389.44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Data'!$A$2:$B$8,MATCH(WEEKDAY('ARG Gas IM'!A191,3),'Master Data'!$A$2:$A$8,0),2)</f>
        <v>Th</v>
      </c>
      <c r="D191" s="112" t="n">
        <v>71333.194499999</v>
      </c>
      <c r="E191" s="112"/>
      <c r="F191" s="112"/>
      <c r="G191" s="112" t="n">
        <v>-108487</v>
      </c>
      <c r="I191" s="112" t="n">
        <f aca="false">IF(MONTH($A191)=MONTH($A190),IF(G191=0,I190,G191),G191)</f>
        <v>-108487</v>
      </c>
      <c r="J191" s="112" t="n">
        <f aca="false">IF(MONTH($A191)=MONTH($A190),SUM(I191-I190),I191)</f>
        <v>15906</v>
      </c>
      <c r="K191" s="112" t="n">
        <f aca="false">IF(WEEKDAY(A191,3)&gt;4,0,(IF(A191&lt;K$2,0,IF(A191&lt;=K$3,1,0))))</f>
        <v>1</v>
      </c>
      <c r="L191" s="112" t="n">
        <f aca="false">J191*K191</f>
        <v>15906</v>
      </c>
      <c r="M191" s="112" t="n">
        <f aca="false">SUM(J$188:J191)</f>
        <v>-108487</v>
      </c>
      <c r="N191" s="112" t="n">
        <f aca="false">SUM(J$6:J191)</f>
        <v>-373534</v>
      </c>
      <c r="P191" s="112" t="n">
        <f aca="false">D191/P$3</f>
        <v>0.071333194499999</v>
      </c>
      <c r="Q191" s="112" t="n">
        <f aca="false">E191/P$3</f>
        <v>0</v>
      </c>
      <c r="R191" s="112" t="n">
        <f aca="false">F191/R$3</f>
        <v>0</v>
      </c>
      <c r="S191" s="114" t="n">
        <f aca="false">J191/$R$3</f>
        <v>15.906</v>
      </c>
      <c r="T191" s="114" t="n">
        <f aca="false">L191/$R$3</f>
        <v>15.906</v>
      </c>
      <c r="U191" s="114" t="n">
        <f aca="false">I191/$R$3</f>
        <v>-108.487</v>
      </c>
      <c r="V191" s="114" t="n">
        <f aca="false">M191/$R$3</f>
        <v>-108.487</v>
      </c>
      <c r="W191" s="114" t="n">
        <f aca="false">N191/$R$3</f>
        <v>-373.534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Data'!$A$2:$B$8,MATCH(WEEKDAY('ARG Gas IM'!A192,3),'Master Data'!$A$2:$A$8,0),2)</f>
        <v>F</v>
      </c>
      <c r="D192" s="112" t="n">
        <v>75562.9179000003</v>
      </c>
      <c r="E192" s="112"/>
      <c r="F192" s="112"/>
      <c r="G192" s="112" t="n">
        <v>-101556</v>
      </c>
      <c r="I192" s="112" t="n">
        <f aca="false">IF(MONTH($A192)=MONTH($A191),IF(G192=0,I191,G192),G192)</f>
        <v>-101556</v>
      </c>
      <c r="J192" s="112" t="n">
        <f aca="false">IF(MONTH($A192)=MONTH($A191),SUM(I192-I191),I192)</f>
        <v>6931</v>
      </c>
      <c r="K192" s="112" t="n">
        <f aca="false">IF(WEEKDAY(A192,3)&gt;4,0,(IF(A192&lt;K$2,0,IF(A192&lt;=K$3,1,0))))</f>
        <v>1</v>
      </c>
      <c r="L192" s="112" t="n">
        <f aca="false">J192*K192</f>
        <v>6931</v>
      </c>
      <c r="M192" s="112" t="n">
        <f aca="false">SUM(J$188:J192)</f>
        <v>-101556</v>
      </c>
      <c r="N192" s="112" t="n">
        <f aca="false">SUM(J$6:J192)</f>
        <v>-366603</v>
      </c>
      <c r="P192" s="112" t="n">
        <f aca="false">D192/P$3</f>
        <v>0.0755629179000003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6.931</v>
      </c>
      <c r="T192" s="114" t="n">
        <f aca="false">L192/$R$3</f>
        <v>6.931</v>
      </c>
      <c r="U192" s="114" t="n">
        <f aca="false">I192/$R$3</f>
        <v>-101.556</v>
      </c>
      <c r="V192" s="114" t="n">
        <f aca="false">M192/$R$3</f>
        <v>-101.556</v>
      </c>
      <c r="W192" s="114" t="n">
        <f aca="false">N192/$R$3</f>
        <v>-366.603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Data'!$A$2:$B$8,MATCH(WEEKDAY('ARG Gas IM'!A193,3),'Master Data'!$A$2:$A$8,0),2)</f>
        <v>Sa</v>
      </c>
      <c r="D193" s="112"/>
      <c r="E193" s="112"/>
      <c r="F193" s="112"/>
      <c r="G193" s="112"/>
      <c r="I193" s="112" t="n">
        <f aca="false">IF(MONTH($A193)=MONTH($A192),IF(G193=0,I192,G193),G193)</f>
        <v>-101556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-101556</v>
      </c>
      <c r="N193" s="112" t="n">
        <f aca="false">SUM(J$6:J193)</f>
        <v>-366603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-101.556</v>
      </c>
      <c r="V193" s="114" t="n">
        <f aca="false">M193/$R$3</f>
        <v>-101.556</v>
      </c>
      <c r="W193" s="114" t="n">
        <f aca="false">N193/$R$3</f>
        <v>-366.603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Data'!$A$2:$B$8,MATCH(WEEKDAY('ARG Gas IM'!A194,3),'Master Data'!$A$2:$A$8,0),2)</f>
        <v>Su</v>
      </c>
      <c r="D194" s="112"/>
      <c r="E194" s="112"/>
      <c r="F194" s="112"/>
      <c r="G194" s="112"/>
      <c r="I194" s="112" t="n">
        <f aca="false">IF(MONTH($A194)=MONTH($A193),IF(G194=0,I193,G194),G194)</f>
        <v>-101556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-101556</v>
      </c>
      <c r="N194" s="112" t="n">
        <f aca="false">SUM(J$6:J194)</f>
        <v>-366603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-101.556</v>
      </c>
      <c r="V194" s="114" t="n">
        <f aca="false">M194/$R$3</f>
        <v>-101.556</v>
      </c>
      <c r="W194" s="114" t="n">
        <f aca="false">N194/$R$3</f>
        <v>-366.603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Data'!$A$2:$B$8,MATCH(WEEKDAY('ARG Gas IM'!A195,3),'Master Data'!$A$2:$A$8,0),2)</f>
        <v>M</v>
      </c>
      <c r="D195" s="112" t="n">
        <v>60387.6837000007</v>
      </c>
      <c r="E195" s="112"/>
      <c r="F195" s="112"/>
      <c r="G195" s="112" t="n">
        <v>-121124</v>
      </c>
      <c r="I195" s="112" t="n">
        <f aca="false">IF(MONTH($A195)=MONTH($A194),IF(G195=0,I194,G195),G195)</f>
        <v>-121124</v>
      </c>
      <c r="J195" s="112" t="n">
        <f aca="false">IF(MONTH($A195)=MONTH($A194),SUM(I195-I194),I195)</f>
        <v>-19568</v>
      </c>
      <c r="K195" s="112" t="n">
        <f aca="false">IF(WEEKDAY(A195,3)&gt;4,0,(IF(A195&lt;K$2,0,IF(A195&lt;=K$3,1,0))))</f>
        <v>1</v>
      </c>
      <c r="L195" s="112" t="n">
        <f aca="false">J195*K195</f>
        <v>-19568</v>
      </c>
      <c r="M195" s="112" t="n">
        <f aca="false">SUM(J$188:J195)</f>
        <v>-121124</v>
      </c>
      <c r="N195" s="112" t="n">
        <f aca="false">SUM(J$6:J195)</f>
        <v>-386171</v>
      </c>
      <c r="P195" s="112" t="n">
        <f aca="false">D195/P$3</f>
        <v>0.0603876837000007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-19.568</v>
      </c>
      <c r="T195" s="114" t="n">
        <f aca="false">L195/$R$3</f>
        <v>-19.568</v>
      </c>
      <c r="U195" s="114" t="n">
        <f aca="false">I195/$R$3</f>
        <v>-121.124</v>
      </c>
      <c r="V195" s="114" t="n">
        <f aca="false">M195/$R$3</f>
        <v>-121.124</v>
      </c>
      <c r="W195" s="114" t="n">
        <f aca="false">N195/$R$3</f>
        <v>-386.171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Data'!$A$2:$B$8,MATCH(WEEKDAY('ARG Gas IM'!A196,3),'Master Data'!$A$2:$A$8,0),2)</f>
        <v>T</v>
      </c>
      <c r="D196" s="112"/>
      <c r="E196" s="112"/>
      <c r="F196" s="112"/>
      <c r="G196" s="112"/>
      <c r="I196" s="112" t="n">
        <f aca="false">IF(MONTH($A196)=MONTH($A195),IF(G196=0,I195,G196),G196)</f>
        <v>-121124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-121124</v>
      </c>
      <c r="N196" s="112" t="n">
        <f aca="false">SUM(J$6:J196)</f>
        <v>-386171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-121.124</v>
      </c>
      <c r="V196" s="114" t="n">
        <f aca="false">M196/$R$3</f>
        <v>-121.124</v>
      </c>
      <c r="W196" s="114" t="n">
        <f aca="false">N196/$R$3</f>
        <v>-386.171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Data'!$A$2:$B$8,MATCH(WEEKDAY('ARG Gas IM'!A197,3),'Master Data'!$A$2:$A$8,0),2)</f>
        <v>W</v>
      </c>
      <c r="D197" s="112"/>
      <c r="E197" s="112"/>
      <c r="F197" s="112"/>
      <c r="G197" s="112"/>
      <c r="I197" s="112" t="n">
        <f aca="false">IF(MONTH($A197)=MONTH($A196),IF(G197=0,I196,G197),G197)</f>
        <v>-121124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-121124</v>
      </c>
      <c r="N197" s="112" t="n">
        <f aca="false">SUM(J$6:J197)</f>
        <v>-386171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-121.124</v>
      </c>
      <c r="V197" s="114" t="n">
        <f aca="false">M197/$R$3</f>
        <v>-121.124</v>
      </c>
      <c r="W197" s="114" t="n">
        <f aca="false">N197/$R$3</f>
        <v>-386.171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Data'!$A$2:$B$8,MATCH(WEEKDAY('ARG Gas IM'!A198,3),'Master Data'!$A$2:$A$8,0),2)</f>
        <v>Th</v>
      </c>
      <c r="D198" s="112"/>
      <c r="E198" s="112"/>
      <c r="F198" s="112"/>
      <c r="G198" s="112"/>
      <c r="I198" s="112" t="n">
        <f aca="false">IF(MONTH($A198)=MONTH($A197),IF(G198=0,I197,G198),G198)</f>
        <v>-121124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-121124</v>
      </c>
      <c r="N198" s="112" t="n">
        <f aca="false">SUM(J$6:J198)</f>
        <v>-386171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-121.124</v>
      </c>
      <c r="V198" s="114" t="n">
        <f aca="false">M198/$R$3</f>
        <v>-121.124</v>
      </c>
      <c r="W198" s="114" t="n">
        <f aca="false">N198/$R$3</f>
        <v>-386.171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Data'!$A$2:$B$8,MATCH(WEEKDAY('ARG Gas IM'!A199,3),'Master Data'!$A$2:$A$8,0),2)</f>
        <v>F</v>
      </c>
      <c r="D199" s="112"/>
      <c r="E199" s="112"/>
      <c r="F199" s="112"/>
      <c r="G199" s="112"/>
      <c r="I199" s="112" t="n">
        <f aca="false">IF(MONTH($A199)=MONTH($A198),IF(G199=0,I198,G199),G199)</f>
        <v>-121124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-121124</v>
      </c>
      <c r="N199" s="112" t="n">
        <f aca="false">SUM(J$6:J199)</f>
        <v>-386171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-121.124</v>
      </c>
      <c r="V199" s="114" t="n">
        <f aca="false">M199/$R$3</f>
        <v>-121.124</v>
      </c>
      <c r="W199" s="114" t="n">
        <f aca="false">N199/$R$3</f>
        <v>-386.171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Data'!$A$2:$B$8,MATCH(WEEKDAY('ARG Gas IM'!A200,3),'Master Data'!$A$2:$A$8,0),2)</f>
        <v>Sa</v>
      </c>
      <c r="D200" s="112"/>
      <c r="E200" s="112"/>
      <c r="F200" s="112"/>
      <c r="G200" s="112"/>
      <c r="I200" s="112" t="n">
        <f aca="false">IF(MONTH($A200)=MONTH($A199),IF(G200=0,I199,G200),G200)</f>
        <v>-121124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-121124</v>
      </c>
      <c r="N200" s="112" t="n">
        <f aca="false">SUM(J$6:J200)</f>
        <v>-386171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-121.124</v>
      </c>
      <c r="V200" s="114" t="n">
        <f aca="false">M200/$R$3</f>
        <v>-121.124</v>
      </c>
      <c r="W200" s="114" t="n">
        <f aca="false">N200/$R$3</f>
        <v>-386.171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Data'!$A$2:$B$8,MATCH(WEEKDAY('ARG Gas IM'!A201,3),'Master Data'!$A$2:$A$8,0),2)</f>
        <v>Su</v>
      </c>
      <c r="D201" s="112"/>
      <c r="E201" s="112"/>
      <c r="F201" s="112"/>
      <c r="G201" s="112"/>
      <c r="I201" s="112" t="n">
        <f aca="false">IF(MONTH($A201)=MONTH($A200),IF(G201=0,I200,G201),G201)</f>
        <v>-121124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-121124</v>
      </c>
      <c r="N201" s="112" t="n">
        <f aca="false">SUM(J$6:J201)</f>
        <v>-386171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-121.124</v>
      </c>
      <c r="V201" s="114" t="n">
        <f aca="false">M201/$R$3</f>
        <v>-121.124</v>
      </c>
      <c r="W201" s="114" t="n">
        <f aca="false">N201/$R$3</f>
        <v>-386.171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Data'!$A$2:$B$8,MATCH(WEEKDAY('ARG Gas IM'!A202,3),'Master Data'!$A$2:$A$8,0),2)</f>
        <v>M</v>
      </c>
      <c r="D202" s="112"/>
      <c r="E202" s="112"/>
      <c r="F202" s="112"/>
      <c r="G202" s="112"/>
      <c r="I202" s="112" t="n">
        <f aca="false">IF(MONTH($A202)=MONTH($A201),IF(G202=0,I201,G202),G202)</f>
        <v>-121124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-121124</v>
      </c>
      <c r="N202" s="112" t="n">
        <f aca="false">SUM(J$6:J202)</f>
        <v>-386171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-121.124</v>
      </c>
      <c r="V202" s="114" t="n">
        <f aca="false">M202/$R$3</f>
        <v>-121.124</v>
      </c>
      <c r="W202" s="114" t="n">
        <f aca="false">N202/$R$3</f>
        <v>-386.171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Data'!$A$2:$B$8,MATCH(WEEKDAY('ARG Gas IM'!A203,3),'Master Data'!$A$2:$A$8,0),2)</f>
        <v>T</v>
      </c>
      <c r="D203" s="112"/>
      <c r="E203" s="112"/>
      <c r="F203" s="112"/>
      <c r="G203" s="112"/>
      <c r="I203" s="112" t="n">
        <f aca="false">IF(MONTH($A203)=MONTH($A202),IF(G203=0,I202,G203),G203)</f>
        <v>-121124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-121124</v>
      </c>
      <c r="N203" s="112" t="n">
        <f aca="false">SUM(J$6:J203)</f>
        <v>-386171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-121.124</v>
      </c>
      <c r="V203" s="114" t="n">
        <f aca="false">M203/$R$3</f>
        <v>-121.124</v>
      </c>
      <c r="W203" s="114" t="n">
        <f aca="false">N203/$R$3</f>
        <v>-386.171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Data'!$A$2:$B$8,MATCH(WEEKDAY('ARG Gas IM'!A204,3),'Master Data'!$A$2:$A$8,0),2)</f>
        <v>W</v>
      </c>
      <c r="D204" s="112"/>
      <c r="E204" s="112"/>
      <c r="F204" s="112"/>
      <c r="G204" s="112"/>
      <c r="I204" s="112" t="n">
        <f aca="false">IF(MONTH($A204)=MONTH($A203),IF(G204=0,I203,G204),G204)</f>
        <v>-121124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-121124</v>
      </c>
      <c r="N204" s="112" t="n">
        <f aca="false">SUM(J$6:J204)</f>
        <v>-386171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-121.124</v>
      </c>
      <c r="V204" s="114" t="n">
        <f aca="false">M204/$R$3</f>
        <v>-121.124</v>
      </c>
      <c r="W204" s="114" t="n">
        <f aca="false">N204/$R$3</f>
        <v>-386.171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Data'!$A$2:$B$8,MATCH(WEEKDAY('ARG Gas IM'!A205,3),'Master Data'!$A$2:$A$8,0),2)</f>
        <v>Th</v>
      </c>
      <c r="D205" s="112"/>
      <c r="E205" s="112"/>
      <c r="F205" s="112"/>
      <c r="G205" s="112"/>
      <c r="I205" s="112" t="n">
        <f aca="false">IF(MONTH($A205)=MONTH($A204),IF(G205=0,I204,G205),G205)</f>
        <v>-121124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-121124</v>
      </c>
      <c r="N205" s="112" t="n">
        <f aca="false">SUM(J$6:J205)</f>
        <v>-386171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-121.124</v>
      </c>
      <c r="V205" s="114" t="n">
        <f aca="false">M205/$R$3</f>
        <v>-121.124</v>
      </c>
      <c r="W205" s="114" t="n">
        <f aca="false">N205/$R$3</f>
        <v>-386.171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Data'!$A$2:$B$8,MATCH(WEEKDAY('ARG Gas IM'!A206,3),'Master Data'!$A$2:$A$8,0),2)</f>
        <v>F</v>
      </c>
      <c r="D206" s="112"/>
      <c r="E206" s="112"/>
      <c r="F206" s="112"/>
      <c r="G206" s="112"/>
      <c r="I206" s="112" t="n">
        <f aca="false">IF(MONTH($A206)=MONTH($A205),IF(G206=0,I205,G206),G206)</f>
        <v>-121124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-121124</v>
      </c>
      <c r="N206" s="112" t="n">
        <f aca="false">SUM(J$6:J206)</f>
        <v>-386171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-121.124</v>
      </c>
      <c r="V206" s="114" t="n">
        <f aca="false">M206/$R$3</f>
        <v>-121.124</v>
      </c>
      <c r="W206" s="114" t="n">
        <f aca="false">N206/$R$3</f>
        <v>-386.171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Data'!$A$2:$B$8,MATCH(WEEKDAY('ARG Gas IM'!A207,3),'Master Data'!$A$2:$A$8,0),2)</f>
        <v>Sa</v>
      </c>
      <c r="D207" s="112"/>
      <c r="E207" s="112"/>
      <c r="F207" s="112"/>
      <c r="G207" s="112"/>
      <c r="I207" s="112" t="n">
        <f aca="false">IF(MONTH($A207)=MONTH($A206),IF(G207=0,I206,G207),G207)</f>
        <v>-121124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-121124</v>
      </c>
      <c r="N207" s="112" t="n">
        <f aca="false">SUM(J$6:J207)</f>
        <v>-386171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-121.124</v>
      </c>
      <c r="V207" s="114" t="n">
        <f aca="false">M207/$R$3</f>
        <v>-121.124</v>
      </c>
      <c r="W207" s="114" t="n">
        <f aca="false">N207/$R$3</f>
        <v>-386.171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Data'!$A$2:$B$8,MATCH(WEEKDAY('ARG Gas IM'!A208,3),'Master Data'!$A$2:$A$8,0),2)</f>
        <v>Su</v>
      </c>
      <c r="D208" s="112"/>
      <c r="E208" s="112"/>
      <c r="F208" s="112"/>
      <c r="G208" s="112"/>
      <c r="I208" s="112" t="n">
        <f aca="false">IF(MONTH($A208)=MONTH($A207),IF(G208=0,I207,G208),G208)</f>
        <v>-121124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-121124</v>
      </c>
      <c r="N208" s="112" t="n">
        <f aca="false">SUM(J$6:J208)</f>
        <v>-386171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-121.124</v>
      </c>
      <c r="V208" s="114" t="n">
        <f aca="false">M208/$R$3</f>
        <v>-121.124</v>
      </c>
      <c r="W208" s="114" t="n">
        <f aca="false">N208/$R$3</f>
        <v>-386.171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Data'!$A$2:$B$8,MATCH(WEEKDAY('ARG Gas IM'!A209,3),'Master Data'!$A$2:$A$8,0),2)</f>
        <v>M</v>
      </c>
      <c r="D209" s="112"/>
      <c r="E209" s="112"/>
      <c r="F209" s="112"/>
      <c r="G209" s="112"/>
      <c r="I209" s="112" t="n">
        <f aca="false">IF(MONTH($A209)=MONTH($A208),IF(G209=0,I208,G209),G209)</f>
        <v>-121124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-121124</v>
      </c>
      <c r="N209" s="112" t="n">
        <f aca="false">SUM(J$6:J209)</f>
        <v>-386171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-121.124</v>
      </c>
      <c r="V209" s="114" t="n">
        <f aca="false">M209/$R$3</f>
        <v>-121.124</v>
      </c>
      <c r="W209" s="114" t="n">
        <f aca="false">N209/$R$3</f>
        <v>-386.171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Data'!$A$2:$B$8,MATCH(WEEKDAY('ARG Gas IM'!A210,3),'Master Data'!$A$2:$A$8,0),2)</f>
        <v>T</v>
      </c>
      <c r="D210" s="112"/>
      <c r="E210" s="112"/>
      <c r="F210" s="112"/>
      <c r="G210" s="112"/>
      <c r="I210" s="112" t="n">
        <f aca="false">IF(MONTH($A210)=MONTH($A209),IF(G210=0,I209,G210),G210)</f>
        <v>-121124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-121124</v>
      </c>
      <c r="N210" s="112" t="n">
        <f aca="false">SUM(J$6:J210)</f>
        <v>-386171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-121.124</v>
      </c>
      <c r="V210" s="114" t="n">
        <f aca="false">M210/$R$3</f>
        <v>-121.124</v>
      </c>
      <c r="W210" s="114" t="n">
        <f aca="false">N210/$R$3</f>
        <v>-386.171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Data'!$A$2:$B$8,MATCH(WEEKDAY('ARG Gas IM'!A211,3),'Master Data'!$A$2:$A$8,0),2)</f>
        <v>W</v>
      </c>
      <c r="D211" s="112"/>
      <c r="E211" s="112"/>
      <c r="F211" s="112"/>
      <c r="G211" s="112"/>
      <c r="I211" s="112" t="n">
        <f aca="false">IF(MONTH($A211)=MONTH($A210),IF(G211=0,I210,G211),G211)</f>
        <v>-121124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-121124</v>
      </c>
      <c r="N211" s="112" t="n">
        <f aca="false">SUM(J$6:J211)</f>
        <v>-386171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-121.124</v>
      </c>
      <c r="V211" s="114" t="n">
        <f aca="false">M211/$R$3</f>
        <v>-121.124</v>
      </c>
      <c r="W211" s="114" t="n">
        <f aca="false">N211/$R$3</f>
        <v>-386.171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Data'!$A$2:$B$8,MATCH(WEEKDAY('ARG Gas IM'!A212,3),'Master Data'!$A$2:$A$8,0),2)</f>
        <v>Th</v>
      </c>
      <c r="D212" s="112"/>
      <c r="E212" s="112"/>
      <c r="F212" s="112"/>
      <c r="G212" s="112"/>
      <c r="I212" s="112" t="n">
        <f aca="false">IF(MONTH($A212)=MONTH($A211),IF(G212=0,I211,G212),G212)</f>
        <v>-121124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-121124</v>
      </c>
      <c r="N212" s="112" t="n">
        <f aca="false">SUM(J$6:J212)</f>
        <v>-386171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-121.124</v>
      </c>
      <c r="V212" s="114" t="n">
        <f aca="false">M212/$R$3</f>
        <v>-121.124</v>
      </c>
      <c r="W212" s="114" t="n">
        <f aca="false">N212/$R$3</f>
        <v>-386.171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Data'!$A$2:$B$8,MATCH(WEEKDAY('ARG Gas IM'!A213,3),'Master Data'!$A$2:$A$8,0),2)</f>
        <v>F</v>
      </c>
      <c r="D213" s="112"/>
      <c r="E213" s="112"/>
      <c r="F213" s="112"/>
      <c r="G213" s="112"/>
      <c r="I213" s="112" t="n">
        <f aca="false">IF(MONTH($A213)=MONTH($A212),IF(G213=0,I212,G213),G213)</f>
        <v>-121124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-121124</v>
      </c>
      <c r="N213" s="112" t="n">
        <f aca="false">SUM(J$6:J213)</f>
        <v>-386171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-121.124</v>
      </c>
      <c r="V213" s="114" t="n">
        <f aca="false">M213/$R$3</f>
        <v>-121.124</v>
      </c>
      <c r="W213" s="114" t="n">
        <f aca="false">N213/$R$3</f>
        <v>-386.171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Data'!$A$2:$B$8,MATCH(WEEKDAY('ARG Gas IM'!A214,3),'Master Data'!$A$2:$A$8,0),2)</f>
        <v>Sa</v>
      </c>
      <c r="D214" s="112"/>
      <c r="E214" s="112"/>
      <c r="F214" s="112"/>
      <c r="G214" s="112"/>
      <c r="I214" s="112" t="n">
        <f aca="false">IF(MONTH($A214)=MONTH($A213),IF(G214=0,I213,G214),G214)</f>
        <v>-121124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-121124</v>
      </c>
      <c r="N214" s="112" t="n">
        <f aca="false">SUM(J$6:J214)</f>
        <v>-386171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-121.124</v>
      </c>
      <c r="V214" s="114" t="n">
        <f aca="false">M214/$R$3</f>
        <v>-121.124</v>
      </c>
      <c r="W214" s="114" t="n">
        <f aca="false">N214/$R$3</f>
        <v>-386.171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Data'!$A$2:$B$8,MATCH(WEEKDAY('ARG Gas IM'!A215,3),'Master Data'!$A$2:$A$8,0),2)</f>
        <v>Su</v>
      </c>
      <c r="D215" s="112"/>
      <c r="E215" s="112"/>
      <c r="F215" s="112"/>
      <c r="G215" s="112"/>
      <c r="I215" s="112" t="n">
        <f aca="false">IF(MONTH($A215)=MONTH($A214),IF(G215=0,I214,G215),G215)</f>
        <v>-121124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-121124</v>
      </c>
      <c r="N215" s="112" t="n">
        <f aca="false">SUM(J$6:J215)</f>
        <v>-386171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-121.124</v>
      </c>
      <c r="V215" s="114" t="n">
        <f aca="false">M215/$R$3</f>
        <v>-121.124</v>
      </c>
      <c r="W215" s="114" t="n">
        <f aca="false">N215/$R$3</f>
        <v>-386.171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Data'!$A$2:$B$8,MATCH(WEEKDAY('ARG Gas IM'!A216,3),'Master Data'!$A$2:$A$8,0),2)</f>
        <v>M</v>
      </c>
      <c r="D216" s="112"/>
      <c r="E216" s="112"/>
      <c r="F216" s="112"/>
      <c r="G216" s="112"/>
      <c r="I216" s="112" t="n">
        <f aca="false">IF(MONTH($A216)=MONTH($A215),IF(G216=0,I215,G216),G216)</f>
        <v>-121124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-121124</v>
      </c>
      <c r="N216" s="112" t="n">
        <f aca="false">SUM(J$6:J216)</f>
        <v>-386171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-121.124</v>
      </c>
      <c r="V216" s="114" t="n">
        <f aca="false">M216/$R$3</f>
        <v>-121.124</v>
      </c>
      <c r="W216" s="114" t="n">
        <f aca="false">N216/$R$3</f>
        <v>-386.171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Data'!$A$2:$B$8,MATCH(WEEKDAY('ARG Gas IM'!A217,3),'Master Data'!$A$2:$A$8,0),2)</f>
        <v>T</v>
      </c>
      <c r="D217" s="112"/>
      <c r="E217" s="112"/>
      <c r="F217" s="112"/>
      <c r="G217" s="112"/>
      <c r="I217" s="112" t="n">
        <f aca="false">IF(MONTH($A217)=MONTH($A216),IF(G217=0,I216,G217),G217)</f>
        <v>-121124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-121124</v>
      </c>
      <c r="N217" s="112" t="n">
        <f aca="false">SUM(J$6:J217)</f>
        <v>-386171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-121.124</v>
      </c>
      <c r="V217" s="114" t="n">
        <f aca="false">M217/$R$3</f>
        <v>-121.124</v>
      </c>
      <c r="W217" s="114" t="n">
        <f aca="false">N217/$R$3</f>
        <v>-386.171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Data'!$A$2:$B$8,MATCH(WEEKDAY('ARG Gas IM'!A218,3),'Master Data'!$A$2:$A$8,0),2)</f>
        <v>W</v>
      </c>
      <c r="D218" s="112"/>
      <c r="E218" s="112"/>
      <c r="F218" s="112"/>
      <c r="G218" s="112"/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-121124</v>
      </c>
      <c r="N218" s="112" t="n">
        <f aca="false">SUM(J$6:J218)</f>
        <v>-386171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-121.124</v>
      </c>
      <c r="W218" s="114" t="n">
        <f aca="false">N218/$R$3</f>
        <v>-386.171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Data'!$A$2:$B$8,MATCH(WEEKDAY('ARG Gas IM'!A219,3),'Master Data'!$A$2:$A$8,0),2)</f>
        <v>Th</v>
      </c>
      <c r="D219" s="112"/>
      <c r="E219" s="112"/>
      <c r="F219" s="112"/>
      <c r="G219" s="112"/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-121124</v>
      </c>
      <c r="N219" s="112" t="n">
        <f aca="false">SUM(J$6:J219)</f>
        <v>-386171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-121.124</v>
      </c>
      <c r="W219" s="114" t="n">
        <f aca="false">N219/$R$3</f>
        <v>-386.171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Data'!$A$2:$B$8,MATCH(WEEKDAY('ARG Gas IM'!A220,3),'Master Data'!$A$2:$A$8,0),2)</f>
        <v>F</v>
      </c>
      <c r="D220" s="112"/>
      <c r="E220" s="112"/>
      <c r="F220" s="112"/>
      <c r="G220" s="112"/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-121124</v>
      </c>
      <c r="N220" s="112" t="n">
        <f aca="false">SUM(J$6:J220)</f>
        <v>-386171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-121.124</v>
      </c>
      <c r="W220" s="114" t="n">
        <f aca="false">N220/$R$3</f>
        <v>-386.171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Data'!$A$2:$B$8,MATCH(WEEKDAY('ARG Gas IM'!A221,3),'Master Data'!$A$2:$A$8,0),2)</f>
        <v>Sa</v>
      </c>
      <c r="D221" s="112"/>
      <c r="E221" s="112"/>
      <c r="F221" s="112"/>
      <c r="G221" s="112"/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-121124</v>
      </c>
      <c r="N221" s="112" t="n">
        <f aca="false">SUM(J$6:J221)</f>
        <v>-386171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-121.124</v>
      </c>
      <c r="W221" s="114" t="n">
        <f aca="false">N221/$R$3</f>
        <v>-386.171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Data'!$A$2:$B$8,MATCH(WEEKDAY('ARG Gas IM'!A222,3),'Master Data'!$A$2:$A$8,0),2)</f>
        <v>Su</v>
      </c>
      <c r="D222" s="112"/>
      <c r="E222" s="112"/>
      <c r="F222" s="112"/>
      <c r="G222" s="112"/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-121124</v>
      </c>
      <c r="N222" s="112" t="n">
        <f aca="false">SUM(J$6:J222)</f>
        <v>-386171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-121.124</v>
      </c>
      <c r="W222" s="114" t="n">
        <f aca="false">N222/$R$3</f>
        <v>-386.171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Data'!$A$2:$B$8,MATCH(WEEKDAY('ARG Gas IM'!A223,3),'Master Data'!$A$2:$A$8,0),2)</f>
        <v>M</v>
      </c>
      <c r="D223" s="112"/>
      <c r="E223" s="112"/>
      <c r="F223" s="112"/>
      <c r="G223" s="112"/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-121124</v>
      </c>
      <c r="N223" s="112" t="n">
        <f aca="false">SUM(J$6:J223)</f>
        <v>-386171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-121.124</v>
      </c>
      <c r="W223" s="114" t="n">
        <f aca="false">N223/$R$3</f>
        <v>-386.171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Data'!$A$2:$B$8,MATCH(WEEKDAY('ARG Gas IM'!A224,3),'Master Data'!$A$2:$A$8,0),2)</f>
        <v>T</v>
      </c>
      <c r="D224" s="112"/>
      <c r="E224" s="112"/>
      <c r="F224" s="112"/>
      <c r="G224" s="112"/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-121124</v>
      </c>
      <c r="N224" s="112" t="n">
        <f aca="false">SUM(J$6:J224)</f>
        <v>-386171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-121.124</v>
      </c>
      <c r="W224" s="114" t="n">
        <f aca="false">N224/$R$3</f>
        <v>-386.171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Data'!$A$2:$B$8,MATCH(WEEKDAY('ARG Gas IM'!A225,3),'Master Data'!$A$2:$A$8,0),2)</f>
        <v>W</v>
      </c>
      <c r="D225" s="112"/>
      <c r="E225" s="112"/>
      <c r="F225" s="112"/>
      <c r="G225" s="112"/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-121124</v>
      </c>
      <c r="N225" s="112" t="n">
        <f aca="false">SUM(J$6:J225)</f>
        <v>-386171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-121.124</v>
      </c>
      <c r="W225" s="114" t="n">
        <f aca="false">N225/$R$3</f>
        <v>-386.171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Data'!$A$2:$B$8,MATCH(WEEKDAY('ARG Gas IM'!A226,3),'Master Data'!$A$2:$A$8,0),2)</f>
        <v>Th</v>
      </c>
      <c r="D226" s="112"/>
      <c r="E226" s="112"/>
      <c r="F226" s="112"/>
      <c r="G226" s="112"/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-121124</v>
      </c>
      <c r="N226" s="112" t="n">
        <f aca="false">SUM(J$6:J226)</f>
        <v>-386171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-121.124</v>
      </c>
      <c r="W226" s="114" t="n">
        <f aca="false">N226/$R$3</f>
        <v>-386.171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Data'!$A$2:$B$8,MATCH(WEEKDAY('ARG Gas IM'!A227,3),'Master Data'!$A$2:$A$8,0),2)</f>
        <v>F</v>
      </c>
      <c r="D227" s="112"/>
      <c r="E227" s="112"/>
      <c r="F227" s="112"/>
      <c r="G227" s="112"/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-121124</v>
      </c>
      <c r="N227" s="112" t="n">
        <f aca="false">SUM(J$6:J227)</f>
        <v>-386171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-121.124</v>
      </c>
      <c r="W227" s="114" t="n">
        <f aca="false">N227/$R$3</f>
        <v>-386.171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Data'!$A$2:$B$8,MATCH(WEEKDAY('ARG Gas IM'!A228,3),'Master Data'!$A$2:$A$8,0),2)</f>
        <v>Sa</v>
      </c>
      <c r="D228" s="112"/>
      <c r="E228" s="112"/>
      <c r="F228" s="112"/>
      <c r="G228" s="112"/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-121124</v>
      </c>
      <c r="N228" s="112" t="n">
        <f aca="false">SUM(J$6:J228)</f>
        <v>-386171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-121.124</v>
      </c>
      <c r="W228" s="114" t="n">
        <f aca="false">N228/$R$3</f>
        <v>-386.171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Data'!$A$2:$B$8,MATCH(WEEKDAY('ARG Gas IM'!A229,3),'Master Data'!$A$2:$A$8,0),2)</f>
        <v>Su</v>
      </c>
      <c r="D229" s="112"/>
      <c r="E229" s="112"/>
      <c r="F229" s="112"/>
      <c r="G229" s="112"/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-121124</v>
      </c>
      <c r="N229" s="112" t="n">
        <f aca="false">SUM(J$6:J229)</f>
        <v>-386171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-121.124</v>
      </c>
      <c r="W229" s="114" t="n">
        <f aca="false">N229/$R$3</f>
        <v>-386.171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Data'!$A$2:$B$8,MATCH(WEEKDAY('ARG Gas IM'!A230,3),'Master Data'!$A$2:$A$8,0),2)</f>
        <v>M</v>
      </c>
      <c r="D230" s="112"/>
      <c r="E230" s="112"/>
      <c r="F230" s="112"/>
      <c r="G230" s="112"/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-121124</v>
      </c>
      <c r="N230" s="112" t="n">
        <f aca="false">SUM(J$6:J230)</f>
        <v>-386171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-121.124</v>
      </c>
      <c r="W230" s="114" t="n">
        <f aca="false">N230/$R$3</f>
        <v>-386.171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Data'!$A$2:$B$8,MATCH(WEEKDAY('ARG Gas IM'!A231,3),'Master Data'!$A$2:$A$8,0),2)</f>
        <v>T</v>
      </c>
      <c r="D231" s="112"/>
      <c r="E231" s="112"/>
      <c r="F231" s="112"/>
      <c r="G231" s="112"/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-121124</v>
      </c>
      <c r="N231" s="112" t="n">
        <f aca="false">SUM(J$6:J231)</f>
        <v>-386171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-121.124</v>
      </c>
      <c r="W231" s="114" t="n">
        <f aca="false">N231/$R$3</f>
        <v>-386.171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Data'!$A$2:$B$8,MATCH(WEEKDAY('ARG Gas IM'!A232,3),'Master Data'!$A$2:$A$8,0),2)</f>
        <v>W</v>
      </c>
      <c r="D232" s="112"/>
      <c r="E232" s="112"/>
      <c r="F232" s="112"/>
      <c r="G232" s="112"/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-121124</v>
      </c>
      <c r="N232" s="112" t="n">
        <f aca="false">SUM(J$6:J232)</f>
        <v>-386171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-121.124</v>
      </c>
      <c r="W232" s="114" t="n">
        <f aca="false">N232/$R$3</f>
        <v>-386.171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Data'!$A$2:$B$8,MATCH(WEEKDAY('ARG Gas IM'!A233,3),'Master Data'!$A$2:$A$8,0),2)</f>
        <v>Th</v>
      </c>
      <c r="D233" s="112"/>
      <c r="E233" s="112"/>
      <c r="F233" s="112"/>
      <c r="G233" s="112"/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-121124</v>
      </c>
      <c r="N233" s="112" t="n">
        <f aca="false">SUM(J$6:J233)</f>
        <v>-386171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-121.124</v>
      </c>
      <c r="W233" s="114" t="n">
        <f aca="false">N233/$R$3</f>
        <v>-386.171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Data'!$A$2:$B$8,MATCH(WEEKDAY('ARG Gas IM'!A234,3),'Master Data'!$A$2:$A$8,0),2)</f>
        <v>F</v>
      </c>
      <c r="D234" s="112"/>
      <c r="E234" s="112"/>
      <c r="F234" s="112"/>
      <c r="G234" s="112"/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-121124</v>
      </c>
      <c r="N234" s="112" t="n">
        <f aca="false">SUM(J$6:J234)</f>
        <v>-386171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-121.124</v>
      </c>
      <c r="W234" s="114" t="n">
        <f aca="false">N234/$R$3</f>
        <v>-386.171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Data'!$A$2:$B$8,MATCH(WEEKDAY('ARG Gas IM'!A235,3),'Master Data'!$A$2:$A$8,0),2)</f>
        <v>Sa</v>
      </c>
      <c r="D235" s="112"/>
      <c r="E235" s="112"/>
      <c r="F235" s="112"/>
      <c r="G235" s="112"/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-121124</v>
      </c>
      <c r="N235" s="112" t="n">
        <f aca="false">SUM(J$6:J235)</f>
        <v>-386171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-121.124</v>
      </c>
      <c r="W235" s="114" t="n">
        <f aca="false">N235/$R$3</f>
        <v>-386.171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Data'!$A$2:$B$8,MATCH(WEEKDAY('ARG Gas IM'!A236,3),'Master Data'!$A$2:$A$8,0),2)</f>
        <v>Su</v>
      </c>
      <c r="D236" s="112"/>
      <c r="E236" s="112"/>
      <c r="F236" s="112"/>
      <c r="G236" s="112"/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-121124</v>
      </c>
      <c r="N236" s="112" t="n">
        <f aca="false">SUM(J$6:J236)</f>
        <v>-386171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-121.124</v>
      </c>
      <c r="W236" s="114" t="n">
        <f aca="false">N236/$R$3</f>
        <v>-386.171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Data'!$A$2:$B$8,MATCH(WEEKDAY('ARG Gas IM'!A237,3),'Master Data'!$A$2:$A$8,0),2)</f>
        <v>M</v>
      </c>
      <c r="D237" s="112"/>
      <c r="E237" s="112"/>
      <c r="F237" s="112"/>
      <c r="G237" s="112"/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-121124</v>
      </c>
      <c r="N237" s="112" t="n">
        <f aca="false">SUM(J$6:J237)</f>
        <v>-386171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-121.124</v>
      </c>
      <c r="W237" s="114" t="n">
        <f aca="false">N237/$R$3</f>
        <v>-386.171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Data'!$A$2:$B$8,MATCH(WEEKDAY('ARG Gas IM'!A238,3),'Master Data'!$A$2:$A$8,0),2)</f>
        <v>T</v>
      </c>
      <c r="D238" s="112"/>
      <c r="E238" s="112"/>
      <c r="F238" s="112"/>
      <c r="G238" s="112"/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-121124</v>
      </c>
      <c r="N238" s="112" t="n">
        <f aca="false">SUM(J$6:J238)</f>
        <v>-386171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-121.124</v>
      </c>
      <c r="W238" s="114" t="n">
        <f aca="false">N238/$R$3</f>
        <v>-386.171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Data'!$A$2:$B$8,MATCH(WEEKDAY('ARG Gas IM'!A239,3),'Master Data'!$A$2:$A$8,0),2)</f>
        <v>W</v>
      </c>
      <c r="D239" s="112"/>
      <c r="E239" s="112"/>
      <c r="F239" s="112"/>
      <c r="G239" s="112"/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-121124</v>
      </c>
      <c r="N239" s="112" t="n">
        <f aca="false">SUM(J$6:J239)</f>
        <v>-386171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-121.124</v>
      </c>
      <c r="W239" s="114" t="n">
        <f aca="false">N239/$R$3</f>
        <v>-386.171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Data'!$A$2:$B$8,MATCH(WEEKDAY('ARG Gas IM'!A240,3),'Master Data'!$A$2:$A$8,0),2)</f>
        <v>Th</v>
      </c>
      <c r="D240" s="112"/>
      <c r="E240" s="112"/>
      <c r="F240" s="112"/>
      <c r="G240" s="112"/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-121124</v>
      </c>
      <c r="N240" s="112" t="n">
        <f aca="false">SUM(J$6:J240)</f>
        <v>-386171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-121.124</v>
      </c>
      <c r="W240" s="114" t="n">
        <f aca="false">N240/$R$3</f>
        <v>-386.171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Data'!$A$2:$B$8,MATCH(WEEKDAY('ARG Gas IM'!A241,3),'Master Data'!$A$2:$A$8,0),2)</f>
        <v>F</v>
      </c>
      <c r="D241" s="112"/>
      <c r="E241" s="112"/>
      <c r="F241" s="112"/>
      <c r="G241" s="112"/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-121124</v>
      </c>
      <c r="N241" s="112" t="n">
        <f aca="false">SUM(J$6:J241)</f>
        <v>-386171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-121.124</v>
      </c>
      <c r="W241" s="114" t="n">
        <f aca="false">N241/$R$3</f>
        <v>-386.171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Data'!$A$2:$B$8,MATCH(WEEKDAY('ARG Gas IM'!A242,3),'Master Data'!$A$2:$A$8,0),2)</f>
        <v>Sa</v>
      </c>
      <c r="D242" s="112"/>
      <c r="E242" s="112"/>
      <c r="F242" s="112"/>
      <c r="G242" s="112"/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-121124</v>
      </c>
      <c r="N242" s="112" t="n">
        <f aca="false">SUM(J$6:J242)</f>
        <v>-386171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-121.124</v>
      </c>
      <c r="W242" s="114" t="n">
        <f aca="false">N242/$R$3</f>
        <v>-386.171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Data'!$A$2:$B$8,MATCH(WEEKDAY('ARG Gas IM'!A243,3),'Master Data'!$A$2:$A$8,0),2)</f>
        <v>Su</v>
      </c>
      <c r="D243" s="112"/>
      <c r="E243" s="112"/>
      <c r="F243" s="112"/>
      <c r="G243" s="112"/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-121124</v>
      </c>
      <c r="N243" s="112" t="n">
        <f aca="false">SUM(J$6:J243)</f>
        <v>-386171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-121.124</v>
      </c>
      <c r="W243" s="114" t="n">
        <f aca="false">N243/$R$3</f>
        <v>-386.171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Data'!$A$2:$B$8,MATCH(WEEKDAY('ARG Gas IM'!A244,3),'Master Data'!$A$2:$A$8,0),2)</f>
        <v>M</v>
      </c>
      <c r="D244" s="112"/>
      <c r="E244" s="112"/>
      <c r="F244" s="112"/>
      <c r="G244" s="112"/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-121124</v>
      </c>
      <c r="N244" s="112" t="n">
        <f aca="false">SUM(J$6:J244)</f>
        <v>-386171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-121.124</v>
      </c>
      <c r="W244" s="114" t="n">
        <f aca="false">N244/$R$3</f>
        <v>-386.171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Data'!$A$2:$B$8,MATCH(WEEKDAY('ARG Gas IM'!A245,3),'Master Data'!$A$2:$A$8,0),2)</f>
        <v>T</v>
      </c>
      <c r="D245" s="112"/>
      <c r="E245" s="112"/>
      <c r="F245" s="112"/>
      <c r="G245" s="112"/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-121124</v>
      </c>
      <c r="N245" s="112" t="n">
        <f aca="false">SUM(J$6:J245)</f>
        <v>-386171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-121.124</v>
      </c>
      <c r="W245" s="114" t="n">
        <f aca="false">N245/$R$3</f>
        <v>-386.171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Data'!$A$2:$B$8,MATCH(WEEKDAY('ARG Gas IM'!A246,3),'Master Data'!$A$2:$A$8,0),2)</f>
        <v>W</v>
      </c>
      <c r="D246" s="112"/>
      <c r="E246" s="112"/>
      <c r="F246" s="112"/>
      <c r="G246" s="112"/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-121124</v>
      </c>
      <c r="N246" s="112" t="n">
        <f aca="false">SUM(J$6:J246)</f>
        <v>-386171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-121.124</v>
      </c>
      <c r="W246" s="114" t="n">
        <f aca="false">N246/$R$3</f>
        <v>-386.171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Data'!$A$2:$B$8,MATCH(WEEKDAY('ARG Gas IM'!A247,3),'Master Data'!$A$2:$A$8,0),2)</f>
        <v>Th</v>
      </c>
      <c r="D247" s="112"/>
      <c r="E247" s="112"/>
      <c r="F247" s="112"/>
      <c r="G247" s="112"/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-121124</v>
      </c>
      <c r="N247" s="112" t="n">
        <f aca="false">SUM(J$6:J247)</f>
        <v>-386171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-121.124</v>
      </c>
      <c r="W247" s="114" t="n">
        <f aca="false">N247/$R$3</f>
        <v>-386.171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Data'!$A$2:$B$8,MATCH(WEEKDAY('ARG Gas IM'!A248,3),'Master Data'!$A$2:$A$8,0),2)</f>
        <v>F</v>
      </c>
      <c r="D248" s="112"/>
      <c r="E248" s="112"/>
      <c r="F248" s="112"/>
      <c r="G248" s="112"/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-121124</v>
      </c>
      <c r="N248" s="112" t="n">
        <f aca="false">SUM(J$6:J248)</f>
        <v>-386171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-121.124</v>
      </c>
      <c r="W248" s="114" t="n">
        <f aca="false">N248/$R$3</f>
        <v>-386.171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Data'!$A$2:$B$8,MATCH(WEEKDAY('ARG Gas IM'!A249,3),'Master Data'!$A$2:$A$8,0),2)</f>
        <v>Sa</v>
      </c>
      <c r="D249" s="112"/>
      <c r="E249" s="112"/>
      <c r="F249" s="112"/>
      <c r="G249" s="112"/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-121124</v>
      </c>
      <c r="N249" s="112" t="n">
        <f aca="false">SUM(J$6:J249)</f>
        <v>-386171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-121.124</v>
      </c>
      <c r="W249" s="114" t="n">
        <f aca="false">N249/$R$3</f>
        <v>-386.171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Data'!$A$2:$B$8,MATCH(WEEKDAY('ARG Gas IM'!A250,3),'Master Data'!$A$2:$A$8,0),2)</f>
        <v>Su</v>
      </c>
      <c r="D250" s="112"/>
      <c r="E250" s="112"/>
      <c r="F250" s="112"/>
      <c r="G250" s="112"/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-121124</v>
      </c>
      <c r="N250" s="112" t="n">
        <f aca="false">SUM(J$6:J250)</f>
        <v>-386171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-121.124</v>
      </c>
      <c r="W250" s="114" t="n">
        <f aca="false">N250/$R$3</f>
        <v>-386.171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Data'!$A$2:$B$8,MATCH(WEEKDAY('ARG Gas IM'!A251,3),'Master Data'!$A$2:$A$8,0),2)</f>
        <v>M</v>
      </c>
      <c r="D251" s="112"/>
      <c r="E251" s="112"/>
      <c r="F251" s="112"/>
      <c r="G251" s="112"/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-121124</v>
      </c>
      <c r="N251" s="112" t="n">
        <f aca="false">SUM(J$6:J251)</f>
        <v>-386171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-121.124</v>
      </c>
      <c r="W251" s="114" t="n">
        <f aca="false">N251/$R$3</f>
        <v>-386.171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Data'!$A$2:$B$8,MATCH(WEEKDAY('ARG Gas IM'!A252,3),'Master Data'!$A$2:$A$8,0),2)</f>
        <v>T</v>
      </c>
      <c r="D252" s="112"/>
      <c r="E252" s="112"/>
      <c r="F252" s="112"/>
      <c r="G252" s="112"/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-121124</v>
      </c>
      <c r="N252" s="112" t="n">
        <f aca="false">SUM(J$6:J252)</f>
        <v>-386171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-121.124</v>
      </c>
      <c r="W252" s="114" t="n">
        <f aca="false">N252/$R$3</f>
        <v>-386.171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Data'!$A$2:$B$8,MATCH(WEEKDAY('ARG Gas IM'!A253,3),'Master Data'!$A$2:$A$8,0),2)</f>
        <v>W</v>
      </c>
      <c r="D253" s="112"/>
      <c r="E253" s="112"/>
      <c r="F253" s="112"/>
      <c r="G253" s="112"/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-121124</v>
      </c>
      <c r="N253" s="112" t="n">
        <f aca="false">SUM(J$6:J253)</f>
        <v>-386171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-121.124</v>
      </c>
      <c r="W253" s="114" t="n">
        <f aca="false">N253/$R$3</f>
        <v>-386.171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Data'!$A$2:$B$8,MATCH(WEEKDAY('ARG Gas IM'!A254,3),'Master Data'!$A$2:$A$8,0),2)</f>
        <v>Th</v>
      </c>
      <c r="D254" s="112"/>
      <c r="E254" s="112"/>
      <c r="F254" s="112"/>
      <c r="G254" s="112"/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-121124</v>
      </c>
      <c r="N254" s="112" t="n">
        <f aca="false">SUM(J$6:J254)</f>
        <v>-386171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-121.124</v>
      </c>
      <c r="W254" s="114" t="n">
        <f aca="false">N254/$R$3</f>
        <v>-386.171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Data'!$A$2:$B$8,MATCH(WEEKDAY('ARG Gas IM'!A255,3),'Master Data'!$A$2:$A$8,0),2)</f>
        <v>F</v>
      </c>
      <c r="D255" s="112"/>
      <c r="E255" s="112"/>
      <c r="F255" s="112"/>
      <c r="G255" s="112"/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-121124</v>
      </c>
      <c r="N255" s="112" t="n">
        <f aca="false">SUM(J$6:J255)</f>
        <v>-386171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-121.124</v>
      </c>
      <c r="W255" s="114" t="n">
        <f aca="false">N255/$R$3</f>
        <v>-386.171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Data'!$A$2:$B$8,MATCH(WEEKDAY('ARG Gas IM'!A256,3),'Master Data'!$A$2:$A$8,0),2)</f>
        <v>Sa</v>
      </c>
      <c r="D256" s="112"/>
      <c r="E256" s="112"/>
      <c r="F256" s="112"/>
      <c r="G256" s="112"/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-121124</v>
      </c>
      <c r="N256" s="112" t="n">
        <f aca="false">SUM(J$6:J256)</f>
        <v>-386171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-121.124</v>
      </c>
      <c r="W256" s="114" t="n">
        <f aca="false">N256/$R$3</f>
        <v>-386.171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Data'!$A$2:$B$8,MATCH(WEEKDAY('ARG Gas IM'!A257,3),'Master Data'!$A$2:$A$8,0),2)</f>
        <v>Su</v>
      </c>
      <c r="D257" s="112"/>
      <c r="E257" s="112"/>
      <c r="F257" s="112"/>
      <c r="G257" s="112"/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-121124</v>
      </c>
      <c r="N257" s="112" t="n">
        <f aca="false">SUM(J$6:J257)</f>
        <v>-386171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-121.124</v>
      </c>
      <c r="W257" s="114" t="n">
        <f aca="false">N257/$R$3</f>
        <v>-386.171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Data'!$A$2:$B$8,MATCH(WEEKDAY('ARG Gas IM'!A258,3),'Master Data'!$A$2:$A$8,0),2)</f>
        <v>M</v>
      </c>
      <c r="D258" s="112"/>
      <c r="E258" s="112"/>
      <c r="F258" s="112"/>
      <c r="G258" s="112"/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-121124</v>
      </c>
      <c r="N258" s="112" t="n">
        <f aca="false">SUM(J$6:J258)</f>
        <v>-386171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-121.124</v>
      </c>
      <c r="W258" s="114" t="n">
        <f aca="false">N258/$R$3</f>
        <v>-386.171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Data'!$A$2:$B$8,MATCH(WEEKDAY('ARG Gas IM'!A259,3),'Master Data'!$A$2:$A$8,0),2)</f>
        <v>T</v>
      </c>
      <c r="D259" s="112"/>
      <c r="E259" s="112"/>
      <c r="F259" s="112"/>
      <c r="G259" s="112"/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-121124</v>
      </c>
      <c r="N259" s="112" t="n">
        <f aca="false">SUM(J$6:J259)</f>
        <v>-386171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-121.124</v>
      </c>
      <c r="W259" s="114" t="n">
        <f aca="false">N259/$R$3</f>
        <v>-386.171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Data'!$A$2:$B$8,MATCH(WEEKDAY('ARG Gas IM'!A260,3),'Master Data'!$A$2:$A$8,0),2)</f>
        <v>W</v>
      </c>
      <c r="D260" s="112"/>
      <c r="E260" s="112"/>
      <c r="F260" s="112"/>
      <c r="G260" s="112"/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-121124</v>
      </c>
      <c r="N260" s="112" t="n">
        <f aca="false">SUM(J$6:J260)</f>
        <v>-386171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-121.124</v>
      </c>
      <c r="W260" s="114" t="n">
        <f aca="false">N260/$R$3</f>
        <v>-386.171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Data'!$A$2:$B$8,MATCH(WEEKDAY('ARG Gas IM'!A261,3),'Master Data'!$A$2:$A$8,0),2)</f>
        <v>Th</v>
      </c>
      <c r="D261" s="112"/>
      <c r="E261" s="112"/>
      <c r="F261" s="112"/>
      <c r="G261" s="112"/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-121124</v>
      </c>
      <c r="N261" s="112" t="n">
        <f aca="false">SUM(J$6:J261)</f>
        <v>-386171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-121.124</v>
      </c>
      <c r="W261" s="114" t="n">
        <f aca="false">N261/$R$3</f>
        <v>-386.171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Data'!$A$2:$B$8,MATCH(WEEKDAY('ARG Gas IM'!A262,3),'Master Data'!$A$2:$A$8,0),2)</f>
        <v>F</v>
      </c>
      <c r="D262" s="112"/>
      <c r="E262" s="112"/>
      <c r="F262" s="112"/>
      <c r="G262" s="112"/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-121124</v>
      </c>
      <c r="N262" s="112" t="n">
        <f aca="false">SUM(J$6:J262)</f>
        <v>-386171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-121.124</v>
      </c>
      <c r="W262" s="114" t="n">
        <f aca="false">N262/$R$3</f>
        <v>-386.171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Data'!$A$2:$B$8,MATCH(WEEKDAY('ARG Gas IM'!A263,3),'Master Data'!$A$2:$A$8,0),2)</f>
        <v>Sa</v>
      </c>
      <c r="D263" s="112"/>
      <c r="E263" s="112"/>
      <c r="F263" s="112"/>
      <c r="G263" s="112"/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-121124</v>
      </c>
      <c r="N263" s="112" t="n">
        <f aca="false">SUM(J$6:J263)</f>
        <v>-386171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-121.124</v>
      </c>
      <c r="W263" s="114" t="n">
        <f aca="false">N263/$R$3</f>
        <v>-386.171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Data'!$A$2:$B$8,MATCH(WEEKDAY('ARG Gas IM'!A264,3),'Master Data'!$A$2:$A$8,0),2)</f>
        <v>Su</v>
      </c>
      <c r="D264" s="112"/>
      <c r="E264" s="112"/>
      <c r="F264" s="112"/>
      <c r="G264" s="112"/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-121124</v>
      </c>
      <c r="N264" s="112" t="n">
        <f aca="false">SUM(J$6:J264)</f>
        <v>-386171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-121.124</v>
      </c>
      <c r="W264" s="114" t="n">
        <f aca="false">N264/$R$3</f>
        <v>-386.171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Data'!$A$2:$B$8,MATCH(WEEKDAY('ARG Gas IM'!A265,3),'Master Data'!$A$2:$A$8,0),2)</f>
        <v>M</v>
      </c>
      <c r="D265" s="112"/>
      <c r="E265" s="112"/>
      <c r="F265" s="112"/>
      <c r="G265" s="112"/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-121124</v>
      </c>
      <c r="N265" s="112" t="n">
        <f aca="false">SUM(J$6:J265)</f>
        <v>-386171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-121.124</v>
      </c>
      <c r="W265" s="114" t="n">
        <f aca="false">N265/$R$3</f>
        <v>-386.171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Data'!$A$2:$B$8,MATCH(WEEKDAY('ARG Gas IM'!A266,3),'Master Data'!$A$2:$A$8,0),2)</f>
        <v>T</v>
      </c>
      <c r="D266" s="112"/>
      <c r="E266" s="112"/>
      <c r="F266" s="112"/>
      <c r="G266" s="112"/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-121124</v>
      </c>
      <c r="N266" s="112" t="n">
        <f aca="false">SUM(J$6:J266)</f>
        <v>-386171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-121.124</v>
      </c>
      <c r="W266" s="114" t="n">
        <f aca="false">N266/$R$3</f>
        <v>-386.171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Data'!$A$2:$B$8,MATCH(WEEKDAY('ARG Gas IM'!A267,3),'Master Data'!$A$2:$A$8,0),2)</f>
        <v>W</v>
      </c>
      <c r="D267" s="112"/>
      <c r="E267" s="112"/>
      <c r="F267" s="112"/>
      <c r="G267" s="112"/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-121124</v>
      </c>
      <c r="N267" s="112" t="n">
        <f aca="false">SUM(J$6:J267)</f>
        <v>-386171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-121.124</v>
      </c>
      <c r="W267" s="114" t="n">
        <f aca="false">N267/$R$3</f>
        <v>-386.171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Data'!$A$2:$B$8,MATCH(WEEKDAY('ARG Gas IM'!A268,3),'Master Data'!$A$2:$A$8,0),2)</f>
        <v>Th</v>
      </c>
      <c r="D268" s="112"/>
      <c r="E268" s="112"/>
      <c r="F268" s="112"/>
      <c r="G268" s="112"/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-121124</v>
      </c>
      <c r="N268" s="112" t="n">
        <f aca="false">SUM(J$6:J268)</f>
        <v>-386171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-121.124</v>
      </c>
      <c r="W268" s="114" t="n">
        <f aca="false">N268/$R$3</f>
        <v>-386.171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Data'!$A$2:$B$8,MATCH(WEEKDAY('ARG Gas IM'!A269,3),'Master Data'!$A$2:$A$8,0),2)</f>
        <v>F</v>
      </c>
      <c r="D269" s="112"/>
      <c r="E269" s="112"/>
      <c r="F269" s="112"/>
      <c r="G269" s="112"/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-121124</v>
      </c>
      <c r="N269" s="112" t="n">
        <f aca="false">SUM(J$6:J269)</f>
        <v>-386171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-121.124</v>
      </c>
      <c r="W269" s="114" t="n">
        <f aca="false">N269/$R$3</f>
        <v>-386.171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Data'!$A$2:$B$8,MATCH(WEEKDAY('ARG Gas IM'!A270,3),'Master Data'!$A$2:$A$8,0),2)</f>
        <v>Sa</v>
      </c>
      <c r="D270" s="112"/>
      <c r="E270" s="112"/>
      <c r="F270" s="112"/>
      <c r="G270" s="112"/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-121124</v>
      </c>
      <c r="N270" s="112" t="n">
        <f aca="false">SUM(J$6:J270)</f>
        <v>-386171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-121.124</v>
      </c>
      <c r="W270" s="114" t="n">
        <f aca="false">N270/$R$3</f>
        <v>-386.171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Data'!$A$2:$B$8,MATCH(WEEKDAY('ARG Gas IM'!A271,3),'Master Data'!$A$2:$A$8,0),2)</f>
        <v>Su</v>
      </c>
      <c r="D271" s="112"/>
      <c r="E271" s="112"/>
      <c r="F271" s="112"/>
      <c r="G271" s="112"/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-121124</v>
      </c>
      <c r="N271" s="112" t="n">
        <f aca="false">SUM(J$6:J271)</f>
        <v>-386171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-121.124</v>
      </c>
      <c r="W271" s="114" t="n">
        <f aca="false">N271/$R$3</f>
        <v>-386.171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Data'!$A$2:$B$8,MATCH(WEEKDAY('ARG Gas IM'!A272,3),'Master Data'!$A$2:$A$8,0),2)</f>
        <v>M</v>
      </c>
      <c r="D272" s="112"/>
      <c r="E272" s="112"/>
      <c r="F272" s="112"/>
      <c r="G272" s="112"/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-121124</v>
      </c>
      <c r="N272" s="112" t="n">
        <f aca="false">SUM(J$6:J272)</f>
        <v>-386171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-121.124</v>
      </c>
      <c r="W272" s="114" t="n">
        <f aca="false">N272/$R$3</f>
        <v>-386.171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Data'!$A$2:$B$8,MATCH(WEEKDAY('ARG Gas IM'!A273,3),'Master Data'!$A$2:$A$8,0),2)</f>
        <v>T</v>
      </c>
      <c r="D273" s="112"/>
      <c r="E273" s="112"/>
      <c r="F273" s="112"/>
      <c r="G273" s="112"/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-121124</v>
      </c>
      <c r="N273" s="112" t="n">
        <f aca="false">SUM(J$6:J273)</f>
        <v>-386171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-121.124</v>
      </c>
      <c r="W273" s="114" t="n">
        <f aca="false">N273/$R$3</f>
        <v>-386.171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Data'!$A$2:$B$8,MATCH(WEEKDAY('ARG Gas IM'!A274,3),'Master Data'!$A$2:$A$8,0),2)</f>
        <v>W</v>
      </c>
      <c r="D274" s="112"/>
      <c r="E274" s="112"/>
      <c r="F274" s="112"/>
      <c r="G274" s="112"/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-121124</v>
      </c>
      <c r="N274" s="112" t="n">
        <f aca="false">SUM(J$6:J274)</f>
        <v>-386171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-121.124</v>
      </c>
      <c r="W274" s="114" t="n">
        <f aca="false">N274/$R$3</f>
        <v>-386.171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Data'!$A$2:$B$8,MATCH(WEEKDAY('ARG Gas IM'!A275,3),'Master Data'!$A$2:$A$8,0),2)</f>
        <v>Th</v>
      </c>
      <c r="D275" s="112"/>
      <c r="E275" s="112"/>
      <c r="F275" s="112"/>
      <c r="G275" s="112"/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-121124</v>
      </c>
      <c r="N275" s="112" t="n">
        <f aca="false">SUM(J$6:J275)</f>
        <v>-386171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-121.124</v>
      </c>
      <c r="W275" s="114" t="n">
        <f aca="false">N275/$R$3</f>
        <v>-386.171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Data'!$A$2:$B$8,MATCH(WEEKDAY('ARG Gas IM'!A276,3),'Master Data'!$A$2:$A$8,0),2)</f>
        <v>F</v>
      </c>
      <c r="D276" s="112"/>
      <c r="E276" s="112"/>
      <c r="F276" s="112"/>
      <c r="G276" s="112"/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-121124</v>
      </c>
      <c r="N276" s="112" t="n">
        <f aca="false">SUM(J$6:J276)</f>
        <v>-386171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-121.124</v>
      </c>
      <c r="W276" s="114" t="n">
        <f aca="false">N276/$R$3</f>
        <v>-386.171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Data'!$A$2:$B$8,MATCH(WEEKDAY('ARG Gas IM'!A277,3),'Master Data'!$A$2:$A$8,0),2)</f>
        <v>Sa</v>
      </c>
      <c r="D277" s="112"/>
      <c r="E277" s="112"/>
      <c r="F277" s="112"/>
      <c r="G277" s="112"/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-121124</v>
      </c>
      <c r="N277" s="112" t="n">
        <f aca="false">SUM(J$6:J277)</f>
        <v>-386171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-121.124</v>
      </c>
      <c r="W277" s="114" t="n">
        <f aca="false">N277/$R$3</f>
        <v>-386.171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Data'!$A$2:$B$8,MATCH(WEEKDAY('ARG Gas IM'!A278,3),'Master Data'!$A$2:$A$8,0),2)</f>
        <v>Su</v>
      </c>
      <c r="D278" s="112"/>
      <c r="E278" s="112"/>
      <c r="F278" s="112"/>
      <c r="G278" s="112"/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-121124</v>
      </c>
      <c r="N278" s="112" t="n">
        <f aca="false">SUM(J$6:J278)</f>
        <v>-386171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-121.124</v>
      </c>
      <c r="W278" s="114" t="n">
        <f aca="false">N278/$R$3</f>
        <v>-386.171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Data'!$A$2:$B$8,MATCH(WEEKDAY('ARG Gas IM'!A279,3),'Master Data'!$A$2:$A$8,0),2)</f>
        <v>M</v>
      </c>
      <c r="D279" s="112"/>
      <c r="E279" s="112"/>
      <c r="F279" s="112"/>
      <c r="G279" s="112"/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-121124</v>
      </c>
      <c r="N279" s="112" t="n">
        <f aca="false">SUM(J$6:J279)</f>
        <v>-386171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-121.124</v>
      </c>
      <c r="W279" s="114" t="n">
        <f aca="false">N279/$R$3</f>
        <v>-386.171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Data'!$A$2:$B$8,MATCH(WEEKDAY('ARG Gas IM'!A280,3),'Master Data'!$A$2:$A$8,0),2)</f>
        <v>T</v>
      </c>
      <c r="D280" s="112"/>
      <c r="E280" s="112"/>
      <c r="F280" s="112"/>
      <c r="G280" s="112"/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-386171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-386.171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Data'!$A$2:$B$8,MATCH(WEEKDAY('ARG Gas IM'!A281,3),'Master Data'!$A$2:$A$8,0),2)</f>
        <v>W</v>
      </c>
      <c r="D281" s="112"/>
      <c r="E281" s="112"/>
      <c r="F281" s="112"/>
      <c r="G281" s="112"/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-386171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-386.171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Data'!$A$2:$B$8,MATCH(WEEKDAY('ARG Gas IM'!A282,3),'Master Data'!$A$2:$A$8,0),2)</f>
        <v>Th</v>
      </c>
      <c r="D282" s="112"/>
      <c r="E282" s="112"/>
      <c r="F282" s="112"/>
      <c r="G282" s="112"/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-386171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-386.171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Data'!$A$2:$B$8,MATCH(WEEKDAY('ARG Gas IM'!A283,3),'Master Data'!$A$2:$A$8,0),2)</f>
        <v>F</v>
      </c>
      <c r="D283" s="112"/>
      <c r="E283" s="112"/>
      <c r="F283" s="112"/>
      <c r="G283" s="112"/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-386171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-386.171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Data'!$A$2:$B$8,MATCH(WEEKDAY('ARG Gas IM'!A284,3),'Master Data'!$A$2:$A$8,0),2)</f>
        <v>Sa</v>
      </c>
      <c r="D284" s="112"/>
      <c r="E284" s="112"/>
      <c r="F284" s="112"/>
      <c r="G284" s="112"/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-386171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-386.171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Data'!$A$2:$B$8,MATCH(WEEKDAY('ARG Gas IM'!A285,3),'Master Data'!$A$2:$A$8,0),2)</f>
        <v>Su</v>
      </c>
      <c r="D285" s="112"/>
      <c r="E285" s="112"/>
      <c r="F285" s="112"/>
      <c r="G285" s="112"/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-386171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-386.171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Data'!$A$2:$B$8,MATCH(WEEKDAY('ARG Gas IM'!A286,3),'Master Data'!$A$2:$A$8,0),2)</f>
        <v>M</v>
      </c>
      <c r="D286" s="112"/>
      <c r="E286" s="112"/>
      <c r="F286" s="112"/>
      <c r="G286" s="112"/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-386171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-386.171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Data'!$A$2:$B$8,MATCH(WEEKDAY('ARG Gas IM'!A287,3),'Master Data'!$A$2:$A$8,0),2)</f>
        <v>T</v>
      </c>
      <c r="D287" s="112"/>
      <c r="E287" s="112"/>
      <c r="F287" s="112"/>
      <c r="G287" s="112"/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-386171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-386.171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Data'!$A$2:$B$8,MATCH(WEEKDAY('ARG Gas IM'!A288,3),'Master Data'!$A$2:$A$8,0),2)</f>
        <v>W</v>
      </c>
      <c r="D288" s="112"/>
      <c r="E288" s="112"/>
      <c r="F288" s="112"/>
      <c r="G288" s="112"/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-386171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-386.171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Data'!$A$2:$B$8,MATCH(WEEKDAY('ARG Gas IM'!A289,3),'Master Data'!$A$2:$A$8,0),2)</f>
        <v>Th</v>
      </c>
      <c r="D289" s="112"/>
      <c r="E289" s="112"/>
      <c r="F289" s="112"/>
      <c r="G289" s="112"/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-386171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-386.171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Data'!$A$2:$B$8,MATCH(WEEKDAY('ARG Gas IM'!A290,3),'Master Data'!$A$2:$A$8,0),2)</f>
        <v>F</v>
      </c>
      <c r="D290" s="112"/>
      <c r="E290" s="112"/>
      <c r="F290" s="112"/>
      <c r="G290" s="112"/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-386171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-386.171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Data'!$A$2:$B$8,MATCH(WEEKDAY('ARG Gas IM'!A291,3),'Master Data'!$A$2:$A$8,0),2)</f>
        <v>Sa</v>
      </c>
      <c r="D291" s="112"/>
      <c r="E291" s="112"/>
      <c r="F291" s="112"/>
      <c r="G291" s="112"/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-386171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-386.171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Data'!$A$2:$B$8,MATCH(WEEKDAY('ARG Gas IM'!A292,3),'Master Data'!$A$2:$A$8,0),2)</f>
        <v>Su</v>
      </c>
      <c r="D292" s="112"/>
      <c r="E292" s="112"/>
      <c r="F292" s="112"/>
      <c r="G292" s="112"/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-386171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-386.171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Data'!$A$2:$B$8,MATCH(WEEKDAY('ARG Gas IM'!A293,3),'Master Data'!$A$2:$A$8,0),2)</f>
        <v>M</v>
      </c>
      <c r="D293" s="112"/>
      <c r="E293" s="112"/>
      <c r="F293" s="112"/>
      <c r="G293" s="112"/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-386171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-386.171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Data'!$A$2:$B$8,MATCH(WEEKDAY('ARG Gas IM'!A294,3),'Master Data'!$A$2:$A$8,0),2)</f>
        <v>T</v>
      </c>
      <c r="D294" s="112"/>
      <c r="E294" s="112"/>
      <c r="F294" s="112"/>
      <c r="G294" s="112"/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-386171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-386.171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Data'!$A$2:$B$8,MATCH(WEEKDAY('ARG Gas IM'!A295,3),'Master Data'!$A$2:$A$8,0),2)</f>
        <v>W</v>
      </c>
      <c r="D295" s="112"/>
      <c r="E295" s="112"/>
      <c r="F295" s="112"/>
      <c r="G295" s="112"/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-386171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-386.171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Data'!$A$2:$B$8,MATCH(WEEKDAY('ARG Gas IM'!A296,3),'Master Data'!$A$2:$A$8,0),2)</f>
        <v>Th</v>
      </c>
      <c r="D296" s="112"/>
      <c r="E296" s="112"/>
      <c r="F296" s="112"/>
      <c r="G296" s="112"/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-386171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-386.171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Data'!$A$2:$B$8,MATCH(WEEKDAY('ARG Gas IM'!A297,3),'Master Data'!$A$2:$A$8,0),2)</f>
        <v>F</v>
      </c>
      <c r="D297" s="112"/>
      <c r="E297" s="112"/>
      <c r="F297" s="112"/>
      <c r="G297" s="112"/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-386171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-386.171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Data'!$A$2:$B$8,MATCH(WEEKDAY('ARG Gas IM'!A298,3),'Master Data'!$A$2:$A$8,0),2)</f>
        <v>Sa</v>
      </c>
      <c r="D298" s="112"/>
      <c r="E298" s="112"/>
      <c r="F298" s="112"/>
      <c r="G298" s="112"/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-386171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-386.171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Data'!$A$2:$B$8,MATCH(WEEKDAY('ARG Gas IM'!A299,3),'Master Data'!$A$2:$A$8,0),2)</f>
        <v>Su</v>
      </c>
      <c r="D299" s="112"/>
      <c r="E299" s="112"/>
      <c r="F299" s="112"/>
      <c r="G299" s="112"/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-386171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-386.171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Data'!$A$2:$B$8,MATCH(WEEKDAY('ARG Gas IM'!A300,3),'Master Data'!$A$2:$A$8,0),2)</f>
        <v>M</v>
      </c>
      <c r="D300" s="112"/>
      <c r="E300" s="112"/>
      <c r="F300" s="112"/>
      <c r="G300" s="112"/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-386171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-386.171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Data'!$A$2:$B$8,MATCH(WEEKDAY('ARG Gas IM'!A301,3),'Master Data'!$A$2:$A$8,0),2)</f>
        <v>T</v>
      </c>
      <c r="D301" s="112"/>
      <c r="E301" s="112"/>
      <c r="F301" s="112"/>
      <c r="G301" s="112"/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-386171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-386.171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Data'!$A$2:$B$8,MATCH(WEEKDAY('ARG Gas IM'!A302,3),'Master Data'!$A$2:$A$8,0),2)</f>
        <v>W</v>
      </c>
      <c r="D302" s="112"/>
      <c r="E302" s="112"/>
      <c r="F302" s="112"/>
      <c r="G302" s="112"/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-386171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-386.171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Data'!$A$2:$B$8,MATCH(WEEKDAY('ARG Gas IM'!A303,3),'Master Data'!$A$2:$A$8,0),2)</f>
        <v>Th</v>
      </c>
      <c r="D303" s="112"/>
      <c r="E303" s="112"/>
      <c r="F303" s="112"/>
      <c r="G303" s="112"/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-386171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-386.171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Data'!$A$2:$B$8,MATCH(WEEKDAY('ARG Gas IM'!A304,3),'Master Data'!$A$2:$A$8,0),2)</f>
        <v>F</v>
      </c>
      <c r="D304" s="112"/>
      <c r="E304" s="112"/>
      <c r="F304" s="112"/>
      <c r="G304" s="112"/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-386171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-386.171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Data'!$A$2:$B$8,MATCH(WEEKDAY('ARG Gas IM'!A305,3),'Master Data'!$A$2:$A$8,0),2)</f>
        <v>Sa</v>
      </c>
      <c r="D305" s="112"/>
      <c r="E305" s="112"/>
      <c r="F305" s="112"/>
      <c r="G305" s="112"/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-386171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-386.171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Data'!$A$2:$B$8,MATCH(WEEKDAY('ARG Gas IM'!A306,3),'Master Data'!$A$2:$A$8,0),2)</f>
        <v>Su</v>
      </c>
      <c r="D306" s="112"/>
      <c r="E306" s="112"/>
      <c r="F306" s="112"/>
      <c r="G306" s="112"/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-386171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-386.171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Data'!$A$2:$B$8,MATCH(WEEKDAY('ARG Gas IM'!A307,3),'Master Data'!$A$2:$A$8,0),2)</f>
        <v>M</v>
      </c>
      <c r="D307" s="112"/>
      <c r="E307" s="112"/>
      <c r="F307" s="112"/>
      <c r="G307" s="112"/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-386171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-386.171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Data'!$A$2:$B$8,MATCH(WEEKDAY('ARG Gas IM'!A308,3),'Master Data'!$A$2:$A$8,0),2)</f>
        <v>T</v>
      </c>
      <c r="D308" s="112"/>
      <c r="E308" s="112"/>
      <c r="F308" s="112"/>
      <c r="G308" s="112"/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-386171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-386.171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Data'!$A$2:$B$8,MATCH(WEEKDAY('ARG Gas IM'!A309,3),'Master Data'!$A$2:$A$8,0),2)</f>
        <v>W</v>
      </c>
      <c r="D309" s="112"/>
      <c r="E309" s="112"/>
      <c r="F309" s="112"/>
      <c r="G309" s="112"/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-386171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-386.171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Data'!$A$2:$B$8,MATCH(WEEKDAY('ARG Gas IM'!A310,3),'Master Data'!$A$2:$A$8,0),2)</f>
        <v>Th</v>
      </c>
      <c r="D310" s="112"/>
      <c r="E310" s="112"/>
      <c r="F310" s="112"/>
      <c r="G310" s="112"/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-386171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-386.171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Data'!$A$2:$B$8,MATCH(WEEKDAY('ARG Gas IM'!A311,3),'Master Data'!$A$2:$A$8,0),2)</f>
        <v>F</v>
      </c>
      <c r="D311" s="112"/>
      <c r="E311" s="112"/>
      <c r="F311" s="112"/>
      <c r="G311" s="112"/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-386171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-386.171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Data'!$A$2:$B$8,MATCH(WEEKDAY('ARG Gas IM'!A312,3),'Master Data'!$A$2:$A$8,0),2)</f>
        <v>Sa</v>
      </c>
      <c r="D312" s="112"/>
      <c r="E312" s="112"/>
      <c r="F312" s="112"/>
      <c r="G312" s="112"/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-386171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-386.171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Data'!$A$2:$B$8,MATCH(WEEKDAY('ARG Gas IM'!A313,3),'Master Data'!$A$2:$A$8,0),2)</f>
        <v>Su</v>
      </c>
      <c r="D313" s="112"/>
      <c r="E313" s="112"/>
      <c r="F313" s="112"/>
      <c r="G313" s="112"/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-386171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-386.171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Data'!$A$2:$B$8,MATCH(WEEKDAY('ARG Gas IM'!A314,3),'Master Data'!$A$2:$A$8,0),2)</f>
        <v>M</v>
      </c>
      <c r="D314" s="112"/>
      <c r="E314" s="112"/>
      <c r="F314" s="112"/>
      <c r="G314" s="112"/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-386171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-386.171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Data'!$A$2:$B$8,MATCH(WEEKDAY('ARG Gas IM'!A315,3),'Master Data'!$A$2:$A$8,0),2)</f>
        <v>T</v>
      </c>
      <c r="D315" s="112"/>
      <c r="E315" s="112"/>
      <c r="F315" s="112"/>
      <c r="G315" s="112"/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-386171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-386.171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Data'!$A$2:$B$8,MATCH(WEEKDAY('ARG Gas IM'!A316,3),'Master Data'!$A$2:$A$8,0),2)</f>
        <v>W</v>
      </c>
      <c r="D316" s="112"/>
      <c r="E316" s="112"/>
      <c r="F316" s="112"/>
      <c r="G316" s="112"/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-386171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-386.171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Data'!$A$2:$B$8,MATCH(WEEKDAY('ARG Gas IM'!A317,3),'Master Data'!$A$2:$A$8,0),2)</f>
        <v>Th</v>
      </c>
      <c r="D317" s="112"/>
      <c r="E317" s="112"/>
      <c r="F317" s="112"/>
      <c r="G317" s="112"/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-386171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-386.171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Data'!$A$2:$B$8,MATCH(WEEKDAY('ARG Gas IM'!A318,3),'Master Data'!$A$2:$A$8,0),2)</f>
        <v>F</v>
      </c>
      <c r="D318" s="112"/>
      <c r="E318" s="112"/>
      <c r="F318" s="112"/>
      <c r="G318" s="112"/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-386171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-386.171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Data'!$A$2:$B$8,MATCH(WEEKDAY('ARG Gas IM'!A319,3),'Master Data'!$A$2:$A$8,0),2)</f>
        <v>Sa</v>
      </c>
      <c r="D319" s="112"/>
      <c r="E319" s="112"/>
      <c r="F319" s="112"/>
      <c r="G319" s="112"/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-386171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-386.171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Data'!$A$2:$B$8,MATCH(WEEKDAY('ARG Gas IM'!A320,3),'Master Data'!$A$2:$A$8,0),2)</f>
        <v>Su</v>
      </c>
      <c r="D320" s="112"/>
      <c r="E320" s="112"/>
      <c r="F320" s="112"/>
      <c r="G320" s="112"/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-386171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-386.171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Data'!$A$2:$B$8,MATCH(WEEKDAY('ARG Gas IM'!A321,3),'Master Data'!$A$2:$A$8,0),2)</f>
        <v>M</v>
      </c>
      <c r="D321" s="112"/>
      <c r="E321" s="112"/>
      <c r="F321" s="112"/>
      <c r="G321" s="112"/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-386171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-386.171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Data'!$A$2:$B$8,MATCH(WEEKDAY('ARG Gas IM'!A322,3),'Master Data'!$A$2:$A$8,0),2)</f>
        <v>T</v>
      </c>
      <c r="D322" s="112"/>
      <c r="E322" s="112"/>
      <c r="F322" s="112"/>
      <c r="G322" s="112"/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-386171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-386.171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Data'!$A$2:$B$8,MATCH(WEEKDAY('ARG Gas IM'!A323,3),'Master Data'!$A$2:$A$8,0),2)</f>
        <v>W</v>
      </c>
      <c r="D323" s="112"/>
      <c r="E323" s="112"/>
      <c r="F323" s="112"/>
      <c r="G323" s="112"/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-386171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-386.171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Data'!$A$2:$B$8,MATCH(WEEKDAY('ARG Gas IM'!A324,3),'Master Data'!$A$2:$A$8,0),2)</f>
        <v>Th</v>
      </c>
      <c r="D324" s="112"/>
      <c r="E324" s="112"/>
      <c r="F324" s="112"/>
      <c r="G324" s="112"/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-386171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-386.171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Data'!$A$2:$B$8,MATCH(WEEKDAY('ARG Gas IM'!A325,3),'Master Data'!$A$2:$A$8,0),2)</f>
        <v>F</v>
      </c>
      <c r="D325" s="112"/>
      <c r="E325" s="112"/>
      <c r="F325" s="112"/>
      <c r="G325" s="112"/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-386171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-386.171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Data'!$A$2:$B$8,MATCH(WEEKDAY('ARG Gas IM'!A326,3),'Master Data'!$A$2:$A$8,0),2)</f>
        <v>Sa</v>
      </c>
      <c r="D326" s="112"/>
      <c r="E326" s="112"/>
      <c r="F326" s="112"/>
      <c r="G326" s="112"/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-386171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-386.171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Data'!$A$2:$B$8,MATCH(WEEKDAY('ARG Gas IM'!A327,3),'Master Data'!$A$2:$A$8,0),2)</f>
        <v>Su</v>
      </c>
      <c r="D327" s="112"/>
      <c r="E327" s="112"/>
      <c r="F327" s="112"/>
      <c r="G327" s="112"/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-386171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-386.171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Data'!$A$2:$B$8,MATCH(WEEKDAY('ARG Gas IM'!A328,3),'Master Data'!$A$2:$A$8,0),2)</f>
        <v>M</v>
      </c>
      <c r="D328" s="112"/>
      <c r="E328" s="112"/>
      <c r="F328" s="112"/>
      <c r="G328" s="112"/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-386171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-386.171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Data'!$A$2:$B$8,MATCH(WEEKDAY('ARG Gas IM'!A329,3),'Master Data'!$A$2:$A$8,0),2)</f>
        <v>T</v>
      </c>
      <c r="D329" s="112"/>
      <c r="E329" s="112"/>
      <c r="F329" s="112"/>
      <c r="G329" s="112"/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-386171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-386.171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Data'!$A$2:$B$8,MATCH(WEEKDAY('ARG Gas IM'!A330,3),'Master Data'!$A$2:$A$8,0),2)</f>
        <v>W</v>
      </c>
      <c r="D330" s="112"/>
      <c r="E330" s="112"/>
      <c r="F330" s="112"/>
      <c r="G330" s="112"/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-386171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-386.171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Data'!$A$2:$B$8,MATCH(WEEKDAY('ARG Gas IM'!A331,3),'Master Data'!$A$2:$A$8,0),2)</f>
        <v>Th</v>
      </c>
      <c r="D331" s="112"/>
      <c r="E331" s="112"/>
      <c r="F331" s="112"/>
      <c r="G331" s="112"/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-386171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-386.171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Data'!$A$2:$B$8,MATCH(WEEKDAY('ARG Gas IM'!A332,3),'Master Data'!$A$2:$A$8,0),2)</f>
        <v>F</v>
      </c>
      <c r="D332" s="112"/>
      <c r="E332" s="112"/>
      <c r="F332" s="112"/>
      <c r="G332" s="112"/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-386171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-386.171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Data'!$A$2:$B$8,MATCH(WEEKDAY('ARG Gas IM'!A333,3),'Master Data'!$A$2:$A$8,0),2)</f>
        <v>Sa</v>
      </c>
      <c r="D333" s="112"/>
      <c r="E333" s="112"/>
      <c r="F333" s="112"/>
      <c r="G333" s="112"/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-386171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-386.171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Data'!$A$2:$B$8,MATCH(WEEKDAY('ARG Gas IM'!A334,3),'Master Data'!$A$2:$A$8,0),2)</f>
        <v>Su</v>
      </c>
      <c r="D334" s="112"/>
      <c r="E334" s="112"/>
      <c r="F334" s="112"/>
      <c r="G334" s="112"/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-386171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-386.171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Data'!$A$2:$B$8,MATCH(WEEKDAY('ARG Gas IM'!A335,3),'Master Data'!$A$2:$A$8,0),2)</f>
        <v>M</v>
      </c>
      <c r="D335" s="112"/>
      <c r="E335" s="112"/>
      <c r="F335" s="112"/>
      <c r="G335" s="112"/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-386171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-386.171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Data'!$A$2:$B$8,MATCH(WEEKDAY('ARG Gas IM'!A336,3),'Master Data'!$A$2:$A$8,0),2)</f>
        <v>T</v>
      </c>
      <c r="D336" s="112"/>
      <c r="E336" s="112"/>
      <c r="F336" s="112"/>
      <c r="G336" s="112"/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-386171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-386.171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Data'!$A$2:$B$8,MATCH(WEEKDAY('ARG Gas IM'!A337,3),'Master Data'!$A$2:$A$8,0),2)</f>
        <v>W</v>
      </c>
      <c r="D337" s="112"/>
      <c r="E337" s="112"/>
      <c r="F337" s="112"/>
      <c r="G337" s="112"/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-386171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-386.171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Data'!$A$2:$B$8,MATCH(WEEKDAY('ARG Gas IM'!A338,3),'Master Data'!$A$2:$A$8,0),2)</f>
        <v>Th</v>
      </c>
      <c r="D338" s="112"/>
      <c r="E338" s="112"/>
      <c r="F338" s="112"/>
      <c r="G338" s="112"/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-386171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-386.171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Data'!$A$2:$B$8,MATCH(WEEKDAY('ARG Gas IM'!A339,3),'Master Data'!$A$2:$A$8,0),2)</f>
        <v>F</v>
      </c>
      <c r="D339" s="112"/>
      <c r="E339" s="112"/>
      <c r="F339" s="112"/>
      <c r="G339" s="112"/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-386171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-386.171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Data'!$A$2:$B$8,MATCH(WEEKDAY('ARG Gas IM'!A340,3),'Master Data'!$A$2:$A$8,0),2)</f>
        <v>Sa</v>
      </c>
      <c r="D340" s="112"/>
      <c r="E340" s="112"/>
      <c r="F340" s="112"/>
      <c r="G340" s="112"/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-386171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-386.171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Data'!$A$2:$B$8,MATCH(WEEKDAY('ARG Gas IM'!A341,3),'Master Data'!$A$2:$A$8,0),2)</f>
        <v>Su</v>
      </c>
      <c r="D341" s="112"/>
      <c r="E341" s="112"/>
      <c r="F341" s="112"/>
      <c r="G341" s="112"/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-386171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-386.171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Data'!$A$2:$B$8,MATCH(WEEKDAY('ARG Gas IM'!A342,3),'Master Data'!$A$2:$A$8,0),2)</f>
        <v>M</v>
      </c>
      <c r="D342" s="112"/>
      <c r="E342" s="112"/>
      <c r="F342" s="112"/>
      <c r="G342" s="112"/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-386171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-386.171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Data'!$A$2:$B$8,MATCH(WEEKDAY('ARG Gas IM'!A343,3),'Master Data'!$A$2:$A$8,0),2)</f>
        <v>T</v>
      </c>
      <c r="D343" s="112"/>
      <c r="E343" s="112"/>
      <c r="F343" s="112"/>
      <c r="G343" s="112"/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-386171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-386.171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Data'!$A$2:$B$8,MATCH(WEEKDAY('ARG Gas IM'!A344,3),'Master Data'!$A$2:$A$8,0),2)</f>
        <v>W</v>
      </c>
      <c r="D344" s="112"/>
      <c r="E344" s="112"/>
      <c r="F344" s="112"/>
      <c r="G344" s="112"/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-386171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-386.171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Data'!$A$2:$B$8,MATCH(WEEKDAY('ARG Gas IM'!A345,3),'Master Data'!$A$2:$A$8,0),2)</f>
        <v>Th</v>
      </c>
      <c r="D345" s="112"/>
      <c r="E345" s="112"/>
      <c r="F345" s="112"/>
      <c r="G345" s="112"/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-386171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-386.171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Data'!$A$2:$B$8,MATCH(WEEKDAY('ARG Gas IM'!A346,3),'Master Data'!$A$2:$A$8,0),2)</f>
        <v>F</v>
      </c>
      <c r="D346" s="112"/>
      <c r="E346" s="112"/>
      <c r="F346" s="112"/>
      <c r="G346" s="112"/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-386171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-386.171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Data'!$A$2:$B$8,MATCH(WEEKDAY('ARG Gas IM'!A347,3),'Master Data'!$A$2:$A$8,0),2)</f>
        <v>Sa</v>
      </c>
      <c r="D347" s="112"/>
      <c r="E347" s="112"/>
      <c r="F347" s="112"/>
      <c r="G347" s="112"/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-386171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-386.171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Data'!$A$2:$B$8,MATCH(WEEKDAY('ARG Gas IM'!A348,3),'Master Data'!$A$2:$A$8,0),2)</f>
        <v>Su</v>
      </c>
      <c r="D348" s="112"/>
      <c r="E348" s="112"/>
      <c r="F348" s="112"/>
      <c r="G348" s="112"/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-386171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-386.171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Data'!$A$2:$B$8,MATCH(WEEKDAY('ARG Gas IM'!A349,3),'Master Data'!$A$2:$A$8,0),2)</f>
        <v>M</v>
      </c>
      <c r="D349" s="112"/>
      <c r="E349" s="112"/>
      <c r="F349" s="112"/>
      <c r="G349" s="112"/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-386171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-386.171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Data'!$A$2:$B$8,MATCH(WEEKDAY('ARG Gas IM'!A350,3),'Master Data'!$A$2:$A$8,0),2)</f>
        <v>T</v>
      </c>
      <c r="D350" s="112"/>
      <c r="E350" s="112"/>
      <c r="F350" s="112"/>
      <c r="G350" s="112"/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-386171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-386.171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Data'!$A$2:$B$8,MATCH(WEEKDAY('ARG Gas IM'!A351,3),'Master Data'!$A$2:$A$8,0),2)</f>
        <v>W</v>
      </c>
      <c r="D351" s="112"/>
      <c r="E351" s="112"/>
      <c r="F351" s="112"/>
      <c r="G351" s="112"/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-386171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-386.171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Data'!$A$2:$B$8,MATCH(WEEKDAY('ARG Gas IM'!A352,3),'Master Data'!$A$2:$A$8,0),2)</f>
        <v>Th</v>
      </c>
      <c r="D352" s="112"/>
      <c r="E352" s="112"/>
      <c r="F352" s="112"/>
      <c r="G352" s="112"/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-386171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-386.171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Data'!$A$2:$B$8,MATCH(WEEKDAY('ARG Gas IM'!A353,3),'Master Data'!$A$2:$A$8,0),2)</f>
        <v>F</v>
      </c>
      <c r="D353" s="112"/>
      <c r="E353" s="112"/>
      <c r="F353" s="112"/>
      <c r="G353" s="112"/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-386171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-386.171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Data'!$A$2:$B$8,MATCH(WEEKDAY('ARG Gas IM'!A354,3),'Master Data'!$A$2:$A$8,0),2)</f>
        <v>Sa</v>
      </c>
      <c r="D354" s="112"/>
      <c r="E354" s="112"/>
      <c r="F354" s="112"/>
      <c r="G354" s="112"/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-386171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-386.171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Data'!$A$2:$B$8,MATCH(WEEKDAY('ARG Gas IM'!A355,3),'Master Data'!$A$2:$A$8,0),2)</f>
        <v>Su</v>
      </c>
      <c r="D355" s="112"/>
      <c r="E355" s="112"/>
      <c r="F355" s="112"/>
      <c r="G355" s="112"/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-386171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-386.171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Data'!$A$2:$B$8,MATCH(WEEKDAY('ARG Gas IM'!A356,3),'Master Data'!$A$2:$A$8,0),2)</f>
        <v>M</v>
      </c>
      <c r="D356" s="112"/>
      <c r="E356" s="112"/>
      <c r="F356" s="112"/>
      <c r="G356" s="112"/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-386171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-386.171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Data'!$A$2:$B$8,MATCH(WEEKDAY('ARG Gas IM'!A357,3),'Master Data'!$A$2:$A$8,0),2)</f>
        <v>T</v>
      </c>
      <c r="D357" s="112"/>
      <c r="E357" s="112"/>
      <c r="F357" s="112"/>
      <c r="G357" s="112"/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-386171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-386.171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Data'!$A$2:$B$8,MATCH(WEEKDAY('ARG Gas IM'!A358,3),'Master Data'!$A$2:$A$8,0),2)</f>
        <v>W</v>
      </c>
      <c r="D358" s="112"/>
      <c r="E358" s="112"/>
      <c r="F358" s="112"/>
      <c r="G358" s="112"/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-386171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-386.171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Data'!$A$2:$B$8,MATCH(WEEKDAY('ARG Gas IM'!A359,3),'Master Data'!$A$2:$A$8,0),2)</f>
        <v>Th</v>
      </c>
      <c r="D359" s="112"/>
      <c r="E359" s="112"/>
      <c r="F359" s="112"/>
      <c r="G359" s="112"/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-386171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-386.171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Data'!$A$2:$B$8,MATCH(WEEKDAY('ARG Gas IM'!A360,3),'Master Data'!$A$2:$A$8,0),2)</f>
        <v>F</v>
      </c>
      <c r="D360" s="112"/>
      <c r="E360" s="112"/>
      <c r="F360" s="112"/>
      <c r="G360" s="112"/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-386171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-386.171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Data'!$A$2:$B$8,MATCH(WEEKDAY('ARG Gas IM'!A361,3),'Master Data'!$A$2:$A$8,0),2)</f>
        <v>Sa</v>
      </c>
      <c r="D361" s="112"/>
      <c r="E361" s="112"/>
      <c r="F361" s="112"/>
      <c r="G361" s="112"/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-386171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-386.171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Data'!$A$2:$B$8,MATCH(WEEKDAY('ARG Gas IM'!A362,3),'Master Data'!$A$2:$A$8,0),2)</f>
        <v>Su</v>
      </c>
      <c r="D362" s="112"/>
      <c r="E362" s="112"/>
      <c r="F362" s="112"/>
      <c r="G362" s="112"/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-386171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-386.171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Data'!$A$2:$B$8,MATCH(WEEKDAY('ARG Gas IM'!A363,3),'Master Data'!$A$2:$A$8,0),2)</f>
        <v>M</v>
      </c>
      <c r="D363" s="112"/>
      <c r="E363" s="112"/>
      <c r="F363" s="112"/>
      <c r="G363" s="112"/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-386171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-386.171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Data'!$A$2:$B$8,MATCH(WEEKDAY('ARG Gas IM'!A364,3),'Master Data'!$A$2:$A$8,0),2)</f>
        <v>T</v>
      </c>
      <c r="D364" s="112"/>
      <c r="E364" s="112"/>
      <c r="F364" s="112"/>
      <c r="G364" s="112"/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-386171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-386.171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Data'!$A$2:$B$8,MATCH(WEEKDAY('ARG Gas IM'!A365,3),'Master Data'!$A$2:$A$8,0),2)</f>
        <v>W</v>
      </c>
      <c r="D365" s="112"/>
      <c r="E365" s="112"/>
      <c r="F365" s="112"/>
      <c r="G365" s="112"/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-386171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-386.171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Data'!$A$2:$B$8,MATCH(WEEKDAY('ARG Gas IM'!A366,3),'Master Data'!$A$2:$A$8,0),2)</f>
        <v>Th</v>
      </c>
      <c r="D366" s="112"/>
      <c r="E366" s="112"/>
      <c r="F366" s="112"/>
      <c r="G366" s="112"/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-386171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-386.171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Data'!$A$2:$B$8,MATCH(WEEKDAY('ARG Gas IM'!A367,3),'Master Data'!$A$2:$A$8,0),2)</f>
        <v>F</v>
      </c>
      <c r="D367" s="112"/>
      <c r="E367" s="112"/>
      <c r="F367" s="112"/>
      <c r="G367" s="112"/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-386171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-386.171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Data'!$A$2:$B$8,MATCH(WEEKDAY('ARG Gas IM'!A368,3),'Master Data'!$A$2:$A$8,0),2)</f>
        <v>Sa</v>
      </c>
      <c r="D368" s="112"/>
      <c r="E368" s="112"/>
      <c r="F368" s="112"/>
      <c r="G368" s="112"/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-386171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-386.171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Data'!$A$2:$B$8,MATCH(WEEKDAY('ARG Gas IM'!A369,3),'Master Data'!$A$2:$A$8,0),2)</f>
        <v>Su</v>
      </c>
      <c r="D369" s="112"/>
      <c r="E369" s="112"/>
      <c r="F369" s="112"/>
      <c r="G369" s="112"/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-386171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-386.171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Data'!$A$2:$B$8,MATCH(WEEKDAY('ARG Gas IM'!A370,3),'Master Data'!$A$2:$A$8,0),2)</f>
        <v>M</v>
      </c>
      <c r="D370" s="112"/>
      <c r="E370" s="112"/>
      <c r="F370" s="112"/>
      <c r="G370" s="112"/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-386171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-386.171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Data'!$A$2:$B$8,MATCH(WEEKDAY('ARG Gas IM'!A371,3),'Master Data'!$A$2:$A$8,0),2)</f>
        <v>T</v>
      </c>
      <c r="D371" s="112"/>
      <c r="E371" s="112"/>
      <c r="F371" s="112"/>
      <c r="G371" s="112"/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-386171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-386.171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5" activeCellId="0" sqref="B19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8" width="7.28"/>
    <col collapsed="false" customWidth="true" hidden="false" outlineLevel="0" max="2" min="2" style="109" width="4.14"/>
    <col collapsed="false" customWidth="true" hidden="false" outlineLevel="0" max="3" min="3" style="110" width="2.7"/>
    <col collapsed="false" customWidth="true" hidden="false" outlineLevel="0" max="7" min="4" style="109" width="14.99"/>
    <col collapsed="false" customWidth="true" hidden="false" outlineLevel="0" max="8" min="8" style="110" width="2.7"/>
    <col collapsed="false" customWidth="true" hidden="false" outlineLevel="0" max="9" min="9" style="111" width="13.14"/>
    <col collapsed="false" customWidth="true" hidden="false" outlineLevel="0" max="10" min="10" style="112" width="13.14"/>
    <col collapsed="false" customWidth="true" hidden="false" outlineLevel="0" max="11" min="11" style="112" width="10.99"/>
    <col collapsed="false" customWidth="true" hidden="false" outlineLevel="0" max="14" min="12" style="112" width="13.14"/>
    <col collapsed="false" customWidth="true" hidden="false" outlineLevel="0" max="15" min="15" style="113" width="2.7"/>
    <col collapsed="false" customWidth="true" hidden="false" outlineLevel="0" max="18" min="16" style="109" width="16.13"/>
    <col collapsed="false" customWidth="true" hidden="false" outlineLevel="0" max="23" min="19" style="114" width="12.7"/>
    <col collapsed="false" customWidth="false" hidden="false" outlineLevel="0" max="257" min="24" style="109" width="9.14"/>
  </cols>
  <sheetData>
    <row r="1" customFormat="false" ht="12.75" hidden="false" customHeight="false" outlineLevel="0" collapsed="false">
      <c r="A1" s="115" t="n">
        <v>1</v>
      </c>
      <c r="B1" s="109" t="n">
        <f aca="false">+A1+1</f>
        <v>2</v>
      </c>
      <c r="C1" s="110" t="n">
        <f aca="false">+B1+1</f>
        <v>3</v>
      </c>
      <c r="D1" s="109" t="n">
        <f aca="false">+C1+1</f>
        <v>4</v>
      </c>
      <c r="E1" s="109" t="n">
        <f aca="false">+D1+1</f>
        <v>5</v>
      </c>
      <c r="F1" s="109" t="n">
        <f aca="false">+E1+1</f>
        <v>6</v>
      </c>
      <c r="G1" s="109" t="n">
        <f aca="false">+F1+1</f>
        <v>7</v>
      </c>
      <c r="H1" s="110" t="n">
        <f aca="false">+G1+1</f>
        <v>8</v>
      </c>
      <c r="I1" s="111" t="n">
        <f aca="false">+H1+1</f>
        <v>9</v>
      </c>
      <c r="J1" s="112" t="n">
        <f aca="false">+I1+1</f>
        <v>10</v>
      </c>
      <c r="K1" s="112" t="n">
        <f aca="false">+J1+1</f>
        <v>11</v>
      </c>
      <c r="L1" s="112" t="n">
        <f aca="false">+K1+1</f>
        <v>12</v>
      </c>
      <c r="M1" s="112" t="n">
        <f aca="false">+L1+1</f>
        <v>13</v>
      </c>
      <c r="N1" s="112" t="n">
        <f aca="false">+M1+1</f>
        <v>14</v>
      </c>
      <c r="O1" s="113" t="n">
        <f aca="false">+N1+1</f>
        <v>15</v>
      </c>
      <c r="P1" s="109" t="n">
        <f aca="false">+O1+1</f>
        <v>16</v>
      </c>
      <c r="Q1" s="109" t="n">
        <f aca="false">+P1+1</f>
        <v>17</v>
      </c>
      <c r="R1" s="109" t="n">
        <f aca="false">+Q1+1</f>
        <v>18</v>
      </c>
      <c r="S1" s="109" t="n">
        <f aca="false">+R1+1</f>
        <v>19</v>
      </c>
      <c r="T1" s="109" t="n">
        <f aca="false">+S1+1</f>
        <v>20</v>
      </c>
      <c r="U1" s="109" t="n">
        <f aca="false">+T1+1</f>
        <v>21</v>
      </c>
      <c r="V1" s="109" t="n">
        <f aca="false">+U1+1</f>
        <v>22</v>
      </c>
      <c r="W1" s="109" t="n">
        <f aca="false">+V1+1</f>
        <v>23</v>
      </c>
    </row>
    <row r="2" customFormat="false" ht="12.75" hidden="false" customHeight="false" outlineLevel="0" collapsed="false">
      <c r="K2" s="116" t="n">
        <f aca="false">WORKDAY(K3,-4)</f>
        <v>37075</v>
      </c>
    </row>
    <row r="3" customFormat="false" ht="12.75" hidden="false" customHeight="false" outlineLevel="0" collapsed="false">
      <c r="I3" s="134"/>
      <c r="K3" s="116" t="n">
        <f aca="false">Summary!B8</f>
        <v>37081</v>
      </c>
      <c r="L3" s="117" t="n">
        <f aca="false">SUM(L6:L371)</f>
        <v>16581</v>
      </c>
      <c r="P3" s="112" t="n">
        <v>1000000</v>
      </c>
      <c r="Q3" s="112"/>
      <c r="R3" s="112" t="n">
        <v>1000</v>
      </c>
      <c r="S3" s="109"/>
      <c r="T3" s="118" t="n">
        <f aca="false">SUM(T6:T371)</f>
        <v>16.581</v>
      </c>
    </row>
    <row r="4" customFormat="false" ht="12.75" hidden="false" customHeight="false" outlineLevel="0" collapsed="false">
      <c r="D4" s="119" t="s">
        <v>53</v>
      </c>
      <c r="E4" s="119" t="s">
        <v>53</v>
      </c>
      <c r="F4" s="119" t="s">
        <v>54</v>
      </c>
      <c r="G4" s="119" t="s">
        <v>54</v>
      </c>
      <c r="I4" s="120" t="s">
        <v>54</v>
      </c>
      <c r="J4" s="120"/>
      <c r="K4" s="120"/>
      <c r="L4" s="120"/>
      <c r="M4" s="120"/>
      <c r="N4" s="120"/>
      <c r="O4" s="121"/>
      <c r="P4" s="122" t="s">
        <v>55</v>
      </c>
      <c r="Q4" s="122"/>
      <c r="R4" s="123" t="s">
        <v>56</v>
      </c>
      <c r="S4" s="123"/>
      <c r="T4" s="123"/>
      <c r="U4" s="123"/>
      <c r="V4" s="123"/>
      <c r="W4" s="123"/>
    </row>
    <row r="5" customFormat="false" ht="12.75" hidden="false" customHeight="false" outlineLevel="0" collapsed="false">
      <c r="A5" s="124" t="s">
        <v>57</v>
      </c>
      <c r="B5" s="119" t="s">
        <v>58</v>
      </c>
      <c r="C5" s="125"/>
      <c r="D5" s="126" t="s">
        <v>59</v>
      </c>
      <c r="E5" s="126" t="s">
        <v>60</v>
      </c>
      <c r="F5" s="126" t="s">
        <v>61</v>
      </c>
      <c r="G5" s="126" t="s">
        <v>62</v>
      </c>
      <c r="H5" s="127"/>
      <c r="I5" s="126" t="s">
        <v>63</v>
      </c>
      <c r="J5" s="128" t="s">
        <v>64</v>
      </c>
      <c r="K5" s="128" t="s">
        <v>65</v>
      </c>
      <c r="L5" s="128" t="s">
        <v>66</v>
      </c>
      <c r="M5" s="128" t="s">
        <v>67</v>
      </c>
      <c r="N5" s="128" t="s">
        <v>68</v>
      </c>
      <c r="O5" s="129"/>
      <c r="P5" s="126" t="s">
        <v>59</v>
      </c>
      <c r="Q5" s="126" t="s">
        <v>60</v>
      </c>
      <c r="R5" s="126" t="s">
        <v>61</v>
      </c>
      <c r="S5" s="130" t="s">
        <v>64</v>
      </c>
      <c r="T5" s="128" t="s">
        <v>66</v>
      </c>
      <c r="U5" s="130" t="s">
        <v>62</v>
      </c>
      <c r="V5" s="130" t="s">
        <v>67</v>
      </c>
      <c r="W5" s="130" t="s">
        <v>68</v>
      </c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</row>
    <row r="6" customFormat="false" ht="12.75" hidden="true" customHeight="false" outlineLevel="0" collapsed="false">
      <c r="A6" s="108" t="n">
        <v>36892</v>
      </c>
      <c r="B6" s="119" t="str">
        <f aca="false">INDEX('Master Data'!$A$2:$B$8,MATCH(WEEKDAY('EZE Power Trading'!A6,3),'Master Data'!$A$2:$A$8,0),2)</f>
        <v>M</v>
      </c>
      <c r="D6" s="112" t="n">
        <v>0</v>
      </c>
      <c r="E6" s="112" t="n">
        <v>0</v>
      </c>
      <c r="F6" s="112" t="n">
        <v>0</v>
      </c>
      <c r="G6" s="112" t="n">
        <v>0</v>
      </c>
      <c r="I6" s="112" t="n">
        <f aca="false">G6</f>
        <v>0</v>
      </c>
      <c r="J6" s="112" t="n">
        <f aca="false">I6</f>
        <v>0</v>
      </c>
      <c r="K6" s="112" t="n">
        <f aca="false">IF(WEEKDAY(A6,3)&gt;4,0,(IF(A6&lt;K$2,0,IF(A6&lt;=K$3,1,0))))</f>
        <v>0</v>
      </c>
      <c r="L6" s="112" t="n">
        <f aca="false">J6*K6</f>
        <v>0</v>
      </c>
      <c r="M6" s="112" t="n">
        <f aca="false">SUM(J$6:J6)</f>
        <v>0</v>
      </c>
      <c r="N6" s="112" t="n">
        <f aca="false">SUM(J$6:J6)</f>
        <v>0</v>
      </c>
      <c r="P6" s="112" t="n">
        <f aca="false">D6/P$3</f>
        <v>0</v>
      </c>
      <c r="Q6" s="112" t="n">
        <f aca="false">E6/P$3</f>
        <v>0</v>
      </c>
      <c r="R6" s="112" t="n">
        <f aca="false">F6/R$3</f>
        <v>0</v>
      </c>
      <c r="S6" s="114" t="n">
        <f aca="false">J6/$R$3</f>
        <v>0</v>
      </c>
      <c r="T6" s="114" t="n">
        <f aca="false">L6/$R$3</f>
        <v>0</v>
      </c>
      <c r="U6" s="114" t="n">
        <f aca="false">I6/$R$3</f>
        <v>0</v>
      </c>
      <c r="V6" s="114" t="n">
        <f aca="false">M6/$R$3</f>
        <v>0</v>
      </c>
      <c r="W6" s="114" t="n">
        <f aca="false">N6/$R$3</f>
        <v>0</v>
      </c>
    </row>
    <row r="7" customFormat="false" ht="12.75" hidden="true" customHeight="false" outlineLevel="0" collapsed="false">
      <c r="A7" s="108" t="n">
        <f aca="false">A6+1</f>
        <v>36893</v>
      </c>
      <c r="B7" s="119" t="str">
        <f aca="false">INDEX('Master Data'!$A$2:$B$8,MATCH(WEEKDAY('EZE Power Trading'!A7,3),'Master Data'!$A$2:$A$8,0),2)</f>
        <v>T</v>
      </c>
      <c r="D7" s="112" t="n">
        <v>-86178</v>
      </c>
      <c r="E7" s="112" t="n">
        <v>86178</v>
      </c>
      <c r="F7" s="112" t="n">
        <v>0</v>
      </c>
      <c r="G7" s="112" t="n">
        <v>24512.1</v>
      </c>
      <c r="I7" s="112" t="n">
        <f aca="false">IF(MONTH($A7)=MONTH($A6),IF(G7=0,I6,G7),0)</f>
        <v>24512.1</v>
      </c>
      <c r="J7" s="112" t="n">
        <f aca="false">IF(MONTH($A7)=MONTH($A6),SUM(I7-I6),I7)</f>
        <v>24512.1</v>
      </c>
      <c r="K7" s="112" t="n">
        <f aca="false">IF(WEEKDAY(A7,3)&gt;4,0,(IF(A7&lt;K$2,0,IF(A7&lt;=K$3,1,0))))</f>
        <v>0</v>
      </c>
      <c r="L7" s="112" t="n">
        <f aca="false">J7*K7</f>
        <v>0</v>
      </c>
      <c r="M7" s="112" t="n">
        <f aca="false">SUM(J$6:J7)</f>
        <v>24512.1</v>
      </c>
      <c r="N7" s="112" t="n">
        <f aca="false">SUM(J$6:J7)</f>
        <v>24512.1</v>
      </c>
      <c r="P7" s="112" t="n">
        <f aca="false">D7/P$3</f>
        <v>-0.086178</v>
      </c>
      <c r="Q7" s="112" t="n">
        <f aca="false">E7/P$3</f>
        <v>0.086178</v>
      </c>
      <c r="R7" s="112" t="n">
        <f aca="false">F7/R$3</f>
        <v>0</v>
      </c>
      <c r="S7" s="114" t="n">
        <f aca="false">J7/$R$3</f>
        <v>24.5121</v>
      </c>
      <c r="T7" s="114" t="n">
        <f aca="false">L7/$R$3</f>
        <v>0</v>
      </c>
      <c r="U7" s="114" t="n">
        <f aca="false">I7/$R$3</f>
        <v>24.5121</v>
      </c>
      <c r="V7" s="114" t="n">
        <f aca="false">M7/$R$3</f>
        <v>24.5121</v>
      </c>
      <c r="W7" s="114" t="n">
        <f aca="false">N7/$R$3</f>
        <v>24.5121</v>
      </c>
    </row>
    <row r="8" customFormat="false" ht="12.75" hidden="true" customHeight="false" outlineLevel="0" collapsed="false">
      <c r="A8" s="108" t="n">
        <f aca="false">A7+1</f>
        <v>36894</v>
      </c>
      <c r="B8" s="119" t="str">
        <f aca="false">INDEX('Master Data'!$A$2:$B$8,MATCH(WEEKDAY('EZE Power Trading'!A8,3),'Master Data'!$A$2:$A$8,0),2)</f>
        <v>W</v>
      </c>
      <c r="D8" s="112" t="n">
        <v>-84042</v>
      </c>
      <c r="E8" s="112" t="n">
        <v>84042</v>
      </c>
      <c r="F8" s="112" t="n">
        <v>0</v>
      </c>
      <c r="G8" s="112" t="n">
        <v>29195.51</v>
      </c>
      <c r="I8" s="112" t="n">
        <f aca="false">IF(MONTH($A8)=MONTH($A7),IF(G8=0,I7,G8),0)</f>
        <v>29195.51</v>
      </c>
      <c r="J8" s="112" t="n">
        <f aca="false">IF(MONTH($A8)=MONTH($A7),SUM(I8-I7),I8)</f>
        <v>4683.41</v>
      </c>
      <c r="K8" s="112" t="n">
        <f aca="false">IF(WEEKDAY(A8,3)&gt;4,0,(IF(A8&lt;K$2,0,IF(A8&lt;=K$3,1,0))))</f>
        <v>0</v>
      </c>
      <c r="L8" s="112" t="n">
        <f aca="false">J8*K8</f>
        <v>0</v>
      </c>
      <c r="M8" s="112" t="n">
        <f aca="false">SUM(J$6:J8)</f>
        <v>29195.51</v>
      </c>
      <c r="N8" s="112" t="n">
        <f aca="false">SUM(J$6:J8)</f>
        <v>29195.51</v>
      </c>
      <c r="P8" s="112" t="n">
        <f aca="false">D8/P$3</f>
        <v>-0.084042</v>
      </c>
      <c r="Q8" s="112" t="n">
        <f aca="false">E8/P$3</f>
        <v>0.084042</v>
      </c>
      <c r="R8" s="112" t="n">
        <f aca="false">F8/R$3</f>
        <v>0</v>
      </c>
      <c r="S8" s="114" t="n">
        <f aca="false">J8/$R$3</f>
        <v>4.68341</v>
      </c>
      <c r="T8" s="114" t="n">
        <f aca="false">L8/$R$3</f>
        <v>0</v>
      </c>
      <c r="U8" s="114" t="n">
        <f aca="false">I8/$R$3</f>
        <v>29.19551</v>
      </c>
      <c r="V8" s="114" t="n">
        <f aca="false">M8/$R$3</f>
        <v>29.19551</v>
      </c>
      <c r="W8" s="114" t="n">
        <f aca="false">N8/$R$3</f>
        <v>29.19551</v>
      </c>
    </row>
    <row r="9" customFormat="false" ht="12.75" hidden="true" customHeight="false" outlineLevel="0" collapsed="false">
      <c r="A9" s="108" t="n">
        <f aca="false">A8+1</f>
        <v>36895</v>
      </c>
      <c r="B9" s="119" t="str">
        <f aca="false">INDEX('Master Data'!$A$2:$B$8,MATCH(WEEKDAY('EZE Power Trading'!A9,3),'Master Data'!$A$2:$A$8,0),2)</f>
        <v>Th</v>
      </c>
      <c r="D9" s="112" t="n">
        <v>-81902</v>
      </c>
      <c r="E9" s="112" t="n">
        <v>81902</v>
      </c>
      <c r="F9" s="112" t="n">
        <v>0</v>
      </c>
      <c r="G9" s="112" t="n">
        <v>30531.5</v>
      </c>
      <c r="I9" s="112" t="n">
        <f aca="false">IF(MONTH($A9)=MONTH($A8),IF(G9=0,I8,G9),0)</f>
        <v>30531.5</v>
      </c>
      <c r="J9" s="112" t="n">
        <f aca="false">IF(MONTH($A9)=MONTH($A8),SUM(I9-I8),I9)</f>
        <v>1335.99</v>
      </c>
      <c r="K9" s="112" t="n">
        <f aca="false">IF(WEEKDAY(A9,3)&gt;4,0,(IF(A9&lt;K$2,0,IF(A9&lt;=K$3,1,0))))</f>
        <v>0</v>
      </c>
      <c r="L9" s="112" t="n">
        <f aca="false">J9*K9</f>
        <v>0</v>
      </c>
      <c r="M9" s="112" t="n">
        <f aca="false">SUM(J$6:J9)</f>
        <v>30531.5</v>
      </c>
      <c r="N9" s="112" t="n">
        <f aca="false">SUM(J$6:J9)</f>
        <v>30531.5</v>
      </c>
      <c r="P9" s="112" t="n">
        <f aca="false">D9/P$3</f>
        <v>-0.081902</v>
      </c>
      <c r="Q9" s="112" t="n">
        <f aca="false">E9/P$3</f>
        <v>0.081902</v>
      </c>
      <c r="R9" s="112" t="n">
        <f aca="false">F9/R$3</f>
        <v>0</v>
      </c>
      <c r="S9" s="114" t="n">
        <f aca="false">J9/$R$3</f>
        <v>1.33599</v>
      </c>
      <c r="T9" s="114" t="n">
        <f aca="false">L9/$R$3</f>
        <v>0</v>
      </c>
      <c r="U9" s="114" t="n">
        <f aca="false">I9/$R$3</f>
        <v>30.5315</v>
      </c>
      <c r="V9" s="114" t="n">
        <f aca="false">M9/$R$3</f>
        <v>30.5315</v>
      </c>
      <c r="W9" s="114" t="n">
        <f aca="false">N9/$R$3</f>
        <v>30.5315</v>
      </c>
    </row>
    <row r="10" customFormat="false" ht="12.75" hidden="true" customHeight="false" outlineLevel="0" collapsed="false">
      <c r="A10" s="108" t="n">
        <f aca="false">A9+1</f>
        <v>36896</v>
      </c>
      <c r="B10" s="119" t="str">
        <f aca="false">INDEX('Master Data'!$A$2:$B$8,MATCH(WEEKDAY('EZE Power Trading'!A10,3),'Master Data'!$A$2:$A$8,0),2)</f>
        <v>F</v>
      </c>
      <c r="D10" s="112" t="n">
        <v>-79750</v>
      </c>
      <c r="E10" s="112" t="n">
        <v>79750</v>
      </c>
      <c r="F10" s="112" t="n">
        <v>0</v>
      </c>
      <c r="G10" s="112" t="n">
        <v>27385.71</v>
      </c>
      <c r="I10" s="112" t="n">
        <f aca="false">IF(MONTH($A10)=MONTH($A9),IF(G10=0,I9,G10),0)</f>
        <v>27385.71</v>
      </c>
      <c r="J10" s="112" t="n">
        <f aca="false">IF(MONTH($A10)=MONTH($A9),SUM(I10-I9),I10)</f>
        <v>-3145.79</v>
      </c>
      <c r="K10" s="112" t="n">
        <f aca="false">IF(WEEKDAY(A10,3)&gt;4,0,(IF(A10&lt;K$2,0,IF(A10&lt;=K$3,1,0))))</f>
        <v>0</v>
      </c>
      <c r="L10" s="112" t="n">
        <f aca="false">J10*K10</f>
        <v>-0</v>
      </c>
      <c r="M10" s="112" t="n">
        <f aca="false">SUM(J$6:J10)</f>
        <v>27385.71</v>
      </c>
      <c r="N10" s="112" t="n">
        <f aca="false">SUM(J$6:J10)</f>
        <v>27385.71</v>
      </c>
      <c r="P10" s="112" t="n">
        <f aca="false">D10/P$3</f>
        <v>-0.07975</v>
      </c>
      <c r="Q10" s="112" t="n">
        <f aca="false">E10/P$3</f>
        <v>0.07975</v>
      </c>
      <c r="R10" s="112" t="n">
        <f aca="false">F10/R$3</f>
        <v>0</v>
      </c>
      <c r="S10" s="114" t="n">
        <f aca="false">J10/$R$3</f>
        <v>-3.14579</v>
      </c>
      <c r="T10" s="114" t="n">
        <f aca="false">L10/$R$3</f>
        <v>-0</v>
      </c>
      <c r="U10" s="114" t="n">
        <f aca="false">I10/$R$3</f>
        <v>27.38571</v>
      </c>
      <c r="V10" s="114" t="n">
        <f aca="false">M10/$R$3</f>
        <v>27.38571</v>
      </c>
      <c r="W10" s="114" t="n">
        <f aca="false">N10/$R$3</f>
        <v>27.38571</v>
      </c>
    </row>
    <row r="11" customFormat="false" ht="12.75" hidden="true" customHeight="false" outlineLevel="0" collapsed="false">
      <c r="A11" s="108" t="n">
        <f aca="false">A10+1</f>
        <v>36897</v>
      </c>
      <c r="B11" s="119" t="str">
        <f aca="false">INDEX('Master Data'!$A$2:$B$8,MATCH(WEEKDAY('EZE Power Trading'!A11,3),'Master Data'!$A$2:$A$8,0),2)</f>
        <v>Sa</v>
      </c>
      <c r="D11" s="112" t="n">
        <v>0</v>
      </c>
      <c r="E11" s="112" t="n">
        <v>0</v>
      </c>
      <c r="F11" s="112" t="n">
        <v>0</v>
      </c>
      <c r="G11" s="112" t="n">
        <v>0</v>
      </c>
      <c r="I11" s="112" t="n">
        <f aca="false">IF(MONTH($A11)=MONTH($A10),IF(G11=0,I10,G11),0)</f>
        <v>27385.71</v>
      </c>
      <c r="J11" s="112" t="n">
        <f aca="false">IF(MONTH($A11)=MONTH($A10),SUM(I11-I10),I11)</f>
        <v>0</v>
      </c>
      <c r="K11" s="112" t="n">
        <f aca="false">IF(WEEKDAY(A11,3)&gt;4,0,(IF(A11&lt;K$2,0,IF(A11&lt;=K$3,1,0))))</f>
        <v>0</v>
      </c>
      <c r="L11" s="112" t="n">
        <f aca="false">J11*K11</f>
        <v>0</v>
      </c>
      <c r="M11" s="112" t="n">
        <f aca="false">SUM(J$6:J11)</f>
        <v>27385.71</v>
      </c>
      <c r="N11" s="112" t="n">
        <f aca="false">SUM(J$6:J11)</f>
        <v>27385.71</v>
      </c>
      <c r="P11" s="112" t="n">
        <f aca="false">D11/P$3</f>
        <v>0</v>
      </c>
      <c r="Q11" s="112" t="n">
        <f aca="false">E11/P$3</f>
        <v>0</v>
      </c>
      <c r="R11" s="112" t="n">
        <f aca="false">F11/R$3</f>
        <v>0</v>
      </c>
      <c r="S11" s="114" t="n">
        <f aca="false">J11/$R$3</f>
        <v>0</v>
      </c>
      <c r="T11" s="114" t="n">
        <f aca="false">L11/$R$3</f>
        <v>0</v>
      </c>
      <c r="U11" s="114" t="n">
        <f aca="false">I11/$R$3</f>
        <v>27.38571</v>
      </c>
      <c r="V11" s="114" t="n">
        <f aca="false">M11/$R$3</f>
        <v>27.38571</v>
      </c>
      <c r="W11" s="114" t="n">
        <f aca="false">N11/$R$3</f>
        <v>27.38571</v>
      </c>
    </row>
    <row r="12" customFormat="false" ht="12.75" hidden="true" customHeight="false" outlineLevel="0" collapsed="false">
      <c r="A12" s="108" t="n">
        <f aca="false">A11+1</f>
        <v>36898</v>
      </c>
      <c r="B12" s="119" t="str">
        <f aca="false">INDEX('Master Data'!$A$2:$B$8,MATCH(WEEKDAY('EZE Power Trading'!A12,3),'Master Data'!$A$2:$A$8,0),2)</f>
        <v>Su</v>
      </c>
      <c r="D12" s="112" t="n">
        <v>0</v>
      </c>
      <c r="E12" s="112" t="n">
        <v>0</v>
      </c>
      <c r="F12" s="112" t="n">
        <v>0</v>
      </c>
      <c r="G12" s="112" t="n">
        <v>0</v>
      </c>
      <c r="I12" s="112" t="n">
        <f aca="false">IF(MONTH($A12)=MONTH($A11),IF(G12=0,I11,G12),0)</f>
        <v>27385.71</v>
      </c>
      <c r="J12" s="112" t="n">
        <f aca="false">IF(MONTH($A12)=MONTH($A11),SUM(I12-I11),I12)</f>
        <v>0</v>
      </c>
      <c r="K12" s="112" t="n">
        <f aca="false">IF(WEEKDAY(A12,3)&gt;4,0,(IF(A12&lt;K$2,0,IF(A12&lt;=K$3,1,0))))</f>
        <v>0</v>
      </c>
      <c r="L12" s="112" t="n">
        <f aca="false">J12*K12</f>
        <v>0</v>
      </c>
      <c r="M12" s="112" t="n">
        <f aca="false">SUM(J$6:J12)</f>
        <v>27385.71</v>
      </c>
      <c r="N12" s="112" t="n">
        <f aca="false">SUM(J$6:J12)</f>
        <v>27385.71</v>
      </c>
      <c r="P12" s="112" t="n">
        <f aca="false">D12/P$3</f>
        <v>0</v>
      </c>
      <c r="Q12" s="112" t="n">
        <f aca="false">E12/P$3</f>
        <v>0</v>
      </c>
      <c r="R12" s="112" t="n">
        <f aca="false">F12/R$3</f>
        <v>0</v>
      </c>
      <c r="S12" s="114" t="n">
        <f aca="false">J12/$R$3</f>
        <v>0</v>
      </c>
      <c r="T12" s="114" t="n">
        <f aca="false">L12/$R$3</f>
        <v>0</v>
      </c>
      <c r="U12" s="114" t="n">
        <f aca="false">I12/$R$3</f>
        <v>27.38571</v>
      </c>
      <c r="V12" s="114" t="n">
        <f aca="false">M12/$R$3</f>
        <v>27.38571</v>
      </c>
      <c r="W12" s="114" t="n">
        <f aca="false">N12/$R$3</f>
        <v>27.38571</v>
      </c>
    </row>
    <row r="13" customFormat="false" ht="12.75" hidden="true" customHeight="false" outlineLevel="0" collapsed="false">
      <c r="A13" s="108" t="n">
        <f aca="false">A12+1</f>
        <v>36899</v>
      </c>
      <c r="B13" s="119" t="str">
        <f aca="false">INDEX('Master Data'!$A$2:$B$8,MATCH(WEEKDAY('EZE Power Trading'!A13,3),'Master Data'!$A$2:$A$8,0),2)</f>
        <v>M</v>
      </c>
      <c r="D13" s="112" t="n">
        <v>-73535</v>
      </c>
      <c r="E13" s="112" t="n">
        <v>73535</v>
      </c>
      <c r="F13" s="112" t="n">
        <v>0</v>
      </c>
      <c r="G13" s="112" t="n">
        <v>28862.32</v>
      </c>
      <c r="I13" s="112" t="n">
        <f aca="false">IF(MONTH($A13)=MONTH($A12),IF(G13=0,I12,G13),0)</f>
        <v>28862.32</v>
      </c>
      <c r="J13" s="112" t="n">
        <f aca="false">IF(MONTH($A13)=MONTH($A12),SUM(I13-I12),I13)</f>
        <v>1476.61</v>
      </c>
      <c r="K13" s="112" t="n">
        <f aca="false">IF(WEEKDAY(A13,3)&gt;4,0,(IF(A13&lt;K$2,0,IF(A13&lt;=K$3,1,0))))</f>
        <v>0</v>
      </c>
      <c r="L13" s="112" t="n">
        <f aca="false">J13*K13</f>
        <v>0</v>
      </c>
      <c r="M13" s="112" t="n">
        <f aca="false">SUM(J$6:J13)</f>
        <v>28862.32</v>
      </c>
      <c r="N13" s="112" t="n">
        <f aca="false">SUM(J$6:J13)</f>
        <v>28862.32</v>
      </c>
      <c r="P13" s="112" t="n">
        <f aca="false">D13/P$3</f>
        <v>-0.073535</v>
      </c>
      <c r="Q13" s="112" t="n">
        <f aca="false">E13/P$3</f>
        <v>0.073535</v>
      </c>
      <c r="R13" s="112" t="n">
        <f aca="false">F13/R$3</f>
        <v>0</v>
      </c>
      <c r="S13" s="114" t="n">
        <f aca="false">J13/$R$3</f>
        <v>1.47661</v>
      </c>
      <c r="T13" s="114" t="n">
        <f aca="false">L13/$R$3</f>
        <v>0</v>
      </c>
      <c r="U13" s="114" t="n">
        <f aca="false">I13/$R$3</f>
        <v>28.86232</v>
      </c>
      <c r="V13" s="114" t="n">
        <f aca="false">M13/$R$3</f>
        <v>28.86232</v>
      </c>
      <c r="W13" s="114" t="n">
        <f aca="false">N13/$R$3</f>
        <v>28.86232</v>
      </c>
    </row>
    <row r="14" customFormat="false" ht="12.75" hidden="true" customHeight="false" outlineLevel="0" collapsed="false">
      <c r="A14" s="108" t="n">
        <f aca="false">A13+1</f>
        <v>36900</v>
      </c>
      <c r="B14" s="119" t="str">
        <f aca="false">INDEX('Master Data'!$A$2:$B$8,MATCH(WEEKDAY('EZE Power Trading'!A14,3),'Master Data'!$A$2:$A$8,0),2)</f>
        <v>T</v>
      </c>
      <c r="D14" s="112" t="n">
        <v>-71385</v>
      </c>
      <c r="E14" s="112" t="n">
        <v>71385</v>
      </c>
      <c r="F14" s="112" t="n">
        <v>0</v>
      </c>
      <c r="G14" s="112" t="n">
        <v>36257.92</v>
      </c>
      <c r="I14" s="112" t="n">
        <f aca="false">IF(MONTH($A14)=MONTH($A13),IF(G14=0,I13,G14),0)</f>
        <v>36257.92</v>
      </c>
      <c r="J14" s="112" t="n">
        <f aca="false">IF(MONTH($A14)=MONTH($A13),SUM(I14-I13),I14)</f>
        <v>7395.6</v>
      </c>
      <c r="K14" s="112" t="n">
        <f aca="false">IF(WEEKDAY(A14,3)&gt;4,0,(IF(A14&lt;K$2,0,IF(A14&lt;=K$3,1,0))))</f>
        <v>0</v>
      </c>
      <c r="L14" s="112" t="n">
        <f aca="false">J14*K14</f>
        <v>0</v>
      </c>
      <c r="M14" s="112" t="n">
        <f aca="false">SUM(J$6:J14)</f>
        <v>36257.92</v>
      </c>
      <c r="N14" s="112" t="n">
        <f aca="false">SUM(J$6:J14)</f>
        <v>36257.92</v>
      </c>
      <c r="P14" s="112" t="n">
        <f aca="false">D14/P$3</f>
        <v>-0.071385</v>
      </c>
      <c r="Q14" s="112" t="n">
        <f aca="false">E14/P$3</f>
        <v>0.071385</v>
      </c>
      <c r="R14" s="112" t="n">
        <f aca="false">F14/R$3</f>
        <v>0</v>
      </c>
      <c r="S14" s="114" t="n">
        <f aca="false">J14/$R$3</f>
        <v>7.3956</v>
      </c>
      <c r="T14" s="114" t="n">
        <f aca="false">L14/$R$3</f>
        <v>0</v>
      </c>
      <c r="U14" s="114" t="n">
        <f aca="false">I14/$R$3</f>
        <v>36.25792</v>
      </c>
      <c r="V14" s="114" t="n">
        <f aca="false">M14/$R$3</f>
        <v>36.25792</v>
      </c>
      <c r="W14" s="114" t="n">
        <f aca="false">N14/$R$3</f>
        <v>36.25792</v>
      </c>
    </row>
    <row r="15" customFormat="false" ht="12.75" hidden="true" customHeight="false" outlineLevel="0" collapsed="false">
      <c r="A15" s="108" t="n">
        <f aca="false">A14+1</f>
        <v>36901</v>
      </c>
      <c r="B15" s="119" t="str">
        <f aca="false">INDEX('Master Data'!$A$2:$B$8,MATCH(WEEKDAY('EZE Power Trading'!A15,3),'Master Data'!$A$2:$A$8,0),2)</f>
        <v>W</v>
      </c>
      <c r="D15" s="112" t="n">
        <v>-69222</v>
      </c>
      <c r="E15" s="112" t="n">
        <v>69222</v>
      </c>
      <c r="F15" s="112" t="n">
        <v>0</v>
      </c>
      <c r="G15" s="112" t="n">
        <v>39573.58</v>
      </c>
      <c r="I15" s="112" t="n">
        <f aca="false">IF(MONTH($A15)=MONTH($A14),IF(G15=0,I14,G15),0)</f>
        <v>39573.58</v>
      </c>
      <c r="J15" s="112" t="n">
        <f aca="false">IF(MONTH($A15)=MONTH($A14),SUM(I15-I14),I15)</f>
        <v>3315.66</v>
      </c>
      <c r="K15" s="112" t="n">
        <f aca="false">IF(WEEKDAY(A15,3)&gt;4,0,(IF(A15&lt;K$2,0,IF(A15&lt;=K$3,1,0))))</f>
        <v>0</v>
      </c>
      <c r="L15" s="112" t="n">
        <f aca="false">J15*K15</f>
        <v>0</v>
      </c>
      <c r="M15" s="112" t="n">
        <f aca="false">SUM(J$6:J15)</f>
        <v>39573.58</v>
      </c>
      <c r="N15" s="112" t="n">
        <f aca="false">SUM(J$6:J15)</f>
        <v>39573.58</v>
      </c>
      <c r="P15" s="112" t="n">
        <f aca="false">D15/P$3</f>
        <v>-0.069222</v>
      </c>
      <c r="Q15" s="112" t="n">
        <f aca="false">E15/P$3</f>
        <v>0.069222</v>
      </c>
      <c r="R15" s="112" t="n">
        <f aca="false">F15/R$3</f>
        <v>0</v>
      </c>
      <c r="S15" s="114" t="n">
        <f aca="false">J15/$R$3</f>
        <v>3.31566</v>
      </c>
      <c r="T15" s="114" t="n">
        <f aca="false">L15/$R$3</f>
        <v>0</v>
      </c>
      <c r="U15" s="114" t="n">
        <f aca="false">I15/$R$3</f>
        <v>39.57358</v>
      </c>
      <c r="V15" s="114" t="n">
        <f aca="false">M15/$R$3</f>
        <v>39.57358</v>
      </c>
      <c r="W15" s="114" t="n">
        <f aca="false">N15/$R$3</f>
        <v>39.57358</v>
      </c>
    </row>
    <row r="16" customFormat="false" ht="12.75" hidden="true" customHeight="false" outlineLevel="0" collapsed="false">
      <c r="A16" s="108" t="n">
        <f aca="false">A15+1</f>
        <v>36902</v>
      </c>
      <c r="B16" s="119" t="str">
        <f aca="false">INDEX('Master Data'!$A$2:$B$8,MATCH(WEEKDAY('EZE Power Trading'!A16,3),'Master Data'!$A$2:$A$8,0),2)</f>
        <v>Th</v>
      </c>
      <c r="D16" s="112" t="n">
        <v>-67060</v>
      </c>
      <c r="E16" s="112" t="n">
        <v>67060</v>
      </c>
      <c r="F16" s="112" t="n">
        <v>0</v>
      </c>
      <c r="G16" s="112" t="n">
        <v>52807.62</v>
      </c>
      <c r="I16" s="112" t="n">
        <f aca="false">IF(MONTH($A16)=MONTH($A15),IF(G16=0,I15,G16),0)</f>
        <v>52807.62</v>
      </c>
      <c r="J16" s="112" t="n">
        <f aca="false">IF(MONTH($A16)=MONTH($A15),SUM(I16-I15),I16)</f>
        <v>13234.04</v>
      </c>
      <c r="K16" s="112" t="n">
        <f aca="false">IF(WEEKDAY(A16,3)&gt;4,0,(IF(A16&lt;K$2,0,IF(A16&lt;=K$3,1,0))))</f>
        <v>0</v>
      </c>
      <c r="L16" s="112" t="n">
        <f aca="false">J16*K16</f>
        <v>0</v>
      </c>
      <c r="M16" s="112" t="n">
        <f aca="false">SUM(J$6:J16)</f>
        <v>52807.62</v>
      </c>
      <c r="N16" s="112" t="n">
        <f aca="false">SUM(J$6:J16)</f>
        <v>52807.62</v>
      </c>
      <c r="P16" s="112" t="n">
        <f aca="false">D16/P$3</f>
        <v>-0.06706</v>
      </c>
      <c r="Q16" s="112" t="n">
        <f aca="false">E16/P$3</f>
        <v>0.06706</v>
      </c>
      <c r="R16" s="112" t="n">
        <f aca="false">F16/R$3</f>
        <v>0</v>
      </c>
      <c r="S16" s="114" t="n">
        <f aca="false">J16/$R$3</f>
        <v>13.23404</v>
      </c>
      <c r="T16" s="114" t="n">
        <f aca="false">L16/$R$3</f>
        <v>0</v>
      </c>
      <c r="U16" s="114" t="n">
        <f aca="false">I16/$R$3</f>
        <v>52.80762</v>
      </c>
      <c r="V16" s="114" t="n">
        <f aca="false">M16/$R$3</f>
        <v>52.80762</v>
      </c>
      <c r="W16" s="114" t="n">
        <f aca="false">N16/$R$3</f>
        <v>52.80762</v>
      </c>
    </row>
    <row r="17" customFormat="false" ht="12.75" hidden="true" customHeight="false" outlineLevel="0" collapsed="false">
      <c r="A17" s="108" t="n">
        <f aca="false">A16+1</f>
        <v>36903</v>
      </c>
      <c r="B17" s="119" t="str">
        <f aca="false">INDEX('Master Data'!$A$2:$B$8,MATCH(WEEKDAY('EZE Power Trading'!A17,3),'Master Data'!$A$2:$A$8,0),2)</f>
        <v>F</v>
      </c>
      <c r="D17" s="112" t="n">
        <v>-64902</v>
      </c>
      <c r="E17" s="112" t="n">
        <v>64902</v>
      </c>
      <c r="F17" s="112" t="n">
        <v>0</v>
      </c>
      <c r="G17" s="112" t="n">
        <v>63898.15</v>
      </c>
      <c r="I17" s="112" t="n">
        <f aca="false">IF(MONTH($A17)=MONTH($A16),IF(G17=0,I16,G17),0)</f>
        <v>63898.15</v>
      </c>
      <c r="J17" s="112" t="n">
        <f aca="false">IF(MONTH($A17)=MONTH($A16),SUM(I17-I16),I17)</f>
        <v>11090.53</v>
      </c>
      <c r="K17" s="112" t="n">
        <f aca="false">IF(WEEKDAY(A17,3)&gt;4,0,(IF(A17&lt;K$2,0,IF(A17&lt;=K$3,1,0))))</f>
        <v>0</v>
      </c>
      <c r="L17" s="112" t="n">
        <f aca="false">J17*K17</f>
        <v>0</v>
      </c>
      <c r="M17" s="112" t="n">
        <f aca="false">SUM(J$6:J17)</f>
        <v>63898.15</v>
      </c>
      <c r="N17" s="112" t="n">
        <f aca="false">SUM(J$6:J17)</f>
        <v>63898.15</v>
      </c>
      <c r="P17" s="112" t="n">
        <f aca="false">D17/P$3</f>
        <v>-0.064902</v>
      </c>
      <c r="Q17" s="112" t="n">
        <f aca="false">E17/P$3</f>
        <v>0.064902</v>
      </c>
      <c r="R17" s="112" t="n">
        <f aca="false">F17/R$3</f>
        <v>0</v>
      </c>
      <c r="S17" s="114" t="n">
        <f aca="false">J17/$R$3</f>
        <v>11.09053</v>
      </c>
      <c r="T17" s="114" t="n">
        <f aca="false">L17/$R$3</f>
        <v>0</v>
      </c>
      <c r="U17" s="114" t="n">
        <f aca="false">I17/$R$3</f>
        <v>63.89815</v>
      </c>
      <c r="V17" s="114" t="n">
        <f aca="false">M17/$R$3</f>
        <v>63.89815</v>
      </c>
      <c r="W17" s="114" t="n">
        <f aca="false">N17/$R$3</f>
        <v>63.89815</v>
      </c>
    </row>
    <row r="18" customFormat="false" ht="12.75" hidden="true" customHeight="false" outlineLevel="0" collapsed="false">
      <c r="A18" s="108" t="n">
        <f aca="false">A17+1</f>
        <v>36904</v>
      </c>
      <c r="B18" s="119" t="str">
        <f aca="false">INDEX('Master Data'!$A$2:$B$8,MATCH(WEEKDAY('EZE Power Trading'!A18,3),'Master Data'!$A$2:$A$8,0),2)</f>
        <v>Sa</v>
      </c>
      <c r="D18" s="112" t="n">
        <v>0</v>
      </c>
      <c r="E18" s="112" t="n">
        <v>0</v>
      </c>
      <c r="F18" s="112" t="n">
        <v>0</v>
      </c>
      <c r="G18" s="112" t="n">
        <v>0</v>
      </c>
      <c r="I18" s="112" t="n">
        <f aca="false">IF(MONTH($A18)=MONTH($A17),IF(G18=0,I17,G18),0)</f>
        <v>63898.15</v>
      </c>
      <c r="J18" s="112" t="n">
        <f aca="false">IF(MONTH($A18)=MONTH($A17),SUM(I18-I17),I18)</f>
        <v>0</v>
      </c>
      <c r="K18" s="112" t="n">
        <f aca="false">IF(WEEKDAY(A18,3)&gt;4,0,(IF(A18&lt;K$2,0,IF(A18&lt;=K$3,1,0))))</f>
        <v>0</v>
      </c>
      <c r="L18" s="112" t="n">
        <f aca="false">J18*K18</f>
        <v>0</v>
      </c>
      <c r="M18" s="112" t="n">
        <f aca="false">SUM(J$6:J18)</f>
        <v>63898.15</v>
      </c>
      <c r="N18" s="112" t="n">
        <f aca="false">SUM(J$6:J18)</f>
        <v>63898.15</v>
      </c>
      <c r="P18" s="112" t="n">
        <f aca="false">D18/P$3</f>
        <v>0</v>
      </c>
      <c r="Q18" s="112" t="n">
        <f aca="false">E18/P$3</f>
        <v>0</v>
      </c>
      <c r="R18" s="112" t="n">
        <f aca="false">F18/R$3</f>
        <v>0</v>
      </c>
      <c r="S18" s="114" t="n">
        <f aca="false">J18/$R$3</f>
        <v>0</v>
      </c>
      <c r="T18" s="114" t="n">
        <f aca="false">L18/$R$3</f>
        <v>0</v>
      </c>
      <c r="U18" s="114" t="n">
        <f aca="false">I18/$R$3</f>
        <v>63.89815</v>
      </c>
      <c r="V18" s="114" t="n">
        <f aca="false">M18/$R$3</f>
        <v>63.89815</v>
      </c>
      <c r="W18" s="114" t="n">
        <f aca="false">N18/$R$3</f>
        <v>63.89815</v>
      </c>
    </row>
    <row r="19" customFormat="false" ht="12.75" hidden="true" customHeight="false" outlineLevel="0" collapsed="false">
      <c r="A19" s="108" t="n">
        <f aca="false">A18+1</f>
        <v>36905</v>
      </c>
      <c r="B19" s="119" t="str">
        <f aca="false">INDEX('Master Data'!$A$2:$B$8,MATCH(WEEKDAY('EZE Power Trading'!A19,3),'Master Data'!$A$2:$A$8,0),2)</f>
        <v>Su</v>
      </c>
      <c r="D19" s="112" t="n">
        <v>0</v>
      </c>
      <c r="E19" s="112" t="n">
        <v>0</v>
      </c>
      <c r="F19" s="112" t="n">
        <v>0</v>
      </c>
      <c r="G19" s="112" t="n">
        <v>0</v>
      </c>
      <c r="I19" s="112" t="n">
        <f aca="false">IF(MONTH($A19)=MONTH($A18),IF(G19=0,I18,G19),0)</f>
        <v>63898.15</v>
      </c>
      <c r="J19" s="112" t="n">
        <f aca="false">IF(MONTH($A19)=MONTH($A18),SUM(I19-I18),I19)</f>
        <v>0</v>
      </c>
      <c r="K19" s="112" t="n">
        <f aca="false">IF(WEEKDAY(A19,3)&gt;4,0,(IF(A19&lt;K$2,0,IF(A19&lt;=K$3,1,0))))</f>
        <v>0</v>
      </c>
      <c r="L19" s="112" t="n">
        <f aca="false">J19*K19</f>
        <v>0</v>
      </c>
      <c r="M19" s="112" t="n">
        <f aca="false">SUM(J$6:J19)</f>
        <v>63898.15</v>
      </c>
      <c r="N19" s="112" t="n">
        <f aca="false">SUM(J$6:J19)</f>
        <v>63898.15</v>
      </c>
      <c r="P19" s="112" t="n">
        <f aca="false">D19/P$3</f>
        <v>0</v>
      </c>
      <c r="Q19" s="112" t="n">
        <f aca="false">E19/P$3</f>
        <v>0</v>
      </c>
      <c r="R19" s="112" t="n">
        <f aca="false">F19/R$3</f>
        <v>0</v>
      </c>
      <c r="S19" s="114" t="n">
        <f aca="false">J19/$R$3</f>
        <v>0</v>
      </c>
      <c r="T19" s="114" t="n">
        <f aca="false">L19/$R$3</f>
        <v>0</v>
      </c>
      <c r="U19" s="114" t="n">
        <f aca="false">I19/$R$3</f>
        <v>63.89815</v>
      </c>
      <c r="V19" s="114" t="n">
        <f aca="false">M19/$R$3</f>
        <v>63.89815</v>
      </c>
      <c r="W19" s="114" t="n">
        <f aca="false">N19/$R$3</f>
        <v>63.89815</v>
      </c>
    </row>
    <row r="20" customFormat="false" ht="12.75" hidden="true" customHeight="false" outlineLevel="0" collapsed="false">
      <c r="A20" s="108" t="n">
        <f aca="false">A19+1</f>
        <v>36906</v>
      </c>
      <c r="B20" s="119" t="str">
        <f aca="false">INDEX('Master Data'!$A$2:$B$8,MATCH(WEEKDAY('EZE Power Trading'!A20,3),'Master Data'!$A$2:$A$8,0),2)</f>
        <v>M</v>
      </c>
      <c r="D20" s="112" t="n">
        <v>0</v>
      </c>
      <c r="E20" s="112" t="n">
        <v>0</v>
      </c>
      <c r="F20" s="112" t="n">
        <v>0</v>
      </c>
      <c r="G20" s="112" t="n">
        <v>0</v>
      </c>
      <c r="I20" s="112" t="n">
        <f aca="false">IF(MONTH($A20)=MONTH($A19),IF(G20=0,I19,G20),0)</f>
        <v>63898.15</v>
      </c>
      <c r="J20" s="112" t="n">
        <f aca="false">IF(MONTH($A20)=MONTH($A19),SUM(I20-I19),I20)</f>
        <v>0</v>
      </c>
      <c r="K20" s="112" t="n">
        <f aca="false">IF(WEEKDAY(A20,3)&gt;4,0,(IF(A20&lt;K$2,0,IF(A20&lt;=K$3,1,0))))</f>
        <v>0</v>
      </c>
      <c r="L20" s="112" t="n">
        <f aca="false">J20*K20</f>
        <v>0</v>
      </c>
      <c r="M20" s="112" t="n">
        <f aca="false">SUM(J$6:J20)</f>
        <v>63898.15</v>
      </c>
      <c r="N20" s="112" t="n">
        <f aca="false">SUM(J$6:J20)</f>
        <v>63898.15</v>
      </c>
      <c r="P20" s="112" t="n">
        <f aca="false">D20/P$3</f>
        <v>0</v>
      </c>
      <c r="Q20" s="112" t="n">
        <f aca="false">E20/P$3</f>
        <v>0</v>
      </c>
      <c r="R20" s="112" t="n">
        <f aca="false">F20/R$3</f>
        <v>0</v>
      </c>
      <c r="S20" s="114" t="n">
        <f aca="false">J20/$R$3</f>
        <v>0</v>
      </c>
      <c r="T20" s="114" t="n">
        <f aca="false">L20/$R$3</f>
        <v>0</v>
      </c>
      <c r="U20" s="114" t="n">
        <f aca="false">I20/$R$3</f>
        <v>63.89815</v>
      </c>
      <c r="V20" s="114" t="n">
        <f aca="false">M20/$R$3</f>
        <v>63.89815</v>
      </c>
      <c r="W20" s="114" t="n">
        <f aca="false">N20/$R$3</f>
        <v>63.89815</v>
      </c>
    </row>
    <row r="21" customFormat="false" ht="12.75" hidden="true" customHeight="false" outlineLevel="0" collapsed="false">
      <c r="A21" s="108" t="n">
        <f aca="false">A20+1</f>
        <v>36907</v>
      </c>
      <c r="B21" s="119" t="str">
        <f aca="false">INDEX('Master Data'!$A$2:$B$8,MATCH(WEEKDAY('EZE Power Trading'!A21,3),'Master Data'!$A$2:$A$8,0),2)</f>
        <v>T</v>
      </c>
      <c r="D21" s="112" t="n">
        <v>-56446</v>
      </c>
      <c r="E21" s="112" t="n">
        <v>56446</v>
      </c>
      <c r="F21" s="112" t="n">
        <v>0</v>
      </c>
      <c r="G21" s="112" t="n">
        <v>134701.19</v>
      </c>
      <c r="I21" s="112" t="n">
        <f aca="false">IF(MONTH($A21)=MONTH($A20),IF(G21=0,I20,G21),0)</f>
        <v>134701.19</v>
      </c>
      <c r="J21" s="112" t="n">
        <f aca="false">IF(MONTH($A21)=MONTH($A20),SUM(I21-I20),I21)</f>
        <v>70803.04</v>
      </c>
      <c r="K21" s="112" t="n">
        <f aca="false">IF(WEEKDAY(A21,3)&gt;4,0,(IF(A21&lt;K$2,0,IF(A21&lt;=K$3,1,0))))</f>
        <v>0</v>
      </c>
      <c r="L21" s="112" t="n">
        <f aca="false">J21*K21</f>
        <v>0</v>
      </c>
      <c r="M21" s="112" t="n">
        <f aca="false">SUM(J$6:J21)</f>
        <v>134701.19</v>
      </c>
      <c r="N21" s="112" t="n">
        <f aca="false">SUM(J$6:J21)</f>
        <v>134701.19</v>
      </c>
      <c r="P21" s="112" t="n">
        <f aca="false">D21/P$3</f>
        <v>-0.056446</v>
      </c>
      <c r="Q21" s="112" t="n">
        <f aca="false">E21/P$3</f>
        <v>0.056446</v>
      </c>
      <c r="R21" s="112" t="n">
        <f aca="false">F21/R$3</f>
        <v>0</v>
      </c>
      <c r="S21" s="114" t="n">
        <f aca="false">J21/$R$3</f>
        <v>70.80304</v>
      </c>
      <c r="T21" s="114" t="n">
        <f aca="false">L21/$R$3</f>
        <v>0</v>
      </c>
      <c r="U21" s="114" t="n">
        <f aca="false">I21/$R$3</f>
        <v>134.70119</v>
      </c>
      <c r="V21" s="114" t="n">
        <f aca="false">M21/$R$3</f>
        <v>134.70119</v>
      </c>
      <c r="W21" s="114" t="n">
        <f aca="false">N21/$R$3</f>
        <v>134.70119</v>
      </c>
    </row>
    <row r="22" customFormat="false" ht="12.75" hidden="true" customHeight="false" outlineLevel="0" collapsed="false">
      <c r="A22" s="108" t="n">
        <f aca="false">A21+1</f>
        <v>36908</v>
      </c>
      <c r="B22" s="119" t="str">
        <f aca="false">INDEX('Master Data'!$A$2:$B$8,MATCH(WEEKDAY('EZE Power Trading'!A22,3),'Master Data'!$A$2:$A$8,0),2)</f>
        <v>W</v>
      </c>
      <c r="D22" s="112" t="n">
        <v>-54285</v>
      </c>
      <c r="E22" s="112" t="n">
        <v>54285</v>
      </c>
      <c r="F22" s="112" t="n">
        <v>0</v>
      </c>
      <c r="G22" s="112" t="n">
        <v>135748.02</v>
      </c>
      <c r="I22" s="112" t="n">
        <f aca="false">IF(MONTH($A22)=MONTH($A21),IF(G22=0,I21,G22),0)</f>
        <v>135748.02</v>
      </c>
      <c r="J22" s="112" t="n">
        <f aca="false">IF(MONTH($A22)=MONTH($A21),SUM(I22-I21),I22)</f>
        <v>1046.82999999999</v>
      </c>
      <c r="K22" s="112" t="n">
        <f aca="false">IF(WEEKDAY(A22,3)&gt;4,0,(IF(A22&lt;K$2,0,IF(A22&lt;=K$3,1,0))))</f>
        <v>0</v>
      </c>
      <c r="L22" s="112" t="n">
        <f aca="false">J22*K22</f>
        <v>0</v>
      </c>
      <c r="M22" s="112" t="n">
        <f aca="false">SUM(J$6:J22)</f>
        <v>135748.02</v>
      </c>
      <c r="N22" s="112" t="n">
        <f aca="false">SUM(J$6:J22)</f>
        <v>135748.02</v>
      </c>
      <c r="P22" s="112" t="n">
        <f aca="false">D22/P$3</f>
        <v>-0.054285</v>
      </c>
      <c r="Q22" s="112" t="n">
        <f aca="false">E22/P$3</f>
        <v>0.054285</v>
      </c>
      <c r="R22" s="112" t="n">
        <f aca="false">F22/R$3</f>
        <v>0</v>
      </c>
      <c r="S22" s="114" t="n">
        <f aca="false">J22/$R$3</f>
        <v>1.04682999999999</v>
      </c>
      <c r="T22" s="114" t="n">
        <f aca="false">L22/$R$3</f>
        <v>0</v>
      </c>
      <c r="U22" s="114" t="n">
        <f aca="false">I22/$R$3</f>
        <v>135.74802</v>
      </c>
      <c r="V22" s="114" t="n">
        <f aca="false">M22/$R$3</f>
        <v>135.74802</v>
      </c>
      <c r="W22" s="114" t="n">
        <f aca="false">N22/$R$3</f>
        <v>135.74802</v>
      </c>
    </row>
    <row r="23" customFormat="false" ht="12.75" hidden="true" customHeight="false" outlineLevel="0" collapsed="false">
      <c r="A23" s="108" t="n">
        <f aca="false">A22+1</f>
        <v>36909</v>
      </c>
      <c r="B23" s="119" t="str">
        <f aca="false">INDEX('Master Data'!$A$2:$B$8,MATCH(WEEKDAY('EZE Power Trading'!A23,3),'Master Data'!$A$2:$A$8,0),2)</f>
        <v>Th</v>
      </c>
      <c r="D23" s="112" t="n">
        <v>-52126</v>
      </c>
      <c r="E23" s="112" t="n">
        <v>52126</v>
      </c>
      <c r="F23" s="112" t="n">
        <v>0</v>
      </c>
      <c r="G23" s="112" t="n">
        <v>144166.83</v>
      </c>
      <c r="I23" s="112" t="n">
        <f aca="false">IF(MONTH($A23)=MONTH($A22),IF(G23=0,I22,G23),0)</f>
        <v>144166.83</v>
      </c>
      <c r="J23" s="112" t="n">
        <f aca="false">IF(MONTH($A23)=MONTH($A22),SUM(I23-I22),I23)</f>
        <v>8418.81</v>
      </c>
      <c r="K23" s="112" t="n">
        <f aca="false">IF(WEEKDAY(A23,3)&gt;4,0,(IF(A23&lt;K$2,0,IF(A23&lt;=K$3,1,0))))</f>
        <v>0</v>
      </c>
      <c r="L23" s="112" t="n">
        <f aca="false">J23*K23</f>
        <v>0</v>
      </c>
      <c r="M23" s="112" t="n">
        <f aca="false">SUM(J$6:J23)</f>
        <v>144166.83</v>
      </c>
      <c r="N23" s="112" t="n">
        <f aca="false">SUM(J$6:J23)</f>
        <v>144166.83</v>
      </c>
      <c r="P23" s="112" t="n">
        <f aca="false">D23/P$3</f>
        <v>-0.052126</v>
      </c>
      <c r="Q23" s="112" t="n">
        <f aca="false">E23/P$3</f>
        <v>0.052126</v>
      </c>
      <c r="R23" s="112" t="n">
        <f aca="false">F23/R$3</f>
        <v>0</v>
      </c>
      <c r="S23" s="114" t="n">
        <f aca="false">J23/$R$3</f>
        <v>8.41881</v>
      </c>
      <c r="T23" s="114" t="n">
        <f aca="false">L23/$R$3</f>
        <v>0</v>
      </c>
      <c r="U23" s="114" t="n">
        <f aca="false">I23/$R$3</f>
        <v>144.16683</v>
      </c>
      <c r="V23" s="114" t="n">
        <f aca="false">M23/$R$3</f>
        <v>144.16683</v>
      </c>
      <c r="W23" s="114" t="n">
        <f aca="false">N23/$R$3</f>
        <v>144.16683</v>
      </c>
    </row>
    <row r="24" customFormat="false" ht="12.75" hidden="true" customHeight="false" outlineLevel="0" collapsed="false">
      <c r="A24" s="108" t="n">
        <f aca="false">A23+1</f>
        <v>36910</v>
      </c>
      <c r="B24" s="119" t="str">
        <f aca="false">INDEX('Master Data'!$A$2:$B$8,MATCH(WEEKDAY('EZE Power Trading'!A24,3),'Master Data'!$A$2:$A$8,0),2)</f>
        <v>F</v>
      </c>
      <c r="D24" s="112" t="n">
        <v>-49966</v>
      </c>
      <c r="E24" s="112" t="n">
        <v>49966</v>
      </c>
      <c r="F24" s="112" t="n">
        <v>0</v>
      </c>
      <c r="G24" s="112" t="n">
        <v>148868.45</v>
      </c>
      <c r="I24" s="112" t="n">
        <f aca="false">IF(MONTH($A24)=MONTH($A23),IF(G24=0,I23,G24),0)</f>
        <v>148868.45</v>
      </c>
      <c r="J24" s="112" t="n">
        <f aca="false">IF(MONTH($A24)=MONTH($A23),SUM(I24-I23),I24)</f>
        <v>4701.62000000002</v>
      </c>
      <c r="K24" s="112" t="n">
        <f aca="false">IF(WEEKDAY(A24,3)&gt;4,0,(IF(A24&lt;K$2,0,IF(A24&lt;=K$3,1,0))))</f>
        <v>0</v>
      </c>
      <c r="L24" s="112" t="n">
        <f aca="false">J24*K24</f>
        <v>0</v>
      </c>
      <c r="M24" s="112" t="n">
        <f aca="false">SUM(J$6:J24)</f>
        <v>148868.45</v>
      </c>
      <c r="N24" s="112" t="n">
        <f aca="false">SUM(J$6:J24)</f>
        <v>148868.45</v>
      </c>
      <c r="P24" s="112" t="n">
        <f aca="false">D24/P$3</f>
        <v>-0.049966</v>
      </c>
      <c r="Q24" s="112" t="n">
        <f aca="false">E24/P$3</f>
        <v>0.049966</v>
      </c>
      <c r="R24" s="112" t="n">
        <f aca="false">F24/R$3</f>
        <v>0</v>
      </c>
      <c r="S24" s="114" t="n">
        <f aca="false">J24/$R$3</f>
        <v>4.70162000000002</v>
      </c>
      <c r="T24" s="114" t="n">
        <f aca="false">L24/$R$3</f>
        <v>0</v>
      </c>
      <c r="U24" s="114" t="n">
        <f aca="false">I24/$R$3</f>
        <v>148.86845</v>
      </c>
      <c r="V24" s="114" t="n">
        <f aca="false">M24/$R$3</f>
        <v>148.86845</v>
      </c>
      <c r="W24" s="114" t="n">
        <f aca="false">N24/$R$3</f>
        <v>148.86845</v>
      </c>
    </row>
    <row r="25" customFormat="false" ht="12.75" hidden="true" customHeight="false" outlineLevel="0" collapsed="false">
      <c r="A25" s="108" t="n">
        <f aca="false">A24+1</f>
        <v>36911</v>
      </c>
      <c r="B25" s="119" t="str">
        <f aca="false">INDEX('Master Data'!$A$2:$B$8,MATCH(WEEKDAY('EZE Power Trading'!A25,3),'Master Data'!$A$2:$A$8,0),2)</f>
        <v>Sa</v>
      </c>
      <c r="D25" s="112" t="n">
        <v>0</v>
      </c>
      <c r="E25" s="112" t="n">
        <v>0</v>
      </c>
      <c r="F25" s="112" t="n">
        <v>0</v>
      </c>
      <c r="G25" s="112" t="n">
        <v>0</v>
      </c>
      <c r="I25" s="112" t="n">
        <f aca="false">IF(MONTH($A25)=MONTH($A24),IF(G25=0,I24,G25),0)</f>
        <v>148868.45</v>
      </c>
      <c r="J25" s="112" t="n">
        <f aca="false">IF(MONTH($A25)=MONTH($A24),SUM(I25-I24),I25)</f>
        <v>0</v>
      </c>
      <c r="K25" s="112" t="n">
        <f aca="false">IF(WEEKDAY(A25,3)&gt;4,0,(IF(A25&lt;K$2,0,IF(A25&lt;=K$3,1,0))))</f>
        <v>0</v>
      </c>
      <c r="L25" s="112" t="n">
        <f aca="false">J25*K25</f>
        <v>0</v>
      </c>
      <c r="M25" s="112" t="n">
        <f aca="false">SUM(J$6:J25)</f>
        <v>148868.45</v>
      </c>
      <c r="N25" s="112" t="n">
        <f aca="false">SUM(J$6:J25)</f>
        <v>148868.45</v>
      </c>
      <c r="P25" s="112" t="n">
        <f aca="false">D25/P$3</f>
        <v>0</v>
      </c>
      <c r="Q25" s="112" t="n">
        <f aca="false">E25/P$3</f>
        <v>0</v>
      </c>
      <c r="R25" s="112" t="n">
        <f aca="false">F25/R$3</f>
        <v>0</v>
      </c>
      <c r="S25" s="114" t="n">
        <f aca="false">J25/$R$3</f>
        <v>0</v>
      </c>
      <c r="T25" s="114" t="n">
        <f aca="false">L25/$R$3</f>
        <v>0</v>
      </c>
      <c r="U25" s="114" t="n">
        <f aca="false">I25/$R$3</f>
        <v>148.86845</v>
      </c>
      <c r="V25" s="114" t="n">
        <f aca="false">M25/$R$3</f>
        <v>148.86845</v>
      </c>
      <c r="W25" s="114" t="n">
        <f aca="false">N25/$R$3</f>
        <v>148.86845</v>
      </c>
    </row>
    <row r="26" customFormat="false" ht="12.75" hidden="true" customHeight="false" outlineLevel="0" collapsed="false">
      <c r="A26" s="108" t="n">
        <f aca="false">A25+1</f>
        <v>36912</v>
      </c>
      <c r="B26" s="119" t="str">
        <f aca="false">INDEX('Master Data'!$A$2:$B$8,MATCH(WEEKDAY('EZE Power Trading'!A26,3),'Master Data'!$A$2:$A$8,0),2)</f>
        <v>Su</v>
      </c>
      <c r="D26" s="112" t="n">
        <v>0</v>
      </c>
      <c r="E26" s="112" t="n">
        <v>0</v>
      </c>
      <c r="F26" s="112" t="n">
        <v>0</v>
      </c>
      <c r="G26" s="112" t="n">
        <v>0</v>
      </c>
      <c r="I26" s="112" t="n">
        <f aca="false">IF(MONTH($A26)=MONTH($A25),IF(G26=0,I25,G26),0)</f>
        <v>148868.45</v>
      </c>
      <c r="J26" s="112" t="n">
        <f aca="false">IF(MONTH($A26)=MONTH($A25),SUM(I26-I25),I26)</f>
        <v>0</v>
      </c>
      <c r="K26" s="112" t="n">
        <f aca="false">IF(WEEKDAY(A26,3)&gt;4,0,(IF(A26&lt;K$2,0,IF(A26&lt;=K$3,1,0))))</f>
        <v>0</v>
      </c>
      <c r="L26" s="112" t="n">
        <f aca="false">J26*K26</f>
        <v>0</v>
      </c>
      <c r="M26" s="112" t="n">
        <f aca="false">SUM(J$6:J26)</f>
        <v>148868.45</v>
      </c>
      <c r="N26" s="112" t="n">
        <f aca="false">SUM(J$6:J26)</f>
        <v>148868.45</v>
      </c>
      <c r="P26" s="112" t="n">
        <f aca="false">D26/P$3</f>
        <v>0</v>
      </c>
      <c r="Q26" s="112" t="n">
        <f aca="false">E26/P$3</f>
        <v>0</v>
      </c>
      <c r="R26" s="112" t="n">
        <f aca="false">F26/R$3</f>
        <v>0</v>
      </c>
      <c r="S26" s="114" t="n">
        <f aca="false">J26/$R$3</f>
        <v>0</v>
      </c>
      <c r="T26" s="114" t="n">
        <f aca="false">L26/$R$3</f>
        <v>0</v>
      </c>
      <c r="U26" s="114" t="n">
        <f aca="false">I26/$R$3</f>
        <v>148.86845</v>
      </c>
      <c r="V26" s="114" t="n">
        <f aca="false">M26/$R$3</f>
        <v>148.86845</v>
      </c>
      <c r="W26" s="114" t="n">
        <f aca="false">N26/$R$3</f>
        <v>148.86845</v>
      </c>
    </row>
    <row r="27" customFormat="false" ht="12.75" hidden="true" customHeight="false" outlineLevel="0" collapsed="false">
      <c r="A27" s="108" t="n">
        <f aca="false">A26+1</f>
        <v>36913</v>
      </c>
      <c r="B27" s="119" t="str">
        <f aca="false">INDEX('Master Data'!$A$2:$B$8,MATCH(WEEKDAY('EZE Power Trading'!A27,3),'Master Data'!$A$2:$A$8,0),2)</f>
        <v>M</v>
      </c>
      <c r="D27" s="112" t="n">
        <v>-44381</v>
      </c>
      <c r="E27" s="112" t="n">
        <v>44381</v>
      </c>
      <c r="F27" s="112" t="n">
        <v>0</v>
      </c>
      <c r="G27" s="112" t="n">
        <v>173407.8</v>
      </c>
      <c r="I27" s="112" t="n">
        <f aca="false">IF(MONTH($A27)=MONTH($A26),IF(G27=0,I26,G27),0)</f>
        <v>173407.8</v>
      </c>
      <c r="J27" s="112" t="n">
        <f aca="false">IF(MONTH($A27)=MONTH($A26),SUM(I27-I26),I27)</f>
        <v>24539.35</v>
      </c>
      <c r="K27" s="112" t="n">
        <f aca="false">IF(WEEKDAY(A27,3)&gt;4,0,(IF(A27&lt;K$2,0,IF(A27&lt;=K$3,1,0))))</f>
        <v>0</v>
      </c>
      <c r="L27" s="112" t="n">
        <f aca="false">J27*K27</f>
        <v>0</v>
      </c>
      <c r="M27" s="112" t="n">
        <f aca="false">SUM(J$6:J27)</f>
        <v>173407.8</v>
      </c>
      <c r="N27" s="112" t="n">
        <f aca="false">SUM(J$6:J27)</f>
        <v>173407.8</v>
      </c>
      <c r="P27" s="112" t="n">
        <f aca="false">D27/P$3</f>
        <v>-0.044381</v>
      </c>
      <c r="Q27" s="112" t="n">
        <f aca="false">E27/P$3</f>
        <v>0.044381</v>
      </c>
      <c r="R27" s="112" t="n">
        <f aca="false">F27/R$3</f>
        <v>0</v>
      </c>
      <c r="S27" s="114" t="n">
        <f aca="false">J27/$R$3</f>
        <v>24.53935</v>
      </c>
      <c r="T27" s="114" t="n">
        <f aca="false">L27/$R$3</f>
        <v>0</v>
      </c>
      <c r="U27" s="114" t="n">
        <f aca="false">I27/$R$3</f>
        <v>173.4078</v>
      </c>
      <c r="V27" s="114" t="n">
        <f aca="false">M27/$R$3</f>
        <v>173.4078</v>
      </c>
      <c r="W27" s="114" t="n">
        <f aca="false">N27/$R$3</f>
        <v>173.4078</v>
      </c>
    </row>
    <row r="28" customFormat="false" ht="12.75" hidden="true" customHeight="false" outlineLevel="0" collapsed="false">
      <c r="A28" s="108" t="n">
        <f aca="false">A27+1</f>
        <v>36914</v>
      </c>
      <c r="B28" s="119" t="str">
        <f aca="false">INDEX('Master Data'!$A$2:$B$8,MATCH(WEEKDAY('EZE Power Trading'!A28,3),'Master Data'!$A$2:$A$8,0),2)</f>
        <v>T</v>
      </c>
      <c r="D28" s="112" t="n">
        <v>-41508</v>
      </c>
      <c r="E28" s="112" t="n">
        <v>41508</v>
      </c>
      <c r="F28" s="112" t="n">
        <v>0</v>
      </c>
      <c r="G28" s="112" t="n">
        <v>181265.06</v>
      </c>
      <c r="I28" s="112" t="n">
        <f aca="false">IF(MONTH($A28)=MONTH($A27),IF(G28=0,I27,G28),0)</f>
        <v>181265.06</v>
      </c>
      <c r="J28" s="112" t="n">
        <f aca="false">IF(MONTH($A28)=MONTH($A27),SUM(I28-I27),I28)</f>
        <v>7857.26000000001</v>
      </c>
      <c r="K28" s="112" t="n">
        <f aca="false">IF(WEEKDAY(A28,3)&gt;4,0,(IF(A28&lt;K$2,0,IF(A28&lt;=K$3,1,0))))</f>
        <v>0</v>
      </c>
      <c r="L28" s="112" t="n">
        <f aca="false">J28*K28</f>
        <v>0</v>
      </c>
      <c r="M28" s="112" t="n">
        <f aca="false">SUM(J$6:J28)</f>
        <v>181265.06</v>
      </c>
      <c r="N28" s="112" t="n">
        <f aca="false">SUM(J$6:J28)</f>
        <v>181265.06</v>
      </c>
      <c r="P28" s="112" t="n">
        <f aca="false">D28/P$3</f>
        <v>-0.041508</v>
      </c>
      <c r="Q28" s="112" t="n">
        <f aca="false">E28/P$3</f>
        <v>0.041508</v>
      </c>
      <c r="R28" s="112" t="n">
        <f aca="false">F28/R$3</f>
        <v>0</v>
      </c>
      <c r="S28" s="114" t="n">
        <f aca="false">J28/$R$3</f>
        <v>7.85726000000001</v>
      </c>
      <c r="T28" s="114" t="n">
        <f aca="false">L28/$R$3</f>
        <v>0</v>
      </c>
      <c r="U28" s="114" t="n">
        <f aca="false">I28/$R$3</f>
        <v>181.26506</v>
      </c>
      <c r="V28" s="114" t="n">
        <f aca="false">M28/$R$3</f>
        <v>181.26506</v>
      </c>
      <c r="W28" s="114" t="n">
        <f aca="false">N28/$R$3</f>
        <v>181.26506</v>
      </c>
    </row>
    <row r="29" customFormat="false" ht="12.75" hidden="true" customHeight="false" outlineLevel="0" collapsed="false">
      <c r="A29" s="108" t="n">
        <f aca="false">A28+1</f>
        <v>36915</v>
      </c>
      <c r="B29" s="119" t="str">
        <f aca="false">INDEX('Master Data'!$A$2:$B$8,MATCH(WEEKDAY('EZE Power Trading'!A29,3),'Master Data'!$A$2:$A$8,0),2)</f>
        <v>W</v>
      </c>
      <c r="D29" s="112" t="n">
        <v>-39337</v>
      </c>
      <c r="E29" s="112" t="n">
        <v>39337</v>
      </c>
      <c r="F29" s="112" t="n">
        <v>0</v>
      </c>
      <c r="G29" s="112" t="n">
        <v>168420.16</v>
      </c>
      <c r="I29" s="112" t="n">
        <f aca="false">IF(MONTH($A29)=MONTH($A28),IF(G29=0,I28,G29),0)</f>
        <v>168420.16</v>
      </c>
      <c r="J29" s="112" t="n">
        <f aca="false">IF(MONTH($A29)=MONTH($A28),SUM(I29-I28),I29)</f>
        <v>-12844.9</v>
      </c>
      <c r="K29" s="112" t="n">
        <f aca="false">IF(WEEKDAY(A29,3)&gt;4,0,(IF(A29&lt;K$2,0,IF(A29&lt;=K$3,1,0))))</f>
        <v>0</v>
      </c>
      <c r="L29" s="112" t="n">
        <f aca="false">J29*K29</f>
        <v>-0</v>
      </c>
      <c r="M29" s="112" t="n">
        <f aca="false">SUM(J$6:J29)</f>
        <v>168420.16</v>
      </c>
      <c r="N29" s="112" t="n">
        <f aca="false">SUM(J$6:J29)</f>
        <v>168420.16</v>
      </c>
      <c r="P29" s="112" t="n">
        <f aca="false">D29/P$3</f>
        <v>-0.039337</v>
      </c>
      <c r="Q29" s="112" t="n">
        <f aca="false">E29/P$3</f>
        <v>0.039337</v>
      </c>
      <c r="R29" s="112" t="n">
        <f aca="false">F29/R$3</f>
        <v>0</v>
      </c>
      <c r="S29" s="114" t="n">
        <f aca="false">J29/$R$3</f>
        <v>-12.8449</v>
      </c>
      <c r="T29" s="114" t="n">
        <f aca="false">L29/$R$3</f>
        <v>-0</v>
      </c>
      <c r="U29" s="114" t="n">
        <f aca="false">I29/$R$3</f>
        <v>168.42016</v>
      </c>
      <c r="V29" s="114" t="n">
        <f aca="false">M29/$R$3</f>
        <v>168.42016</v>
      </c>
      <c r="W29" s="114" t="n">
        <f aca="false">N29/$R$3</f>
        <v>168.42016</v>
      </c>
    </row>
    <row r="30" customFormat="false" ht="12.75" hidden="true" customHeight="false" outlineLevel="0" collapsed="false">
      <c r="A30" s="108" t="n">
        <f aca="false">A29+1</f>
        <v>36916</v>
      </c>
      <c r="B30" s="119" t="str">
        <f aca="false">INDEX('Master Data'!$A$2:$B$8,MATCH(WEEKDAY('EZE Power Trading'!A30,3),'Master Data'!$A$2:$A$8,0),2)</f>
        <v>Th</v>
      </c>
      <c r="D30" s="112" t="n">
        <v>-37167</v>
      </c>
      <c r="E30" s="112" t="n">
        <v>37167</v>
      </c>
      <c r="F30" s="112" t="n">
        <v>0</v>
      </c>
      <c r="G30" s="112" t="n">
        <v>173151.43</v>
      </c>
      <c r="I30" s="112" t="n">
        <f aca="false">IF(MONTH($A30)=MONTH($A29),IF(G30=0,I29,G30),0)</f>
        <v>173151.43</v>
      </c>
      <c r="J30" s="112" t="n">
        <f aca="false">IF(MONTH($A30)=MONTH($A29),SUM(I30-I29),I30)</f>
        <v>4731.26999999999</v>
      </c>
      <c r="K30" s="112" t="n">
        <f aca="false">IF(WEEKDAY(A30,3)&gt;4,0,(IF(A30&lt;K$2,0,IF(A30&lt;=K$3,1,0))))</f>
        <v>0</v>
      </c>
      <c r="L30" s="112" t="n">
        <f aca="false">J30*K30</f>
        <v>0</v>
      </c>
      <c r="M30" s="112" t="n">
        <f aca="false">SUM(J$6:J30)</f>
        <v>173151.43</v>
      </c>
      <c r="N30" s="112" t="n">
        <f aca="false">SUM(J$6:J30)</f>
        <v>173151.43</v>
      </c>
      <c r="P30" s="112" t="n">
        <f aca="false">D30/P$3</f>
        <v>-0.037167</v>
      </c>
      <c r="Q30" s="112" t="n">
        <f aca="false">E30/P$3</f>
        <v>0.037167</v>
      </c>
      <c r="R30" s="112" t="n">
        <f aca="false">F30/R$3</f>
        <v>0</v>
      </c>
      <c r="S30" s="114" t="n">
        <f aca="false">J30/$R$3</f>
        <v>4.73126999999999</v>
      </c>
      <c r="T30" s="114" t="n">
        <f aca="false">L30/$R$3</f>
        <v>0</v>
      </c>
      <c r="U30" s="114" t="n">
        <f aca="false">I30/$R$3</f>
        <v>173.15143</v>
      </c>
      <c r="V30" s="114" t="n">
        <f aca="false">M30/$R$3</f>
        <v>173.15143</v>
      </c>
      <c r="W30" s="114" t="n">
        <f aca="false">N30/$R$3</f>
        <v>173.15143</v>
      </c>
    </row>
    <row r="31" customFormat="false" ht="12.75" hidden="true" customHeight="false" outlineLevel="0" collapsed="false">
      <c r="A31" s="108" t="n">
        <f aca="false">A30+1</f>
        <v>36917</v>
      </c>
      <c r="B31" s="119" t="str">
        <f aca="false">INDEX('Master Data'!$A$2:$B$8,MATCH(WEEKDAY('EZE Power Trading'!A31,3),'Master Data'!$A$2:$A$8,0),2)</f>
        <v>F</v>
      </c>
      <c r="D31" s="112" t="n">
        <v>-34999</v>
      </c>
      <c r="E31" s="112" t="n">
        <v>34999</v>
      </c>
      <c r="F31" s="112" t="n">
        <v>0</v>
      </c>
      <c r="G31" s="112" t="n">
        <v>182879.99</v>
      </c>
      <c r="I31" s="112" t="n">
        <f aca="false">IF(MONTH($A31)=MONTH($A30),IF(G31=0,I30,G31),0)</f>
        <v>182879.99</v>
      </c>
      <c r="J31" s="112" t="n">
        <f aca="false">IF(MONTH($A31)=MONTH($A30),SUM(I31-I30),I31)</f>
        <v>9728.56</v>
      </c>
      <c r="K31" s="112" t="n">
        <f aca="false">IF(WEEKDAY(A31,3)&gt;4,0,(IF(A31&lt;K$2,0,IF(A31&lt;=K$3,1,0))))</f>
        <v>0</v>
      </c>
      <c r="L31" s="112" t="n">
        <f aca="false">J31*K31</f>
        <v>0</v>
      </c>
      <c r="M31" s="112" t="n">
        <f aca="false">SUM(J$6:J31)</f>
        <v>182879.99</v>
      </c>
      <c r="N31" s="112" t="n">
        <f aca="false">SUM(J$6:J31)</f>
        <v>182879.99</v>
      </c>
      <c r="P31" s="112" t="n">
        <f aca="false">D31/P$3</f>
        <v>-0.034999</v>
      </c>
      <c r="Q31" s="112" t="n">
        <f aca="false">E31/P$3</f>
        <v>0.034999</v>
      </c>
      <c r="R31" s="112" t="n">
        <f aca="false">F31/R$3</f>
        <v>0</v>
      </c>
      <c r="S31" s="114" t="n">
        <f aca="false">J31/$R$3</f>
        <v>9.72856</v>
      </c>
      <c r="T31" s="114" t="n">
        <f aca="false">L31/$R$3</f>
        <v>0</v>
      </c>
      <c r="U31" s="114" t="n">
        <f aca="false">I31/$R$3</f>
        <v>182.87999</v>
      </c>
      <c r="V31" s="114" t="n">
        <f aca="false">M31/$R$3</f>
        <v>182.87999</v>
      </c>
      <c r="W31" s="114" t="n">
        <f aca="false">N31/$R$3</f>
        <v>182.87999</v>
      </c>
    </row>
    <row r="32" customFormat="false" ht="12.75" hidden="true" customHeight="false" outlineLevel="0" collapsed="false">
      <c r="A32" s="108" t="n">
        <f aca="false">A31+1</f>
        <v>36918</v>
      </c>
      <c r="B32" s="119" t="str">
        <f aca="false">INDEX('Master Data'!$A$2:$B$8,MATCH(WEEKDAY('EZE Power Trading'!A32,3),'Master Data'!$A$2:$A$8,0),2)</f>
        <v>Sa</v>
      </c>
      <c r="D32" s="112" t="n">
        <v>0</v>
      </c>
      <c r="E32" s="112" t="n">
        <v>0</v>
      </c>
      <c r="F32" s="112" t="n">
        <v>0</v>
      </c>
      <c r="G32" s="112" t="n">
        <v>0</v>
      </c>
      <c r="I32" s="112" t="n">
        <f aca="false">IF(MONTH($A32)=MONTH($A31),IF(G32=0,I31,G32),0)</f>
        <v>182879.99</v>
      </c>
      <c r="J32" s="112" t="n">
        <f aca="false">IF(MONTH($A32)=MONTH($A31),SUM(I32-I31),I32)</f>
        <v>0</v>
      </c>
      <c r="K32" s="112" t="n">
        <f aca="false">IF(WEEKDAY(A32,3)&gt;4,0,(IF(A32&lt;K$2,0,IF(A32&lt;=K$3,1,0))))</f>
        <v>0</v>
      </c>
      <c r="L32" s="112" t="n">
        <f aca="false">J32*K32</f>
        <v>0</v>
      </c>
      <c r="M32" s="112" t="n">
        <f aca="false">SUM(J$6:J32)</f>
        <v>182879.99</v>
      </c>
      <c r="N32" s="112" t="n">
        <f aca="false">SUM(J$6:J32)</f>
        <v>182879.99</v>
      </c>
      <c r="P32" s="112" t="n">
        <f aca="false">D32/P$3</f>
        <v>0</v>
      </c>
      <c r="Q32" s="112" t="n">
        <f aca="false">E32/P$3</f>
        <v>0</v>
      </c>
      <c r="R32" s="112" t="n">
        <f aca="false">F32/R$3</f>
        <v>0</v>
      </c>
      <c r="S32" s="114" t="n">
        <f aca="false">J32/$R$3</f>
        <v>0</v>
      </c>
      <c r="T32" s="114" t="n">
        <f aca="false">L32/$R$3</f>
        <v>0</v>
      </c>
      <c r="U32" s="114" t="n">
        <f aca="false">I32/$R$3</f>
        <v>182.87999</v>
      </c>
      <c r="V32" s="114" t="n">
        <f aca="false">M32/$R$3</f>
        <v>182.87999</v>
      </c>
      <c r="W32" s="114" t="n">
        <f aca="false">N32/$R$3</f>
        <v>182.87999</v>
      </c>
    </row>
    <row r="33" customFormat="false" ht="12.75" hidden="true" customHeight="false" outlineLevel="0" collapsed="false">
      <c r="A33" s="108" t="n">
        <f aca="false">A32+1</f>
        <v>36919</v>
      </c>
      <c r="B33" s="119" t="str">
        <f aca="false">INDEX('Master Data'!$A$2:$B$8,MATCH(WEEKDAY('EZE Power Trading'!A33,3),'Master Data'!$A$2:$A$8,0),2)</f>
        <v>Su</v>
      </c>
      <c r="D33" s="112" t="n">
        <v>0</v>
      </c>
      <c r="E33" s="112" t="n">
        <v>0</v>
      </c>
      <c r="F33" s="112" t="n">
        <v>0</v>
      </c>
      <c r="G33" s="112" t="n">
        <v>0</v>
      </c>
      <c r="I33" s="112" t="n">
        <f aca="false">IF(MONTH($A33)=MONTH($A32),IF(G33=0,I32,G33),0)</f>
        <v>182879.99</v>
      </c>
      <c r="J33" s="112" t="n">
        <f aca="false">IF(MONTH($A33)=MONTH($A32),SUM(I33-I32),I33)</f>
        <v>0</v>
      </c>
      <c r="K33" s="112" t="n">
        <f aca="false">IF(WEEKDAY(A33,3)&gt;4,0,(IF(A33&lt;K$2,0,IF(A33&lt;=K$3,1,0))))</f>
        <v>0</v>
      </c>
      <c r="L33" s="112" t="n">
        <f aca="false">J33*K33</f>
        <v>0</v>
      </c>
      <c r="M33" s="112" t="n">
        <f aca="false">SUM(J$6:J33)</f>
        <v>182879.99</v>
      </c>
      <c r="N33" s="112" t="n">
        <f aca="false">SUM(J$6:J33)</f>
        <v>182879.99</v>
      </c>
      <c r="P33" s="112" t="n">
        <f aca="false">D33/P$3</f>
        <v>0</v>
      </c>
      <c r="Q33" s="112" t="n">
        <f aca="false">E33/P$3</f>
        <v>0</v>
      </c>
      <c r="R33" s="112" t="n">
        <f aca="false">F33/R$3</f>
        <v>0</v>
      </c>
      <c r="S33" s="114" t="n">
        <f aca="false">J33/$R$3</f>
        <v>0</v>
      </c>
      <c r="T33" s="114" t="n">
        <f aca="false">L33/$R$3</f>
        <v>0</v>
      </c>
      <c r="U33" s="114" t="n">
        <f aca="false">I33/$R$3</f>
        <v>182.87999</v>
      </c>
      <c r="V33" s="114" t="n">
        <f aca="false">M33/$R$3</f>
        <v>182.87999</v>
      </c>
      <c r="W33" s="114" t="n">
        <f aca="false">N33/$R$3</f>
        <v>182.87999</v>
      </c>
    </row>
    <row r="34" customFormat="false" ht="12.75" hidden="true" customHeight="false" outlineLevel="0" collapsed="false">
      <c r="A34" s="108" t="n">
        <f aca="false">A33+1</f>
        <v>36920</v>
      </c>
      <c r="B34" s="119" t="str">
        <f aca="false">INDEX('Master Data'!$A$2:$B$8,MATCH(WEEKDAY('EZE Power Trading'!A34,3),'Master Data'!$A$2:$A$8,0),2)</f>
        <v>M</v>
      </c>
      <c r="D34" s="112" t="n">
        <v>-28683</v>
      </c>
      <c r="E34" s="112" t="n">
        <v>28683</v>
      </c>
      <c r="F34" s="112" t="n">
        <v>0</v>
      </c>
      <c r="G34" s="112" t="n">
        <v>198286.2</v>
      </c>
      <c r="I34" s="112" t="n">
        <f aca="false">IF(MONTH($A34)=MONTH($A33),IF(G34=0,I33,G34),0)</f>
        <v>198286.2</v>
      </c>
      <c r="J34" s="112" t="n">
        <f aca="false">IF(MONTH($A34)=MONTH($A33),SUM(I34-I33),I34)</f>
        <v>15406.21</v>
      </c>
      <c r="K34" s="112" t="n">
        <f aca="false">IF(WEEKDAY(A34,3)&gt;4,0,(IF(A34&lt;K$2,0,IF(A34&lt;=K$3,1,0))))</f>
        <v>0</v>
      </c>
      <c r="L34" s="112" t="n">
        <f aca="false">J34*K34</f>
        <v>0</v>
      </c>
      <c r="M34" s="112" t="n">
        <f aca="false">SUM(J$6:J34)</f>
        <v>198286.2</v>
      </c>
      <c r="N34" s="112" t="n">
        <f aca="false">SUM(J$6:J34)</f>
        <v>198286.2</v>
      </c>
      <c r="P34" s="112" t="n">
        <f aca="false">D34/P$3</f>
        <v>-0.028683</v>
      </c>
      <c r="Q34" s="112" t="n">
        <f aca="false">E34/P$3</f>
        <v>0.028683</v>
      </c>
      <c r="R34" s="112" t="n">
        <f aca="false">F34/R$3</f>
        <v>0</v>
      </c>
      <c r="S34" s="114" t="n">
        <f aca="false">J34/$R$3</f>
        <v>15.40621</v>
      </c>
      <c r="T34" s="114" t="n">
        <f aca="false">L34/$R$3</f>
        <v>0</v>
      </c>
      <c r="U34" s="114" t="n">
        <f aca="false">I34/$R$3</f>
        <v>198.2862</v>
      </c>
      <c r="V34" s="114" t="n">
        <f aca="false">M34/$R$3</f>
        <v>198.2862</v>
      </c>
      <c r="W34" s="114" t="n">
        <f aca="false">N34/$R$3</f>
        <v>198.2862</v>
      </c>
    </row>
    <row r="35" customFormat="false" ht="12.75" hidden="true" customHeight="false" outlineLevel="0" collapsed="false">
      <c r="A35" s="108" t="n">
        <f aca="false">A34+1</f>
        <v>36921</v>
      </c>
      <c r="B35" s="119" t="str">
        <f aca="false">INDEX('Master Data'!$A$2:$B$8,MATCH(WEEKDAY('EZE Power Trading'!A35,3),'Master Data'!$A$2:$A$8,0),2)</f>
        <v>T</v>
      </c>
      <c r="D35" s="112" t="n">
        <v>-26512</v>
      </c>
      <c r="E35" s="112" t="n">
        <v>26512</v>
      </c>
      <c r="F35" s="112" t="n">
        <v>0</v>
      </c>
      <c r="G35" s="112" t="n">
        <v>200559.01</v>
      </c>
      <c r="I35" s="112" t="n">
        <f aca="false">IF(MONTH($A35)=MONTH($A34),IF(G35=0,I34,G35),0)</f>
        <v>200559.01</v>
      </c>
      <c r="J35" s="112" t="n">
        <f aca="false">IF(MONTH($A35)=MONTH($A34),SUM(I35-I34),I35)</f>
        <v>2272.81</v>
      </c>
      <c r="K35" s="112" t="n">
        <f aca="false">IF(WEEKDAY(A35,3)&gt;4,0,(IF(A35&lt;K$2,0,IF(A35&lt;=K$3,1,0))))</f>
        <v>0</v>
      </c>
      <c r="L35" s="112" t="n">
        <f aca="false">J35*K35</f>
        <v>0</v>
      </c>
      <c r="M35" s="112" t="n">
        <f aca="false">SUM(J$6:J35)</f>
        <v>200559.01</v>
      </c>
      <c r="N35" s="112" t="n">
        <f aca="false">SUM(J$6:J35)</f>
        <v>200559.01</v>
      </c>
      <c r="P35" s="112" t="n">
        <f aca="false">D35/P$3</f>
        <v>-0.026512</v>
      </c>
      <c r="Q35" s="112" t="n">
        <f aca="false">E35/P$3</f>
        <v>0.026512</v>
      </c>
      <c r="R35" s="112" t="n">
        <f aca="false">F35/R$3</f>
        <v>0</v>
      </c>
      <c r="S35" s="114" t="n">
        <f aca="false">J35/$R$3</f>
        <v>2.27281</v>
      </c>
      <c r="T35" s="114" t="n">
        <f aca="false">L35/$R$3</f>
        <v>0</v>
      </c>
      <c r="U35" s="114" t="n">
        <f aca="false">I35/$R$3</f>
        <v>200.55901</v>
      </c>
      <c r="V35" s="114" t="n">
        <f aca="false">M35/$R$3</f>
        <v>200.55901</v>
      </c>
      <c r="W35" s="114" t="n">
        <f aca="false">N35/$R$3</f>
        <v>200.55901</v>
      </c>
    </row>
    <row r="36" customFormat="false" ht="12.75" hidden="false" customHeight="false" outlineLevel="0" collapsed="false">
      <c r="A36" s="108" t="n">
        <f aca="false">A35+1</f>
        <v>36922</v>
      </c>
      <c r="B36" s="119" t="str">
        <f aca="false">INDEX('Master Data'!$A$2:$B$8,MATCH(WEEKDAY('EZE Power Trading'!A36,3),'Master Data'!$A$2:$A$8,0),2)</f>
        <v>W</v>
      </c>
      <c r="D36" s="112" t="n">
        <v>-24348</v>
      </c>
      <c r="E36" s="112" t="n">
        <v>24348</v>
      </c>
      <c r="F36" s="112" t="n">
        <v>0</v>
      </c>
      <c r="G36" s="112" t="n">
        <v>169715.092719893</v>
      </c>
      <c r="I36" s="112" t="n">
        <f aca="false">IF(MONTH($A36)=MONTH($A35),IF(G36=0,I35,G36),0)</f>
        <v>169715.092719893</v>
      </c>
      <c r="J36" s="112" t="n">
        <f aca="false">IF(MONTH($A36)=MONTH($A35),SUM(I36-I35),I36)</f>
        <v>-30843.917280107</v>
      </c>
      <c r="K36" s="112" t="n">
        <f aca="false">IF(WEEKDAY(A36,3)&gt;4,0,(IF(A36&lt;K$2,0,IF(A36&lt;=K$3,1,0))))</f>
        <v>0</v>
      </c>
      <c r="L36" s="112" t="n">
        <f aca="false">J36*K36</f>
        <v>-0</v>
      </c>
      <c r="M36" s="112" t="n">
        <f aca="false">SUM(J$6:J36)</f>
        <v>169715.092719893</v>
      </c>
      <c r="N36" s="112" t="n">
        <f aca="false">SUM(J$6:J36)</f>
        <v>169715.092719893</v>
      </c>
      <c r="P36" s="112" t="n">
        <f aca="false">D36/P$3</f>
        <v>-0.024348</v>
      </c>
      <c r="Q36" s="112" t="n">
        <f aca="false">E36/P$3</f>
        <v>0.024348</v>
      </c>
      <c r="R36" s="112" t="n">
        <f aca="false">F36/R$3</f>
        <v>0</v>
      </c>
      <c r="S36" s="114" t="n">
        <f aca="false">J36/$R$3</f>
        <v>-30.843917280107</v>
      </c>
      <c r="T36" s="114" t="n">
        <f aca="false">L36/$R$3</f>
        <v>-0</v>
      </c>
      <c r="U36" s="114" t="n">
        <f aca="false">I36/$R$3</f>
        <v>169.715092719893</v>
      </c>
      <c r="V36" s="114" t="n">
        <f aca="false">M36/$R$3</f>
        <v>169.715092719893</v>
      </c>
      <c r="W36" s="114" t="n">
        <f aca="false">N36/$R$3</f>
        <v>169.715092719893</v>
      </c>
    </row>
    <row r="37" customFormat="false" ht="12.75" hidden="true" customHeight="false" outlineLevel="0" collapsed="false">
      <c r="A37" s="108" t="n">
        <f aca="false">A36+1</f>
        <v>36923</v>
      </c>
      <c r="B37" s="119" t="str">
        <f aca="false">INDEX('Master Data'!$A$2:$B$8,MATCH(WEEKDAY('EZE Power Trading'!A37,3),'Master Data'!$A$2:$A$8,0),2)</f>
        <v>Th</v>
      </c>
      <c r="D37" s="112" t="n">
        <v>-24202</v>
      </c>
      <c r="E37" s="112" t="n">
        <v>24202</v>
      </c>
      <c r="F37" s="112" t="n">
        <v>0</v>
      </c>
      <c r="G37" s="112" t="n">
        <v>-17.29</v>
      </c>
      <c r="I37" s="112" t="n">
        <f aca="false">IF(MONTH($A37)=MONTH($A36),IF(G37=0,I36,G37),G37)</f>
        <v>-17.29</v>
      </c>
      <c r="J37" s="112" t="n">
        <f aca="false">IF(MONTH($A37)=MONTH($A36),SUM(I37-I36),I37)</f>
        <v>-17.29</v>
      </c>
      <c r="K37" s="112" t="n">
        <f aca="false">IF(WEEKDAY(A37,3)&gt;4,0,(IF(A37&lt;K$2,0,IF(A37&lt;=K$3,1,0))))</f>
        <v>0</v>
      </c>
      <c r="L37" s="112" t="n">
        <f aca="false">J37*K37</f>
        <v>-0</v>
      </c>
      <c r="M37" s="112" t="n">
        <f aca="false">SUM(J$6:J37)</f>
        <v>169697.802719893</v>
      </c>
      <c r="N37" s="112" t="n">
        <f aca="false">SUM(J$6:J37)</f>
        <v>169697.802719893</v>
      </c>
      <c r="P37" s="112" t="n">
        <f aca="false">D37/P$3</f>
        <v>-0.024202</v>
      </c>
      <c r="Q37" s="112" t="n">
        <f aca="false">E37/P$3</f>
        <v>0.024202</v>
      </c>
      <c r="R37" s="112" t="n">
        <f aca="false">F37/R$3</f>
        <v>0</v>
      </c>
      <c r="S37" s="114" t="n">
        <f aca="false">J37/$R$3</f>
        <v>-0.01729</v>
      </c>
      <c r="T37" s="114" t="n">
        <f aca="false">L37/$R$3</f>
        <v>-0</v>
      </c>
      <c r="U37" s="114" t="n">
        <f aca="false">I37/$R$3</f>
        <v>-0.01729</v>
      </c>
      <c r="V37" s="114" t="n">
        <f aca="false">M37/$R$3</f>
        <v>169.697802719893</v>
      </c>
      <c r="W37" s="114" t="n">
        <f aca="false">N37/$R$3</f>
        <v>169.697802719893</v>
      </c>
    </row>
    <row r="38" customFormat="false" ht="12.75" hidden="true" customHeight="false" outlineLevel="0" collapsed="false">
      <c r="A38" s="108" t="n">
        <f aca="false">A37+1</f>
        <v>36924</v>
      </c>
      <c r="B38" s="119" t="str">
        <f aca="false">INDEX('Master Data'!$A$2:$B$8,MATCH(WEEKDAY('EZE Power Trading'!A38,3),'Master Data'!$A$2:$A$8,0),2)</f>
        <v>F</v>
      </c>
      <c r="D38" s="112" t="n">
        <v>-24050</v>
      </c>
      <c r="E38" s="112" t="n">
        <v>24050</v>
      </c>
      <c r="F38" s="112" t="n">
        <v>0</v>
      </c>
      <c r="G38" s="112" t="n">
        <v>1147.07</v>
      </c>
      <c r="I38" s="112" t="n">
        <f aca="false">IF(MONTH($A38)=MONTH($A37),IF(G38=0,I37,G38),G38)</f>
        <v>1147.07</v>
      </c>
      <c r="J38" s="112" t="n">
        <f aca="false">IF(MONTH($A38)=MONTH($A37),SUM(I38-I37),I38)</f>
        <v>1164.36</v>
      </c>
      <c r="K38" s="112" t="n">
        <f aca="false">IF(WEEKDAY(A38,3)&gt;4,0,(IF(A38&lt;K$2,0,IF(A38&lt;=K$3,1,0))))</f>
        <v>0</v>
      </c>
      <c r="L38" s="112" t="n">
        <f aca="false">J38*K38</f>
        <v>0</v>
      </c>
      <c r="M38" s="112" t="n">
        <f aca="false">SUM(J$6:J38)</f>
        <v>170862.162719893</v>
      </c>
      <c r="N38" s="112" t="n">
        <f aca="false">SUM(J$6:J38)</f>
        <v>170862.162719893</v>
      </c>
      <c r="P38" s="112" t="n">
        <f aca="false">D38/P$3</f>
        <v>-0.02405</v>
      </c>
      <c r="Q38" s="112" t="n">
        <f aca="false">E38/P$3</f>
        <v>0.02405</v>
      </c>
      <c r="R38" s="112" t="n">
        <f aca="false">F38/R$3</f>
        <v>0</v>
      </c>
      <c r="S38" s="114" t="n">
        <f aca="false">J38/$R$3</f>
        <v>1.16436</v>
      </c>
      <c r="T38" s="114" t="n">
        <f aca="false">L38/$R$3</f>
        <v>0</v>
      </c>
      <c r="U38" s="114" t="n">
        <f aca="false">I38/$R$3</f>
        <v>1.14707</v>
      </c>
      <c r="V38" s="114" t="n">
        <f aca="false">M38/$R$3</f>
        <v>170.862162719893</v>
      </c>
      <c r="W38" s="114" t="n">
        <f aca="false">N38/$R$3</f>
        <v>170.862162719893</v>
      </c>
    </row>
    <row r="39" customFormat="false" ht="12.75" hidden="true" customHeight="false" outlineLevel="0" collapsed="false">
      <c r="A39" s="108" t="n">
        <f aca="false">A38+1</f>
        <v>36925</v>
      </c>
      <c r="B39" s="119" t="str">
        <f aca="false">INDEX('Master Data'!$A$2:$B$8,MATCH(WEEKDAY('EZE Power Trading'!A39,3),'Master Data'!$A$2:$A$8,0),2)</f>
        <v>Sa</v>
      </c>
      <c r="D39" s="112" t="n">
        <v>0</v>
      </c>
      <c r="E39" s="112" t="n">
        <v>0</v>
      </c>
      <c r="F39" s="112" t="n">
        <v>0</v>
      </c>
      <c r="G39" s="112" t="n">
        <v>0</v>
      </c>
      <c r="I39" s="112" t="n">
        <f aca="false">IF(MONTH($A39)=MONTH($A38),IF(G39=0,I38,G39),G39)</f>
        <v>1147.07</v>
      </c>
      <c r="J39" s="112" t="n">
        <f aca="false">IF(MONTH($A39)=MONTH($A38),SUM(I39-I38),I39)</f>
        <v>0</v>
      </c>
      <c r="K39" s="112" t="n">
        <f aca="false">IF(WEEKDAY(A39,3)&gt;4,0,(IF(A39&lt;K$2,0,IF(A39&lt;=K$3,1,0))))</f>
        <v>0</v>
      </c>
      <c r="L39" s="112" t="n">
        <f aca="false">J39*K39</f>
        <v>0</v>
      </c>
      <c r="M39" s="112" t="n">
        <f aca="false">SUM(J$6:J39)</f>
        <v>170862.162719893</v>
      </c>
      <c r="N39" s="112" t="n">
        <f aca="false">SUM(J$6:J39)</f>
        <v>170862.162719893</v>
      </c>
      <c r="P39" s="112" t="n">
        <f aca="false">D39/P$3</f>
        <v>0</v>
      </c>
      <c r="Q39" s="112" t="n">
        <f aca="false">E39/P$3</f>
        <v>0</v>
      </c>
      <c r="R39" s="112" t="n">
        <f aca="false">F39/R$3</f>
        <v>0</v>
      </c>
      <c r="S39" s="114" t="n">
        <f aca="false">J39/$R$3</f>
        <v>0</v>
      </c>
      <c r="T39" s="114" t="n">
        <f aca="false">L39/$R$3</f>
        <v>0</v>
      </c>
      <c r="U39" s="114" t="n">
        <f aca="false">I39/$R$3</f>
        <v>1.14707</v>
      </c>
      <c r="V39" s="114" t="n">
        <f aca="false">M39/$R$3</f>
        <v>170.862162719893</v>
      </c>
      <c r="W39" s="114" t="n">
        <f aca="false">N39/$R$3</f>
        <v>170.862162719893</v>
      </c>
    </row>
    <row r="40" customFormat="false" ht="12.75" hidden="true" customHeight="false" outlineLevel="0" collapsed="false">
      <c r="A40" s="108" t="n">
        <f aca="false">A39+1</f>
        <v>36926</v>
      </c>
      <c r="B40" s="119" t="str">
        <f aca="false">INDEX('Master Data'!$A$2:$B$8,MATCH(WEEKDAY('EZE Power Trading'!A40,3),'Master Data'!$A$2:$A$8,0),2)</f>
        <v>Su</v>
      </c>
      <c r="D40" s="112" t="n">
        <v>0</v>
      </c>
      <c r="E40" s="112" t="n">
        <v>0</v>
      </c>
      <c r="F40" s="112" t="n">
        <v>0</v>
      </c>
      <c r="G40" s="112" t="n">
        <v>0</v>
      </c>
      <c r="I40" s="112" t="n">
        <f aca="false">IF(MONTH($A40)=MONTH($A39),IF(G40=0,I39,G40),G40)</f>
        <v>1147.07</v>
      </c>
      <c r="J40" s="112" t="n">
        <f aca="false">IF(MONTH($A40)=MONTH($A39),SUM(I40-I39),I40)</f>
        <v>0</v>
      </c>
      <c r="K40" s="112" t="n">
        <f aca="false">IF(WEEKDAY(A40,3)&gt;4,0,(IF(A40&lt;K$2,0,IF(A40&lt;=K$3,1,0))))</f>
        <v>0</v>
      </c>
      <c r="L40" s="112" t="n">
        <f aca="false">J40*K40</f>
        <v>0</v>
      </c>
      <c r="M40" s="112" t="n">
        <f aca="false">SUM(J$6:J40)</f>
        <v>170862.162719893</v>
      </c>
      <c r="N40" s="112" t="n">
        <f aca="false">SUM(J$6:J40)</f>
        <v>170862.162719893</v>
      </c>
      <c r="P40" s="112" t="n">
        <f aca="false">D40/P$3</f>
        <v>0</v>
      </c>
      <c r="Q40" s="112" t="n">
        <f aca="false">E40/P$3</f>
        <v>0</v>
      </c>
      <c r="R40" s="112" t="n">
        <f aca="false">F40/R$3</f>
        <v>0</v>
      </c>
      <c r="S40" s="114" t="n">
        <f aca="false">J40/$R$3</f>
        <v>0</v>
      </c>
      <c r="T40" s="114" t="n">
        <f aca="false">L40/$R$3</f>
        <v>0</v>
      </c>
      <c r="U40" s="114" t="n">
        <f aca="false">I40/$R$3</f>
        <v>1.14707</v>
      </c>
      <c r="V40" s="114" t="n">
        <f aca="false">M40/$R$3</f>
        <v>170.862162719893</v>
      </c>
      <c r="W40" s="114" t="n">
        <f aca="false">N40/$R$3</f>
        <v>170.862162719893</v>
      </c>
    </row>
    <row r="41" customFormat="false" ht="12.75" hidden="true" customHeight="false" outlineLevel="0" collapsed="false">
      <c r="A41" s="108" t="n">
        <f aca="false">A40+1</f>
        <v>36927</v>
      </c>
      <c r="B41" s="119" t="str">
        <f aca="false">INDEX('Master Data'!$A$2:$B$8,MATCH(WEEKDAY('EZE Power Trading'!A41,3),'Master Data'!$A$2:$A$8,0),2)</f>
        <v>M</v>
      </c>
      <c r="D41" s="112" t="n">
        <v>-23752</v>
      </c>
      <c r="E41" s="112" t="n">
        <v>23752</v>
      </c>
      <c r="F41" s="112" t="n">
        <v>0</v>
      </c>
      <c r="G41" s="112" t="n">
        <v>2463.2</v>
      </c>
      <c r="I41" s="112" t="n">
        <f aca="false">IF(MONTH($A41)=MONTH($A40),IF(G41=0,I40,G41),G41)</f>
        <v>2463.2</v>
      </c>
      <c r="J41" s="112" t="n">
        <f aca="false">IF(MONTH($A41)=MONTH($A40),SUM(I41-I40),I41)</f>
        <v>1316.13</v>
      </c>
      <c r="K41" s="112" t="n">
        <f aca="false">IF(WEEKDAY(A41,3)&gt;4,0,(IF(A41&lt;K$2,0,IF(A41&lt;=K$3,1,0))))</f>
        <v>0</v>
      </c>
      <c r="L41" s="112" t="n">
        <f aca="false">J41*K41</f>
        <v>0</v>
      </c>
      <c r="M41" s="112" t="n">
        <f aca="false">SUM(J$6:J41)</f>
        <v>172178.292719893</v>
      </c>
      <c r="N41" s="112" t="n">
        <f aca="false">SUM(J$6:J41)</f>
        <v>172178.292719893</v>
      </c>
      <c r="P41" s="112" t="n">
        <f aca="false">D41/P$3</f>
        <v>-0.023752</v>
      </c>
      <c r="Q41" s="112" t="n">
        <f aca="false">E41/P$3</f>
        <v>0.023752</v>
      </c>
      <c r="R41" s="112" t="n">
        <f aca="false">F41/R$3</f>
        <v>0</v>
      </c>
      <c r="S41" s="114" t="n">
        <f aca="false">J41/$R$3</f>
        <v>1.31613</v>
      </c>
      <c r="T41" s="114" t="n">
        <f aca="false">L41/$R$3</f>
        <v>0</v>
      </c>
      <c r="U41" s="114" t="n">
        <f aca="false">I41/$R$3</f>
        <v>2.4632</v>
      </c>
      <c r="V41" s="114" t="n">
        <f aca="false">M41/$R$3</f>
        <v>172.178292719893</v>
      </c>
      <c r="W41" s="114" t="n">
        <f aca="false">N41/$R$3</f>
        <v>172.178292719893</v>
      </c>
    </row>
    <row r="42" customFormat="false" ht="12.75" hidden="true" customHeight="false" outlineLevel="0" collapsed="false">
      <c r="A42" s="108" t="n">
        <f aca="false">A41+1</f>
        <v>36928</v>
      </c>
      <c r="B42" s="119" t="str">
        <f aca="false">INDEX('Master Data'!$A$2:$B$8,MATCH(WEEKDAY('EZE Power Trading'!A42,3),'Master Data'!$A$2:$A$8,0),2)</f>
        <v>T</v>
      </c>
      <c r="D42" s="112" t="n">
        <v>-23599</v>
      </c>
      <c r="E42" s="112" t="n">
        <v>23599</v>
      </c>
      <c r="F42" s="112" t="n">
        <v>0</v>
      </c>
      <c r="G42" s="112" t="n">
        <v>2904.43</v>
      </c>
      <c r="I42" s="112" t="n">
        <f aca="false">IF(MONTH($A42)=MONTH($A41),IF(G42=0,I41,G42),G42)</f>
        <v>2904.43</v>
      </c>
      <c r="J42" s="112" t="n">
        <f aca="false">IF(MONTH($A42)=MONTH($A41),SUM(I42-I41),I42)</f>
        <v>441.23</v>
      </c>
      <c r="K42" s="112" t="n">
        <f aca="false">IF(WEEKDAY(A42,3)&gt;4,0,(IF(A42&lt;K$2,0,IF(A42&lt;=K$3,1,0))))</f>
        <v>0</v>
      </c>
      <c r="L42" s="112" t="n">
        <f aca="false">J42*K42</f>
        <v>0</v>
      </c>
      <c r="M42" s="112" t="n">
        <f aca="false">SUM(J$6:J42)</f>
        <v>172619.522719893</v>
      </c>
      <c r="N42" s="112" t="n">
        <f aca="false">SUM(J$6:J42)</f>
        <v>172619.522719893</v>
      </c>
      <c r="P42" s="112" t="n">
        <f aca="false">D42/P$3</f>
        <v>-0.023599</v>
      </c>
      <c r="Q42" s="112" t="n">
        <f aca="false">E42/P$3</f>
        <v>0.023599</v>
      </c>
      <c r="R42" s="112" t="n">
        <f aca="false">F42/R$3</f>
        <v>0</v>
      </c>
      <c r="S42" s="114" t="n">
        <f aca="false">J42/$R$3</f>
        <v>0.44123</v>
      </c>
      <c r="T42" s="114" t="n">
        <f aca="false">L42/$R$3</f>
        <v>0</v>
      </c>
      <c r="U42" s="114" t="n">
        <f aca="false">I42/$R$3</f>
        <v>2.90443</v>
      </c>
      <c r="V42" s="114" t="n">
        <f aca="false">M42/$R$3</f>
        <v>172.619522719893</v>
      </c>
      <c r="W42" s="114" t="n">
        <f aca="false">N42/$R$3</f>
        <v>172.619522719893</v>
      </c>
    </row>
    <row r="43" customFormat="false" ht="12.75" hidden="true" customHeight="false" outlineLevel="0" collapsed="false">
      <c r="A43" s="108" t="n">
        <f aca="false">A42+1</f>
        <v>36929</v>
      </c>
      <c r="B43" s="119" t="str">
        <f aca="false">INDEX('Master Data'!$A$2:$B$8,MATCH(WEEKDAY('EZE Power Trading'!A43,3),'Master Data'!$A$2:$A$8,0),2)</f>
        <v>W</v>
      </c>
      <c r="D43" s="112" t="n">
        <v>-23445</v>
      </c>
      <c r="E43" s="112" t="n">
        <v>23445</v>
      </c>
      <c r="F43" s="112" t="n">
        <v>0</v>
      </c>
      <c r="G43" s="112" t="n">
        <v>2361.07</v>
      </c>
      <c r="I43" s="112" t="n">
        <f aca="false">IF(MONTH($A43)=MONTH($A42),IF(G43=0,I42,G43),G43)</f>
        <v>2361.07</v>
      </c>
      <c r="J43" s="112" t="n">
        <f aca="false">IF(MONTH($A43)=MONTH($A42),SUM(I43-I42),I43)</f>
        <v>-543.36</v>
      </c>
      <c r="K43" s="112" t="n">
        <f aca="false">IF(WEEKDAY(A43,3)&gt;4,0,(IF(A43&lt;K$2,0,IF(A43&lt;=K$3,1,0))))</f>
        <v>0</v>
      </c>
      <c r="L43" s="112" t="n">
        <f aca="false">J43*K43</f>
        <v>-0</v>
      </c>
      <c r="M43" s="112" t="n">
        <f aca="false">SUM(J$6:J43)</f>
        <v>172076.162719893</v>
      </c>
      <c r="N43" s="112" t="n">
        <f aca="false">SUM(J$6:J43)</f>
        <v>172076.162719893</v>
      </c>
      <c r="P43" s="112" t="n">
        <f aca="false">D43/P$3</f>
        <v>-0.023445</v>
      </c>
      <c r="Q43" s="112" t="n">
        <f aca="false">E43/P$3</f>
        <v>0.023445</v>
      </c>
      <c r="R43" s="112" t="n">
        <f aca="false">F43/R$3</f>
        <v>0</v>
      </c>
      <c r="S43" s="114" t="n">
        <f aca="false">J43/$R$3</f>
        <v>-0.54336</v>
      </c>
      <c r="T43" s="114" t="n">
        <f aca="false">L43/$R$3</f>
        <v>-0</v>
      </c>
      <c r="U43" s="114" t="n">
        <f aca="false">I43/$R$3</f>
        <v>2.36107</v>
      </c>
      <c r="V43" s="114" t="n">
        <f aca="false">M43/$R$3</f>
        <v>172.076162719893</v>
      </c>
      <c r="W43" s="114" t="n">
        <f aca="false">N43/$R$3</f>
        <v>172.076162719893</v>
      </c>
    </row>
    <row r="44" customFormat="false" ht="12.75" hidden="true" customHeight="false" outlineLevel="0" collapsed="false">
      <c r="A44" s="108" t="n">
        <f aca="false">A43+1</f>
        <v>36930</v>
      </c>
      <c r="B44" s="119" t="str">
        <f aca="false">INDEX('Master Data'!$A$2:$B$8,MATCH(WEEKDAY('EZE Power Trading'!A44,3),'Master Data'!$A$2:$A$8,0),2)</f>
        <v>Th</v>
      </c>
      <c r="D44" s="112" t="n">
        <v>-23293</v>
      </c>
      <c r="E44" s="112" t="n">
        <v>23293</v>
      </c>
      <c r="F44" s="112" t="n">
        <v>0</v>
      </c>
      <c r="G44" s="112" t="n">
        <v>2749.57</v>
      </c>
      <c r="I44" s="112" t="n">
        <f aca="false">IF(MONTH($A44)=MONTH($A43),IF(G44=0,I43,G44),G44)</f>
        <v>2749.57</v>
      </c>
      <c r="J44" s="112" t="n">
        <f aca="false">IF(MONTH($A44)=MONTH($A43),SUM(I44-I43),I44)</f>
        <v>388.5</v>
      </c>
      <c r="K44" s="112" t="n">
        <f aca="false">IF(WEEKDAY(A44,3)&gt;4,0,(IF(A44&lt;K$2,0,IF(A44&lt;=K$3,1,0))))</f>
        <v>0</v>
      </c>
      <c r="L44" s="112" t="n">
        <f aca="false">J44*K44</f>
        <v>0</v>
      </c>
      <c r="M44" s="112" t="n">
        <f aca="false">SUM(J$6:J44)</f>
        <v>172464.662719893</v>
      </c>
      <c r="N44" s="112" t="n">
        <f aca="false">SUM(J$6:J44)</f>
        <v>172464.662719893</v>
      </c>
      <c r="P44" s="112" t="n">
        <f aca="false">D44/P$3</f>
        <v>-0.023293</v>
      </c>
      <c r="Q44" s="112" t="n">
        <f aca="false">E44/P$3</f>
        <v>0.023293</v>
      </c>
      <c r="R44" s="112" t="n">
        <f aca="false">F44/R$3</f>
        <v>0</v>
      </c>
      <c r="S44" s="114" t="n">
        <f aca="false">J44/$R$3</f>
        <v>0.3885</v>
      </c>
      <c r="T44" s="114" t="n">
        <f aca="false">L44/$R$3</f>
        <v>0</v>
      </c>
      <c r="U44" s="114" t="n">
        <f aca="false">I44/$R$3</f>
        <v>2.74957</v>
      </c>
      <c r="V44" s="114" t="n">
        <f aca="false">M44/$R$3</f>
        <v>172.464662719893</v>
      </c>
      <c r="W44" s="114" t="n">
        <f aca="false">N44/$R$3</f>
        <v>172.464662719893</v>
      </c>
    </row>
    <row r="45" customFormat="false" ht="12.75" hidden="true" customHeight="false" outlineLevel="0" collapsed="false">
      <c r="A45" s="108" t="n">
        <f aca="false">A44+1</f>
        <v>36931</v>
      </c>
      <c r="B45" s="119" t="str">
        <f aca="false">INDEX('Master Data'!$A$2:$B$8,MATCH(WEEKDAY('EZE Power Trading'!A45,3),'Master Data'!$A$2:$A$8,0),2)</f>
        <v>F</v>
      </c>
      <c r="D45" s="112" t="n">
        <v>-23139</v>
      </c>
      <c r="E45" s="112" t="n">
        <v>23139</v>
      </c>
      <c r="F45" s="112" t="n">
        <v>0</v>
      </c>
      <c r="G45" s="112" t="n">
        <v>5849.97</v>
      </c>
      <c r="I45" s="112" t="n">
        <f aca="false">IF(MONTH($A45)=MONTH($A44),IF(G45=0,I44,G45),G45)</f>
        <v>5849.97</v>
      </c>
      <c r="J45" s="112" t="n">
        <f aca="false">IF(MONTH($A45)=MONTH($A44),SUM(I45-I44),I45)</f>
        <v>3100.4</v>
      </c>
      <c r="K45" s="112" t="n">
        <f aca="false">IF(WEEKDAY(A45,3)&gt;4,0,(IF(A45&lt;K$2,0,IF(A45&lt;=K$3,1,0))))</f>
        <v>0</v>
      </c>
      <c r="L45" s="112" t="n">
        <f aca="false">J45*K45</f>
        <v>0</v>
      </c>
      <c r="M45" s="112" t="n">
        <f aca="false">SUM(J$6:J45)</f>
        <v>175565.062719893</v>
      </c>
      <c r="N45" s="112" t="n">
        <f aca="false">SUM(J$6:J45)</f>
        <v>175565.062719893</v>
      </c>
      <c r="P45" s="112" t="n">
        <f aca="false">D45/P$3</f>
        <v>-0.023139</v>
      </c>
      <c r="Q45" s="112" t="n">
        <f aca="false">E45/P$3</f>
        <v>0.023139</v>
      </c>
      <c r="R45" s="112" t="n">
        <f aca="false">F45/R$3</f>
        <v>0</v>
      </c>
      <c r="S45" s="114" t="n">
        <f aca="false">J45/$R$3</f>
        <v>3.1004</v>
      </c>
      <c r="T45" s="114" t="n">
        <f aca="false">L45/$R$3</f>
        <v>0</v>
      </c>
      <c r="U45" s="114" t="n">
        <f aca="false">I45/$R$3</f>
        <v>5.84997</v>
      </c>
      <c r="V45" s="114" t="n">
        <f aca="false">M45/$R$3</f>
        <v>175.565062719893</v>
      </c>
      <c r="W45" s="114" t="n">
        <f aca="false">N45/$R$3</f>
        <v>175.565062719893</v>
      </c>
    </row>
    <row r="46" customFormat="false" ht="12.75" hidden="true" customHeight="false" outlineLevel="0" collapsed="false">
      <c r="A46" s="108" t="n">
        <f aca="false">A45+1</f>
        <v>36932</v>
      </c>
      <c r="B46" s="119" t="str">
        <f aca="false">INDEX('Master Data'!$A$2:$B$8,MATCH(WEEKDAY('EZE Power Trading'!A46,3),'Master Data'!$A$2:$A$8,0),2)</f>
        <v>Sa</v>
      </c>
      <c r="D46" s="112" t="n">
        <v>0</v>
      </c>
      <c r="E46" s="112" t="n">
        <v>0</v>
      </c>
      <c r="F46" s="112" t="n">
        <v>0</v>
      </c>
      <c r="G46" s="112" t="n">
        <v>0</v>
      </c>
      <c r="I46" s="112" t="n">
        <f aca="false">IF(MONTH($A46)=MONTH($A45),IF(G46=0,I45,G46),G46)</f>
        <v>5849.97</v>
      </c>
      <c r="J46" s="112" t="n">
        <f aca="false">IF(MONTH($A46)=MONTH($A45),SUM(I46-I45),I46)</f>
        <v>0</v>
      </c>
      <c r="K46" s="112" t="n">
        <f aca="false">IF(WEEKDAY(A46,3)&gt;4,0,(IF(A46&lt;K$2,0,IF(A46&lt;=K$3,1,0))))</f>
        <v>0</v>
      </c>
      <c r="L46" s="112" t="n">
        <f aca="false">J46*K46</f>
        <v>0</v>
      </c>
      <c r="M46" s="112" t="n">
        <f aca="false">SUM(J$6:J46)</f>
        <v>175565.062719893</v>
      </c>
      <c r="N46" s="112" t="n">
        <f aca="false">SUM(J$6:J46)</f>
        <v>175565.062719893</v>
      </c>
      <c r="P46" s="112" t="n">
        <f aca="false">D46/P$3</f>
        <v>0</v>
      </c>
      <c r="Q46" s="112" t="n">
        <f aca="false">E46/P$3</f>
        <v>0</v>
      </c>
      <c r="R46" s="112" t="n">
        <f aca="false">F46/R$3</f>
        <v>0</v>
      </c>
      <c r="S46" s="114" t="n">
        <f aca="false">J46/$R$3</f>
        <v>0</v>
      </c>
      <c r="T46" s="114" t="n">
        <f aca="false">L46/$R$3</f>
        <v>0</v>
      </c>
      <c r="U46" s="114" t="n">
        <f aca="false">I46/$R$3</f>
        <v>5.84997</v>
      </c>
      <c r="V46" s="114" t="n">
        <f aca="false">M46/$R$3</f>
        <v>175.565062719893</v>
      </c>
      <c r="W46" s="114" t="n">
        <f aca="false">N46/$R$3</f>
        <v>175.565062719893</v>
      </c>
    </row>
    <row r="47" customFormat="false" ht="12.75" hidden="true" customHeight="false" outlineLevel="0" collapsed="false">
      <c r="A47" s="108" t="n">
        <f aca="false">A46+1</f>
        <v>36933</v>
      </c>
      <c r="B47" s="119" t="str">
        <f aca="false">INDEX('Master Data'!$A$2:$B$8,MATCH(WEEKDAY('EZE Power Trading'!A47,3),'Master Data'!$A$2:$A$8,0),2)</f>
        <v>Su</v>
      </c>
      <c r="D47" s="112" t="n">
        <v>0</v>
      </c>
      <c r="E47" s="112" t="n">
        <v>0</v>
      </c>
      <c r="F47" s="112" t="n">
        <v>0</v>
      </c>
      <c r="G47" s="112" t="n">
        <v>0</v>
      </c>
      <c r="I47" s="112" t="n">
        <f aca="false">IF(MONTH($A47)=MONTH($A46),IF(G47=0,I46,G47),G47)</f>
        <v>5849.97</v>
      </c>
      <c r="J47" s="112" t="n">
        <f aca="false">IF(MONTH($A47)=MONTH($A46),SUM(I47-I46),I47)</f>
        <v>0</v>
      </c>
      <c r="K47" s="112" t="n">
        <f aca="false">IF(WEEKDAY(A47,3)&gt;4,0,(IF(A47&lt;K$2,0,IF(A47&lt;=K$3,1,0))))</f>
        <v>0</v>
      </c>
      <c r="L47" s="112" t="n">
        <f aca="false">J47*K47</f>
        <v>0</v>
      </c>
      <c r="M47" s="112" t="n">
        <f aca="false">SUM(J$6:J47)</f>
        <v>175565.062719893</v>
      </c>
      <c r="N47" s="112" t="n">
        <f aca="false">SUM(J$6:J47)</f>
        <v>175565.062719893</v>
      </c>
      <c r="P47" s="112" t="n">
        <f aca="false">D47/P$3</f>
        <v>0</v>
      </c>
      <c r="Q47" s="112" t="n">
        <f aca="false">E47/P$3</f>
        <v>0</v>
      </c>
      <c r="R47" s="112" t="n">
        <f aca="false">F47/R$3</f>
        <v>0</v>
      </c>
      <c r="S47" s="114" t="n">
        <f aca="false">J47/$R$3</f>
        <v>0</v>
      </c>
      <c r="T47" s="114" t="n">
        <f aca="false">L47/$R$3</f>
        <v>0</v>
      </c>
      <c r="U47" s="114" t="n">
        <f aca="false">I47/$R$3</f>
        <v>5.84997</v>
      </c>
      <c r="V47" s="114" t="n">
        <f aca="false">M47/$R$3</f>
        <v>175.565062719893</v>
      </c>
      <c r="W47" s="114" t="n">
        <f aca="false">N47/$R$3</f>
        <v>175.565062719893</v>
      </c>
    </row>
    <row r="48" customFormat="false" ht="12.75" hidden="true" customHeight="false" outlineLevel="0" collapsed="false">
      <c r="A48" s="108" t="n">
        <f aca="false">A47+1</f>
        <v>36934</v>
      </c>
      <c r="B48" s="119" t="str">
        <f aca="false">INDEX('Master Data'!$A$2:$B$8,MATCH(WEEKDAY('EZE Power Trading'!A48,3),'Master Data'!$A$2:$A$8,0),2)</f>
        <v>M</v>
      </c>
      <c r="D48" s="112" t="n">
        <v>-22848</v>
      </c>
      <c r="E48" s="112" t="n">
        <v>22848</v>
      </c>
      <c r="F48" s="112" t="n">
        <v>0</v>
      </c>
      <c r="G48" s="112" t="n">
        <v>6282.58</v>
      </c>
      <c r="I48" s="112" t="n">
        <f aca="false">IF(MONTH($A48)=MONTH($A47),IF(G48=0,I47,G48),G48)</f>
        <v>6282.58</v>
      </c>
      <c r="J48" s="112" t="n">
        <f aca="false">IF(MONTH($A48)=MONTH($A47),SUM(I48-I47),I48)</f>
        <v>432.61</v>
      </c>
      <c r="K48" s="112" t="n">
        <f aca="false">IF(WEEKDAY(A48,3)&gt;4,0,(IF(A48&lt;K$2,0,IF(A48&lt;=K$3,1,0))))</f>
        <v>0</v>
      </c>
      <c r="L48" s="112" t="n">
        <f aca="false">J48*K48</f>
        <v>0</v>
      </c>
      <c r="M48" s="112" t="n">
        <f aca="false">SUM(J$6:J48)</f>
        <v>175997.672719893</v>
      </c>
      <c r="N48" s="112" t="n">
        <f aca="false">SUM(J$6:J48)</f>
        <v>175997.672719893</v>
      </c>
      <c r="P48" s="112" t="n">
        <f aca="false">D48/P$3</f>
        <v>-0.022848</v>
      </c>
      <c r="Q48" s="112" t="n">
        <f aca="false">E48/P$3</f>
        <v>0.022848</v>
      </c>
      <c r="R48" s="112" t="n">
        <f aca="false">F48/R$3</f>
        <v>0</v>
      </c>
      <c r="S48" s="114" t="n">
        <f aca="false">J48/$R$3</f>
        <v>0.43261</v>
      </c>
      <c r="T48" s="114" t="n">
        <f aca="false">L48/$R$3</f>
        <v>0</v>
      </c>
      <c r="U48" s="114" t="n">
        <f aca="false">I48/$R$3</f>
        <v>6.28258</v>
      </c>
      <c r="V48" s="114" t="n">
        <f aca="false">M48/$R$3</f>
        <v>175.997672719893</v>
      </c>
      <c r="W48" s="114" t="n">
        <f aca="false">N48/$R$3</f>
        <v>175.997672719893</v>
      </c>
    </row>
    <row r="49" customFormat="false" ht="12.75" hidden="true" customHeight="false" outlineLevel="0" collapsed="false">
      <c r="A49" s="108" t="n">
        <f aca="false">A48+1</f>
        <v>36935</v>
      </c>
      <c r="B49" s="119" t="str">
        <f aca="false">INDEX('Master Data'!$A$2:$B$8,MATCH(WEEKDAY('EZE Power Trading'!A49,3),'Master Data'!$A$2:$A$8,0),2)</f>
        <v>T</v>
      </c>
      <c r="D49" s="112" t="n">
        <v>-22694</v>
      </c>
      <c r="E49" s="112" t="n">
        <v>22694</v>
      </c>
      <c r="F49" s="112" t="n">
        <v>0</v>
      </c>
      <c r="G49" s="112" t="n">
        <v>6925.08</v>
      </c>
      <c r="I49" s="112" t="n">
        <f aca="false">IF(MONTH($A49)=MONTH($A48),IF(G49=0,I48,G49),G49)</f>
        <v>6925.08</v>
      </c>
      <c r="J49" s="112" t="n">
        <f aca="false">IF(MONTH($A49)=MONTH($A48),SUM(I49-I48),I49)</f>
        <v>642.5</v>
      </c>
      <c r="K49" s="112" t="n">
        <f aca="false">IF(WEEKDAY(A49,3)&gt;4,0,(IF(A49&lt;K$2,0,IF(A49&lt;=K$3,1,0))))</f>
        <v>0</v>
      </c>
      <c r="L49" s="112" t="n">
        <f aca="false">J49*K49</f>
        <v>0</v>
      </c>
      <c r="M49" s="112" t="n">
        <f aca="false">SUM(J$6:J49)</f>
        <v>176640.172719893</v>
      </c>
      <c r="N49" s="112" t="n">
        <f aca="false">SUM(J$6:J49)</f>
        <v>176640.172719893</v>
      </c>
      <c r="P49" s="112" t="n">
        <f aca="false">D49/P$3</f>
        <v>-0.022694</v>
      </c>
      <c r="Q49" s="112" t="n">
        <f aca="false">E49/P$3</f>
        <v>0.022694</v>
      </c>
      <c r="R49" s="112" t="n">
        <f aca="false">F49/R$3</f>
        <v>0</v>
      </c>
      <c r="S49" s="114" t="n">
        <f aca="false">J49/$R$3</f>
        <v>0.6425</v>
      </c>
      <c r="T49" s="114" t="n">
        <f aca="false">L49/$R$3</f>
        <v>0</v>
      </c>
      <c r="U49" s="114" t="n">
        <f aca="false">I49/$R$3</f>
        <v>6.92508</v>
      </c>
      <c r="V49" s="114" t="n">
        <f aca="false">M49/$R$3</f>
        <v>176.640172719893</v>
      </c>
      <c r="W49" s="114" t="n">
        <f aca="false">N49/$R$3</f>
        <v>176.640172719893</v>
      </c>
    </row>
    <row r="50" customFormat="false" ht="12.75" hidden="true" customHeight="false" outlineLevel="0" collapsed="false">
      <c r="A50" s="108" t="n">
        <f aca="false">A49+1</f>
        <v>36936</v>
      </c>
      <c r="B50" s="119" t="str">
        <f aca="false">INDEX('Master Data'!$A$2:$B$8,MATCH(WEEKDAY('EZE Power Trading'!A50,3),'Master Data'!$A$2:$A$8,0),2)</f>
        <v>W</v>
      </c>
      <c r="D50" s="112" t="n">
        <v>-225333</v>
      </c>
      <c r="E50" s="112" t="n">
        <v>225333</v>
      </c>
      <c r="F50" s="112" t="n">
        <v>0</v>
      </c>
      <c r="G50" s="112" t="n">
        <v>242806.11</v>
      </c>
      <c r="I50" s="112" t="n">
        <f aca="false">IF(MONTH($A50)=MONTH($A49),IF(G50=0,I49,G50),G50)</f>
        <v>242806.11</v>
      </c>
      <c r="J50" s="112" t="n">
        <f aca="false">IF(MONTH($A50)=MONTH($A49),SUM(I50-I49),I50)</f>
        <v>235881.03</v>
      </c>
      <c r="K50" s="112" t="n">
        <f aca="false">IF(WEEKDAY(A50,3)&gt;4,0,(IF(A50&lt;K$2,0,IF(A50&lt;=K$3,1,0))))</f>
        <v>0</v>
      </c>
      <c r="L50" s="112" t="n">
        <f aca="false">J50*K50</f>
        <v>0</v>
      </c>
      <c r="M50" s="112" t="n">
        <f aca="false">SUM(J$6:J50)</f>
        <v>412521.202719893</v>
      </c>
      <c r="N50" s="112" t="n">
        <f aca="false">SUM(J$6:J50)</f>
        <v>412521.202719893</v>
      </c>
      <c r="P50" s="112" t="n">
        <f aca="false">D50/P$3</f>
        <v>-0.225333</v>
      </c>
      <c r="Q50" s="112" t="n">
        <f aca="false">E50/P$3</f>
        <v>0.225333</v>
      </c>
      <c r="R50" s="112" t="n">
        <f aca="false">F50/R$3</f>
        <v>0</v>
      </c>
      <c r="S50" s="114" t="n">
        <f aca="false">J50/$R$3</f>
        <v>235.88103</v>
      </c>
      <c r="T50" s="114" t="n">
        <f aca="false">L50/$R$3</f>
        <v>0</v>
      </c>
      <c r="U50" s="114" t="n">
        <f aca="false">I50/$R$3</f>
        <v>242.80611</v>
      </c>
      <c r="V50" s="114" t="n">
        <f aca="false">M50/$R$3</f>
        <v>412.521202719893</v>
      </c>
      <c r="W50" s="114" t="n">
        <f aca="false">N50/$R$3</f>
        <v>412.521202719893</v>
      </c>
    </row>
    <row r="51" customFormat="false" ht="12.75" hidden="true" customHeight="false" outlineLevel="0" collapsed="false">
      <c r="A51" s="108" t="n">
        <f aca="false">A50+1</f>
        <v>36937</v>
      </c>
      <c r="B51" s="119" t="str">
        <f aca="false">INDEX('Master Data'!$A$2:$B$8,MATCH(WEEKDAY('EZE Power Trading'!A51,3),'Master Data'!$A$2:$A$8,0),2)</f>
        <v>Th</v>
      </c>
      <c r="D51" s="112" t="n">
        <v>-226706</v>
      </c>
      <c r="E51" s="112" t="n">
        <v>226706</v>
      </c>
      <c r="F51" s="112" t="n">
        <v>0</v>
      </c>
      <c r="G51" s="112" t="n">
        <v>246503.89</v>
      </c>
      <c r="I51" s="112" t="n">
        <f aca="false">IF(MONTH($A51)=MONTH($A50),IF(G51=0,I50,G51),G51)</f>
        <v>246503.89</v>
      </c>
      <c r="J51" s="112" t="n">
        <f aca="false">IF(MONTH($A51)=MONTH($A50),SUM(I51-I50),I51)</f>
        <v>3697.78000000003</v>
      </c>
      <c r="K51" s="112" t="n">
        <f aca="false">IF(WEEKDAY(A51,3)&gt;4,0,(IF(A51&lt;K$2,0,IF(A51&lt;=K$3,1,0))))</f>
        <v>0</v>
      </c>
      <c r="L51" s="112" t="n">
        <f aca="false">J51*K51</f>
        <v>0</v>
      </c>
      <c r="M51" s="112" t="n">
        <f aca="false">SUM(J$6:J51)</f>
        <v>416218.982719893</v>
      </c>
      <c r="N51" s="112" t="n">
        <f aca="false">SUM(J$6:J51)</f>
        <v>416218.982719893</v>
      </c>
      <c r="P51" s="112" t="n">
        <f aca="false">D51/P$3</f>
        <v>-0.226706</v>
      </c>
      <c r="Q51" s="112" t="n">
        <f aca="false">E51/P$3</f>
        <v>0.226706</v>
      </c>
      <c r="R51" s="112" t="n">
        <f aca="false">F51/R$3</f>
        <v>0</v>
      </c>
      <c r="S51" s="114" t="n">
        <f aca="false">J51/$R$3</f>
        <v>3.69778000000003</v>
      </c>
      <c r="T51" s="114" t="n">
        <f aca="false">L51/$R$3</f>
        <v>0</v>
      </c>
      <c r="U51" s="114" t="n">
        <f aca="false">I51/$R$3</f>
        <v>246.50389</v>
      </c>
      <c r="V51" s="114" t="n">
        <f aca="false">M51/$R$3</f>
        <v>416.218982719893</v>
      </c>
      <c r="W51" s="114" t="n">
        <f aca="false">N51/$R$3</f>
        <v>416.218982719893</v>
      </c>
    </row>
    <row r="52" customFormat="false" ht="12.75" hidden="true" customHeight="false" outlineLevel="0" collapsed="false">
      <c r="A52" s="108" t="n">
        <f aca="false">A51+1</f>
        <v>36938</v>
      </c>
      <c r="B52" s="119" t="str">
        <f aca="false">INDEX('Master Data'!$A$2:$B$8,MATCH(WEEKDAY('EZE Power Trading'!A52,3),'Master Data'!$A$2:$A$8,0),2)</f>
        <v>F</v>
      </c>
      <c r="D52" s="112" t="n">
        <v>-225984</v>
      </c>
      <c r="E52" s="112" t="n">
        <v>225984</v>
      </c>
      <c r="F52" s="112" t="n">
        <v>0</v>
      </c>
      <c r="G52" s="112" t="n">
        <v>248293.18</v>
      </c>
      <c r="I52" s="112" t="n">
        <f aca="false">IF(MONTH($A52)=MONTH($A51),IF(G52=0,I51,G52),G52)</f>
        <v>248293.18</v>
      </c>
      <c r="J52" s="112" t="n">
        <f aca="false">IF(MONTH($A52)=MONTH($A51),SUM(I52-I51),I52)</f>
        <v>1789.28999999998</v>
      </c>
      <c r="K52" s="112" t="n">
        <f aca="false">IF(WEEKDAY(A52,3)&gt;4,0,(IF(A52&lt;K$2,0,IF(A52&lt;=K$3,1,0))))</f>
        <v>0</v>
      </c>
      <c r="L52" s="112" t="n">
        <f aca="false">J52*K52</f>
        <v>0</v>
      </c>
      <c r="M52" s="112" t="n">
        <f aca="false">SUM(J$6:J52)</f>
        <v>418008.272719893</v>
      </c>
      <c r="N52" s="112" t="n">
        <f aca="false">SUM(J$6:J52)</f>
        <v>418008.272719893</v>
      </c>
      <c r="P52" s="112" t="n">
        <f aca="false">D52/P$3</f>
        <v>-0.225984</v>
      </c>
      <c r="Q52" s="112" t="n">
        <f aca="false">E52/P$3</f>
        <v>0.225984</v>
      </c>
      <c r="R52" s="112" t="n">
        <f aca="false">F52/R$3</f>
        <v>0</v>
      </c>
      <c r="S52" s="114" t="n">
        <f aca="false">J52/$R$3</f>
        <v>1.78928999999998</v>
      </c>
      <c r="T52" s="114" t="n">
        <f aca="false">L52/$R$3</f>
        <v>0</v>
      </c>
      <c r="U52" s="114" t="n">
        <f aca="false">I52/$R$3</f>
        <v>248.29318</v>
      </c>
      <c r="V52" s="114" t="n">
        <f aca="false">M52/$R$3</f>
        <v>418.008272719893</v>
      </c>
      <c r="W52" s="114" t="n">
        <f aca="false">N52/$R$3</f>
        <v>418.008272719893</v>
      </c>
    </row>
    <row r="53" customFormat="false" ht="12.75" hidden="true" customHeight="false" outlineLevel="0" collapsed="false">
      <c r="A53" s="108" t="n">
        <f aca="false">A52+1</f>
        <v>36939</v>
      </c>
      <c r="B53" s="119" t="str">
        <f aca="false">INDEX('Master Data'!$A$2:$B$8,MATCH(WEEKDAY('EZE Power Trading'!A53,3),'Master Data'!$A$2:$A$8,0),2)</f>
        <v>Sa</v>
      </c>
      <c r="D53" s="112" t="n">
        <v>0</v>
      </c>
      <c r="E53" s="112" t="n">
        <v>0</v>
      </c>
      <c r="F53" s="112" t="n">
        <v>0</v>
      </c>
      <c r="G53" s="112" t="n">
        <v>0</v>
      </c>
      <c r="I53" s="112" t="n">
        <f aca="false">IF(MONTH($A53)=MONTH($A52),IF(G53=0,I52,G53),G53)</f>
        <v>248293.18</v>
      </c>
      <c r="J53" s="112" t="n">
        <f aca="false">IF(MONTH($A53)=MONTH($A52),SUM(I53-I52),I53)</f>
        <v>0</v>
      </c>
      <c r="K53" s="112" t="n">
        <f aca="false">IF(WEEKDAY(A53,3)&gt;4,0,(IF(A53&lt;K$2,0,IF(A53&lt;=K$3,1,0))))</f>
        <v>0</v>
      </c>
      <c r="L53" s="112" t="n">
        <f aca="false">J53*K53</f>
        <v>0</v>
      </c>
      <c r="M53" s="112" t="n">
        <f aca="false">SUM(J$6:J53)</f>
        <v>418008.272719893</v>
      </c>
      <c r="N53" s="112" t="n">
        <f aca="false">SUM(J$6:J53)</f>
        <v>418008.272719893</v>
      </c>
      <c r="P53" s="112" t="n">
        <f aca="false">D53/P$3</f>
        <v>0</v>
      </c>
      <c r="Q53" s="112" t="n">
        <f aca="false">E53/P$3</f>
        <v>0</v>
      </c>
      <c r="R53" s="112" t="n">
        <f aca="false">F53/R$3</f>
        <v>0</v>
      </c>
      <c r="S53" s="114" t="n">
        <f aca="false">J53/$R$3</f>
        <v>0</v>
      </c>
      <c r="T53" s="114" t="n">
        <f aca="false">L53/$R$3</f>
        <v>0</v>
      </c>
      <c r="U53" s="114" t="n">
        <f aca="false">I53/$R$3</f>
        <v>248.29318</v>
      </c>
      <c r="V53" s="114" t="n">
        <f aca="false">M53/$R$3</f>
        <v>418.008272719893</v>
      </c>
      <c r="W53" s="114" t="n">
        <f aca="false">N53/$R$3</f>
        <v>418.008272719893</v>
      </c>
    </row>
    <row r="54" customFormat="false" ht="12.75" hidden="true" customHeight="false" outlineLevel="0" collapsed="false">
      <c r="A54" s="108" t="n">
        <f aca="false">A53+1</f>
        <v>36940</v>
      </c>
      <c r="B54" s="119" t="str">
        <f aca="false">INDEX('Master Data'!$A$2:$B$8,MATCH(WEEKDAY('EZE Power Trading'!A54,3),'Master Data'!$A$2:$A$8,0),2)</f>
        <v>Su</v>
      </c>
      <c r="D54" s="112" t="n">
        <v>0</v>
      </c>
      <c r="E54" s="112" t="n">
        <v>0</v>
      </c>
      <c r="F54" s="112" t="n">
        <v>0</v>
      </c>
      <c r="G54" s="112" t="n">
        <v>0</v>
      </c>
      <c r="I54" s="112" t="n">
        <f aca="false">IF(MONTH($A54)=MONTH($A53),IF(G54=0,I53,G54),G54)</f>
        <v>248293.18</v>
      </c>
      <c r="J54" s="112" t="n">
        <f aca="false">IF(MONTH($A54)=MONTH($A53),SUM(I54-I53),I54)</f>
        <v>0</v>
      </c>
      <c r="K54" s="112" t="n">
        <f aca="false">IF(WEEKDAY(A54,3)&gt;4,0,(IF(A54&lt;K$2,0,IF(A54&lt;=K$3,1,0))))</f>
        <v>0</v>
      </c>
      <c r="L54" s="112" t="n">
        <f aca="false">J54*K54</f>
        <v>0</v>
      </c>
      <c r="M54" s="112" t="n">
        <f aca="false">SUM(J$6:J54)</f>
        <v>418008.272719893</v>
      </c>
      <c r="N54" s="112" t="n">
        <f aca="false">SUM(J$6:J54)</f>
        <v>418008.272719893</v>
      </c>
      <c r="P54" s="112" t="n">
        <f aca="false">D54/P$3</f>
        <v>0</v>
      </c>
      <c r="Q54" s="112" t="n">
        <f aca="false">E54/P$3</f>
        <v>0</v>
      </c>
      <c r="R54" s="112" t="n">
        <f aca="false">F54/R$3</f>
        <v>0</v>
      </c>
      <c r="S54" s="114" t="n">
        <f aca="false">J54/$R$3</f>
        <v>0</v>
      </c>
      <c r="T54" s="114" t="n">
        <f aca="false">L54/$R$3</f>
        <v>0</v>
      </c>
      <c r="U54" s="114" t="n">
        <f aca="false">I54/$R$3</f>
        <v>248.29318</v>
      </c>
      <c r="V54" s="114" t="n">
        <f aca="false">M54/$R$3</f>
        <v>418.008272719893</v>
      </c>
      <c r="W54" s="114" t="n">
        <f aca="false">N54/$R$3</f>
        <v>418.008272719893</v>
      </c>
    </row>
    <row r="55" customFormat="false" ht="12.75" hidden="true" customHeight="false" outlineLevel="0" collapsed="false">
      <c r="A55" s="108" t="n">
        <f aca="false">A54+1</f>
        <v>36941</v>
      </c>
      <c r="B55" s="119" t="str">
        <f aca="false">INDEX('Master Data'!$A$2:$B$8,MATCH(WEEKDAY('EZE Power Trading'!A55,3),'Master Data'!$A$2:$A$8,0),2)</f>
        <v>M</v>
      </c>
      <c r="D55" s="112" t="n">
        <v>0</v>
      </c>
      <c r="E55" s="112" t="n">
        <v>0</v>
      </c>
      <c r="F55" s="112" t="n">
        <v>0</v>
      </c>
      <c r="G55" s="112" t="n">
        <v>0</v>
      </c>
      <c r="I55" s="112" t="n">
        <f aca="false">IF(MONTH($A55)=MONTH($A54),IF(G55=0,I54,G55),G55)</f>
        <v>248293.18</v>
      </c>
      <c r="J55" s="112" t="n">
        <f aca="false">IF(MONTH($A55)=MONTH($A54),SUM(I55-I54),I55)</f>
        <v>0</v>
      </c>
      <c r="K55" s="112" t="n">
        <f aca="false">IF(WEEKDAY(A55,3)&gt;4,0,(IF(A55&lt;K$2,0,IF(A55&lt;=K$3,1,0))))</f>
        <v>0</v>
      </c>
      <c r="L55" s="112" t="n">
        <f aca="false">J55*K55</f>
        <v>0</v>
      </c>
      <c r="M55" s="112" t="n">
        <f aca="false">SUM(J$6:J55)</f>
        <v>418008.272719893</v>
      </c>
      <c r="N55" s="112" t="n">
        <f aca="false">SUM(J$6:J55)</f>
        <v>418008.272719893</v>
      </c>
      <c r="P55" s="112" t="n">
        <f aca="false">D55/P$3</f>
        <v>0</v>
      </c>
      <c r="Q55" s="112" t="n">
        <f aca="false">E55/P$3</f>
        <v>0</v>
      </c>
      <c r="R55" s="112" t="n">
        <f aca="false">F55/R$3</f>
        <v>0</v>
      </c>
      <c r="S55" s="114" t="n">
        <f aca="false">J55/$R$3</f>
        <v>0</v>
      </c>
      <c r="T55" s="114" t="n">
        <f aca="false">L55/$R$3</f>
        <v>0</v>
      </c>
      <c r="U55" s="114" t="n">
        <f aca="false">I55/$R$3</f>
        <v>248.29318</v>
      </c>
      <c r="V55" s="114" t="n">
        <f aca="false">M55/$R$3</f>
        <v>418.008272719893</v>
      </c>
      <c r="W55" s="114" t="n">
        <f aca="false">N55/$R$3</f>
        <v>418.008272719893</v>
      </c>
    </row>
    <row r="56" customFormat="false" ht="12.75" hidden="true" customHeight="false" outlineLevel="0" collapsed="false">
      <c r="A56" s="108" t="n">
        <f aca="false">A55+1</f>
        <v>36942</v>
      </c>
      <c r="B56" s="119" t="str">
        <f aca="false">INDEX('Master Data'!$A$2:$B$8,MATCH(WEEKDAY('EZE Power Trading'!A56,3),'Master Data'!$A$2:$A$8,0),2)</f>
        <v>T</v>
      </c>
      <c r="D56" s="112" t="n">
        <v>-223277</v>
      </c>
      <c r="E56" s="112" t="n">
        <v>223277</v>
      </c>
      <c r="F56" s="112" t="n">
        <v>0</v>
      </c>
      <c r="G56" s="112" t="n">
        <v>255226.89</v>
      </c>
      <c r="I56" s="112" t="n">
        <f aca="false">IF(MONTH($A56)=MONTH($A55),IF(G56=0,I55,G56),G56)</f>
        <v>255226.89</v>
      </c>
      <c r="J56" s="112" t="n">
        <f aca="false">IF(MONTH($A56)=MONTH($A55),SUM(I56-I55),I56)</f>
        <v>6933.71000000002</v>
      </c>
      <c r="K56" s="112" t="n">
        <f aca="false">IF(WEEKDAY(A56,3)&gt;4,0,(IF(A56&lt;K$2,0,IF(A56&lt;=K$3,1,0))))</f>
        <v>0</v>
      </c>
      <c r="L56" s="112" t="n">
        <f aca="false">J56*K56</f>
        <v>0</v>
      </c>
      <c r="M56" s="112" t="n">
        <f aca="false">SUM(J$6:J56)</f>
        <v>424941.982719893</v>
      </c>
      <c r="N56" s="112" t="n">
        <f aca="false">SUM(J$6:J56)</f>
        <v>424941.982719893</v>
      </c>
      <c r="P56" s="112" t="n">
        <f aca="false">D56/P$3</f>
        <v>-0.223277</v>
      </c>
      <c r="Q56" s="112" t="n">
        <f aca="false">E56/P$3</f>
        <v>0.223277</v>
      </c>
      <c r="R56" s="112" t="n">
        <f aca="false">F56/R$3</f>
        <v>0</v>
      </c>
      <c r="S56" s="114" t="n">
        <f aca="false">J56/$R$3</f>
        <v>6.93371000000002</v>
      </c>
      <c r="T56" s="114" t="n">
        <f aca="false">L56/$R$3</f>
        <v>0</v>
      </c>
      <c r="U56" s="114" t="n">
        <f aca="false">I56/$R$3</f>
        <v>255.22689</v>
      </c>
      <c r="V56" s="114" t="n">
        <f aca="false">M56/$R$3</f>
        <v>424.941982719893</v>
      </c>
      <c r="W56" s="114" t="n">
        <f aca="false">N56/$R$3</f>
        <v>424.941982719893</v>
      </c>
    </row>
    <row r="57" customFormat="false" ht="12.75" hidden="true" customHeight="false" outlineLevel="0" collapsed="false">
      <c r="A57" s="108" t="n">
        <f aca="false">A56+1</f>
        <v>36943</v>
      </c>
      <c r="B57" s="119" t="str">
        <f aca="false">INDEX('Master Data'!$A$2:$B$8,MATCH(WEEKDAY('EZE Power Trading'!A57,3),'Master Data'!$A$2:$A$8,0),2)</f>
        <v>W</v>
      </c>
      <c r="D57" s="112" t="n">
        <v>-222553</v>
      </c>
      <c r="E57" s="112" t="n">
        <v>222553</v>
      </c>
      <c r="F57" s="112" t="n">
        <v>0</v>
      </c>
      <c r="G57" s="112" t="n">
        <v>251910.21</v>
      </c>
      <c r="I57" s="112" t="n">
        <f aca="false">IF(MONTH($A57)=MONTH($A56),IF(G57=0,I56,G57),G57)</f>
        <v>251910.21</v>
      </c>
      <c r="J57" s="112" t="n">
        <f aca="false">IF(MONTH($A57)=MONTH($A56),SUM(I57-I56),I57)</f>
        <v>-3316.68000000002</v>
      </c>
      <c r="K57" s="112" t="n">
        <f aca="false">IF(WEEKDAY(A57,3)&gt;4,0,(IF(A57&lt;K$2,0,IF(A57&lt;=K$3,1,0))))</f>
        <v>0</v>
      </c>
      <c r="L57" s="112" t="n">
        <f aca="false">J57*K57</f>
        <v>-0</v>
      </c>
      <c r="M57" s="112" t="n">
        <f aca="false">SUM(J$6:J57)</f>
        <v>421625.302719893</v>
      </c>
      <c r="N57" s="112" t="n">
        <f aca="false">SUM(J$6:J57)</f>
        <v>421625.302719893</v>
      </c>
      <c r="P57" s="112" t="n">
        <f aca="false">D57/P$3</f>
        <v>-0.222553</v>
      </c>
      <c r="Q57" s="112" t="n">
        <f aca="false">E57/P$3</f>
        <v>0.222553</v>
      </c>
      <c r="R57" s="112" t="n">
        <f aca="false">F57/R$3</f>
        <v>0</v>
      </c>
      <c r="S57" s="114" t="n">
        <f aca="false">J57/$R$3</f>
        <v>-3.31668000000002</v>
      </c>
      <c r="T57" s="114" t="n">
        <f aca="false">L57/$R$3</f>
        <v>-0</v>
      </c>
      <c r="U57" s="114" t="n">
        <f aca="false">I57/$R$3</f>
        <v>251.91021</v>
      </c>
      <c r="V57" s="114" t="n">
        <f aca="false">M57/$R$3</f>
        <v>421.625302719893</v>
      </c>
      <c r="W57" s="114" t="n">
        <f aca="false">N57/$R$3</f>
        <v>421.625302719893</v>
      </c>
    </row>
    <row r="58" customFormat="false" ht="12.75" hidden="true" customHeight="false" outlineLevel="0" collapsed="false">
      <c r="A58" s="108" t="n">
        <f aca="false">A57+1</f>
        <v>36944</v>
      </c>
      <c r="B58" s="119" t="str">
        <f aca="false">INDEX('Master Data'!$A$2:$B$8,MATCH(WEEKDAY('EZE Power Trading'!A58,3),'Master Data'!$A$2:$A$8,0),2)</f>
        <v>Th</v>
      </c>
      <c r="D58" s="112" t="n">
        <v>-221878</v>
      </c>
      <c r="E58" s="112" t="n">
        <v>221878</v>
      </c>
      <c r="F58" s="112" t="n">
        <v>0</v>
      </c>
      <c r="G58" s="112" t="n">
        <v>250149.82</v>
      </c>
      <c r="I58" s="112" t="n">
        <f aca="false">IF(MONTH($A58)=MONTH($A57),IF(G58=0,I57,G58),G58)</f>
        <v>250149.82</v>
      </c>
      <c r="J58" s="112" t="n">
        <f aca="false">IF(MONTH($A58)=MONTH($A57),SUM(I58-I57),I58)</f>
        <v>-1760.38999999998</v>
      </c>
      <c r="K58" s="112" t="n">
        <f aca="false">IF(WEEKDAY(A58,3)&gt;4,0,(IF(A58&lt;K$2,0,IF(A58&lt;=K$3,1,0))))</f>
        <v>0</v>
      </c>
      <c r="L58" s="112" t="n">
        <f aca="false">J58*K58</f>
        <v>-0</v>
      </c>
      <c r="M58" s="112" t="n">
        <f aca="false">SUM(J$6:J58)</f>
        <v>419864.912719893</v>
      </c>
      <c r="N58" s="112" t="n">
        <f aca="false">SUM(J$6:J58)</f>
        <v>419864.912719893</v>
      </c>
      <c r="P58" s="112" t="n">
        <f aca="false">D58/P$3</f>
        <v>-0.221878</v>
      </c>
      <c r="Q58" s="112" t="n">
        <f aca="false">E58/P$3</f>
        <v>0.221878</v>
      </c>
      <c r="R58" s="112" t="n">
        <f aca="false">F58/R$3</f>
        <v>0</v>
      </c>
      <c r="S58" s="114" t="n">
        <f aca="false">J58/$R$3</f>
        <v>-1.76038999999998</v>
      </c>
      <c r="T58" s="114" t="n">
        <f aca="false">L58/$R$3</f>
        <v>-0</v>
      </c>
      <c r="U58" s="114" t="n">
        <f aca="false">I58/$R$3</f>
        <v>250.14982</v>
      </c>
      <c r="V58" s="114" t="n">
        <f aca="false">M58/$R$3</f>
        <v>419.864912719893</v>
      </c>
      <c r="W58" s="114" t="n">
        <f aca="false">N58/$R$3</f>
        <v>419.864912719893</v>
      </c>
    </row>
    <row r="59" customFormat="false" ht="12.75" hidden="true" customHeight="false" outlineLevel="0" collapsed="false">
      <c r="A59" s="108" t="n">
        <f aca="false">A58+1</f>
        <v>36945</v>
      </c>
      <c r="B59" s="119" t="str">
        <f aca="false">INDEX('Master Data'!$A$2:$B$8,MATCH(WEEKDAY('EZE Power Trading'!A59,3),'Master Data'!$A$2:$A$8,0),2)</f>
        <v>F</v>
      </c>
      <c r="D59" s="112" t="n">
        <v>-221195</v>
      </c>
      <c r="E59" s="112" t="n">
        <v>221195</v>
      </c>
      <c r="F59" s="112" t="n">
        <v>0</v>
      </c>
      <c r="G59" s="112" t="n">
        <v>250756.39</v>
      </c>
      <c r="I59" s="112" t="n">
        <f aca="false">IF(MONTH($A59)=MONTH($A58),IF(G59=0,I58,G59),G59)</f>
        <v>250756.39</v>
      </c>
      <c r="J59" s="112" t="n">
        <f aca="false">IF(MONTH($A59)=MONTH($A58),SUM(I59-I58),I59)</f>
        <v>606.570000000007</v>
      </c>
      <c r="K59" s="112" t="n">
        <f aca="false">IF(WEEKDAY(A59,3)&gt;4,0,(IF(A59&lt;K$2,0,IF(A59&lt;=K$3,1,0))))</f>
        <v>0</v>
      </c>
      <c r="L59" s="112" t="n">
        <f aca="false">J59*K59</f>
        <v>0</v>
      </c>
      <c r="M59" s="112" t="n">
        <f aca="false">SUM(J$6:J59)</f>
        <v>420471.482719893</v>
      </c>
      <c r="N59" s="112" t="n">
        <f aca="false">SUM(J$6:J59)</f>
        <v>420471.482719893</v>
      </c>
      <c r="P59" s="112" t="n">
        <f aca="false">D59/P$3</f>
        <v>-0.221195</v>
      </c>
      <c r="Q59" s="112" t="n">
        <f aca="false">E59/P$3</f>
        <v>0.221195</v>
      </c>
      <c r="R59" s="112" t="n">
        <f aca="false">F59/R$3</f>
        <v>0</v>
      </c>
      <c r="S59" s="114" t="n">
        <f aca="false">J59/$R$3</f>
        <v>0.606570000000007</v>
      </c>
      <c r="T59" s="114" t="n">
        <f aca="false">L59/$R$3</f>
        <v>0</v>
      </c>
      <c r="U59" s="114" t="n">
        <f aca="false">I59/$R$3</f>
        <v>250.75639</v>
      </c>
      <c r="V59" s="114" t="n">
        <f aca="false">M59/$R$3</f>
        <v>420.471482719893</v>
      </c>
      <c r="W59" s="114" t="n">
        <f aca="false">N59/$R$3</f>
        <v>420.471482719893</v>
      </c>
    </row>
    <row r="60" customFormat="false" ht="12.75" hidden="true" customHeight="false" outlineLevel="0" collapsed="false">
      <c r="A60" s="108" t="n">
        <f aca="false">A59+1</f>
        <v>36946</v>
      </c>
      <c r="B60" s="119" t="str">
        <f aca="false">INDEX('Master Data'!$A$2:$B$8,MATCH(WEEKDAY('EZE Power Trading'!A60,3),'Master Data'!$A$2:$A$8,0),2)</f>
        <v>Sa</v>
      </c>
      <c r="D60" s="112" t="n">
        <v>0</v>
      </c>
      <c r="E60" s="112" t="n">
        <v>0</v>
      </c>
      <c r="F60" s="112" t="n">
        <v>0</v>
      </c>
      <c r="G60" s="112" t="n">
        <v>0</v>
      </c>
      <c r="I60" s="112" t="n">
        <f aca="false">IF(MONTH($A60)=MONTH($A59),IF(G60=0,I59,G60),G60)</f>
        <v>250756.39</v>
      </c>
      <c r="J60" s="112" t="n">
        <f aca="false">IF(MONTH($A60)=MONTH($A59),SUM(I60-I59),I60)</f>
        <v>0</v>
      </c>
      <c r="K60" s="112" t="n">
        <f aca="false">IF(WEEKDAY(A60,3)&gt;4,0,(IF(A60&lt;K$2,0,IF(A60&lt;=K$3,1,0))))</f>
        <v>0</v>
      </c>
      <c r="L60" s="112" t="n">
        <f aca="false">J60*K60</f>
        <v>0</v>
      </c>
      <c r="M60" s="112" t="n">
        <f aca="false">SUM(J$6:J60)</f>
        <v>420471.482719893</v>
      </c>
      <c r="N60" s="112" t="n">
        <f aca="false">SUM(J$6:J60)</f>
        <v>420471.482719893</v>
      </c>
      <c r="P60" s="112" t="n">
        <f aca="false">D60/P$3</f>
        <v>0</v>
      </c>
      <c r="Q60" s="112" t="n">
        <f aca="false">E60/P$3</f>
        <v>0</v>
      </c>
      <c r="R60" s="112" t="n">
        <f aca="false">F60/R$3</f>
        <v>0</v>
      </c>
      <c r="S60" s="114" t="n">
        <f aca="false">J60/$R$3</f>
        <v>0</v>
      </c>
      <c r="T60" s="114" t="n">
        <f aca="false">L60/$R$3</f>
        <v>0</v>
      </c>
      <c r="U60" s="114" t="n">
        <f aca="false">I60/$R$3</f>
        <v>250.75639</v>
      </c>
      <c r="V60" s="114" t="n">
        <f aca="false">M60/$R$3</f>
        <v>420.471482719893</v>
      </c>
      <c r="W60" s="114" t="n">
        <f aca="false">N60/$R$3</f>
        <v>420.471482719893</v>
      </c>
    </row>
    <row r="61" customFormat="false" ht="12.75" hidden="true" customHeight="false" outlineLevel="0" collapsed="false">
      <c r="A61" s="108" t="n">
        <f aca="false">A60+1</f>
        <v>36947</v>
      </c>
      <c r="B61" s="119" t="str">
        <f aca="false">INDEX('Master Data'!$A$2:$B$8,MATCH(WEEKDAY('EZE Power Trading'!A61,3),'Master Data'!$A$2:$A$8,0),2)</f>
        <v>Su</v>
      </c>
      <c r="D61" s="112" t="n">
        <v>0</v>
      </c>
      <c r="E61" s="112" t="n">
        <v>0</v>
      </c>
      <c r="F61" s="112" t="n">
        <v>0</v>
      </c>
      <c r="G61" s="112" t="n">
        <v>0</v>
      </c>
      <c r="I61" s="112" t="n">
        <f aca="false">IF(MONTH($A61)=MONTH($A60),IF(G61=0,I60,G61),G61)</f>
        <v>250756.39</v>
      </c>
      <c r="J61" s="112" t="n">
        <f aca="false">IF(MONTH($A61)=MONTH($A60),SUM(I61-I60),I61)</f>
        <v>0</v>
      </c>
      <c r="K61" s="112" t="n">
        <f aca="false">IF(WEEKDAY(A61,3)&gt;4,0,(IF(A61&lt;K$2,0,IF(A61&lt;=K$3,1,0))))</f>
        <v>0</v>
      </c>
      <c r="L61" s="112" t="n">
        <f aca="false">J61*K61</f>
        <v>0</v>
      </c>
      <c r="M61" s="112" t="n">
        <f aca="false">SUM(J$6:J61)</f>
        <v>420471.482719893</v>
      </c>
      <c r="N61" s="112" t="n">
        <f aca="false">SUM(J$6:J61)</f>
        <v>420471.482719893</v>
      </c>
      <c r="P61" s="112" t="n">
        <f aca="false">D61/P$3</f>
        <v>0</v>
      </c>
      <c r="Q61" s="112" t="n">
        <f aca="false">E61/P$3</f>
        <v>0</v>
      </c>
      <c r="R61" s="112" t="n">
        <f aca="false">F61/R$3</f>
        <v>0</v>
      </c>
      <c r="S61" s="114" t="n">
        <f aca="false">J61/$R$3</f>
        <v>0</v>
      </c>
      <c r="T61" s="114" t="n">
        <f aca="false">L61/$R$3</f>
        <v>0</v>
      </c>
      <c r="U61" s="114" t="n">
        <f aca="false">I61/$R$3</f>
        <v>250.75639</v>
      </c>
      <c r="V61" s="114" t="n">
        <f aca="false">M61/$R$3</f>
        <v>420.471482719893</v>
      </c>
      <c r="W61" s="114" t="n">
        <f aca="false">N61/$R$3</f>
        <v>420.471482719893</v>
      </c>
    </row>
    <row r="62" customFormat="false" ht="12.75" hidden="true" customHeight="false" outlineLevel="0" collapsed="false">
      <c r="A62" s="108" t="n">
        <f aca="false">A61+1</f>
        <v>36948</v>
      </c>
      <c r="B62" s="119" t="str">
        <f aca="false">INDEX('Master Data'!$A$2:$B$8,MATCH(WEEKDAY('EZE Power Trading'!A62,3),'Master Data'!$A$2:$A$8,0),2)</f>
        <v>M</v>
      </c>
      <c r="D62" s="112" t="n">
        <v>-219264</v>
      </c>
      <c r="E62" s="112" t="n">
        <v>219264</v>
      </c>
      <c r="F62" s="112" t="n">
        <v>0</v>
      </c>
      <c r="G62" s="112" t="n">
        <v>242995.24</v>
      </c>
      <c r="I62" s="112" t="n">
        <f aca="false">IF(MONTH($A62)=MONTH($A61),IF(G62=0,I61,G62),G62)</f>
        <v>242995.24</v>
      </c>
      <c r="J62" s="112" t="n">
        <f aca="false">IF(MONTH($A62)=MONTH($A61),SUM(I62-I61),I62)</f>
        <v>-7761.15000000002</v>
      </c>
      <c r="K62" s="112" t="n">
        <f aca="false">IF(WEEKDAY(A62,3)&gt;4,0,(IF(A62&lt;K$2,0,IF(A62&lt;=K$3,1,0))))</f>
        <v>0</v>
      </c>
      <c r="L62" s="112" t="n">
        <f aca="false">J62*K62</f>
        <v>-0</v>
      </c>
      <c r="M62" s="112" t="n">
        <f aca="false">SUM(J$6:J62)</f>
        <v>412710.332719893</v>
      </c>
      <c r="N62" s="112" t="n">
        <f aca="false">SUM(J$6:J62)</f>
        <v>412710.332719893</v>
      </c>
      <c r="P62" s="112" t="n">
        <f aca="false">D62/P$3</f>
        <v>-0.219264</v>
      </c>
      <c r="Q62" s="112" t="n">
        <f aca="false">E62/P$3</f>
        <v>0.219264</v>
      </c>
      <c r="R62" s="112" t="n">
        <f aca="false">F62/R$3</f>
        <v>0</v>
      </c>
      <c r="S62" s="114" t="n">
        <f aca="false">J62/$R$3</f>
        <v>-7.76115000000002</v>
      </c>
      <c r="T62" s="114" t="n">
        <f aca="false">L62/$R$3</f>
        <v>-0</v>
      </c>
      <c r="U62" s="114" t="n">
        <f aca="false">I62/$R$3</f>
        <v>242.99524</v>
      </c>
      <c r="V62" s="114" t="n">
        <f aca="false">M62/$R$3</f>
        <v>412.710332719893</v>
      </c>
      <c r="W62" s="114" t="n">
        <f aca="false">N62/$R$3</f>
        <v>412.710332719893</v>
      </c>
    </row>
    <row r="63" customFormat="false" ht="12.75" hidden="true" customHeight="false" outlineLevel="0" collapsed="false">
      <c r="A63" s="108" t="n">
        <f aca="false">A62+1</f>
        <v>36949</v>
      </c>
      <c r="B63" s="119" t="str">
        <f aca="false">INDEX('Master Data'!$A$2:$B$8,MATCH(WEEKDAY('EZE Power Trading'!A63,3),'Master Data'!$A$2:$A$8,0),2)</f>
        <v>T</v>
      </c>
      <c r="D63" s="112" t="n">
        <v>-218621</v>
      </c>
      <c r="E63" s="112" t="n">
        <v>218621</v>
      </c>
      <c r="F63" s="112" t="n">
        <v>0</v>
      </c>
      <c r="G63" s="112" t="n">
        <v>244999.23</v>
      </c>
      <c r="I63" s="112" t="n">
        <f aca="false">IF(MONTH($A63)=MONTH($A62),IF(G63=0,I62,G63),G63)</f>
        <v>244999.23</v>
      </c>
      <c r="J63" s="112" t="n">
        <f aca="false">IF(MONTH($A63)=MONTH($A62),SUM(I63-I62),I63)</f>
        <v>2003.99000000002</v>
      </c>
      <c r="K63" s="112" t="n">
        <f aca="false">IF(WEEKDAY(A63,3)&gt;4,0,(IF(A63&lt;K$2,0,IF(A63&lt;=K$3,1,0))))</f>
        <v>0</v>
      </c>
      <c r="L63" s="112" t="n">
        <f aca="false">J63*K63</f>
        <v>0</v>
      </c>
      <c r="M63" s="112" t="n">
        <f aca="false">SUM(J$6:J63)</f>
        <v>414714.322719893</v>
      </c>
      <c r="N63" s="112" t="n">
        <f aca="false">SUM(J$6:J63)</f>
        <v>414714.322719893</v>
      </c>
      <c r="P63" s="112" t="n">
        <f aca="false">D63/P$3</f>
        <v>-0.218621</v>
      </c>
      <c r="Q63" s="112" t="n">
        <f aca="false">E63/P$3</f>
        <v>0.218621</v>
      </c>
      <c r="R63" s="112" t="n">
        <f aca="false">F63/R$3</f>
        <v>0</v>
      </c>
      <c r="S63" s="114" t="n">
        <f aca="false">J63/$R$3</f>
        <v>2.00399000000002</v>
      </c>
      <c r="T63" s="114" t="n">
        <f aca="false">L63/$R$3</f>
        <v>0</v>
      </c>
      <c r="U63" s="114" t="n">
        <f aca="false">I63/$R$3</f>
        <v>244.99923</v>
      </c>
      <c r="V63" s="114" t="n">
        <f aca="false">M63/$R$3</f>
        <v>414.714322719893</v>
      </c>
      <c r="W63" s="114" t="n">
        <f aca="false">N63/$R$3</f>
        <v>414.714322719893</v>
      </c>
    </row>
    <row r="64" customFormat="false" ht="12.75" hidden="false" customHeight="false" outlineLevel="0" collapsed="false">
      <c r="A64" s="108" t="n">
        <f aca="false">A63+1</f>
        <v>36950</v>
      </c>
      <c r="B64" s="119" t="str">
        <f aca="false">INDEX('Master Data'!$A$2:$B$8,MATCH(WEEKDAY('EZE Power Trading'!A64,3),'Master Data'!$A$2:$A$8,0),2)</f>
        <v>W</v>
      </c>
      <c r="D64" s="112" t="n">
        <v>-217918</v>
      </c>
      <c r="E64" s="112" t="n">
        <v>217918</v>
      </c>
      <c r="F64" s="112" t="n">
        <v>0</v>
      </c>
      <c r="G64" s="112" t="n">
        <v>245150.510656253</v>
      </c>
      <c r="I64" s="112" t="n">
        <f aca="false">IF(MONTH($A64)=MONTH($A63),IF(G64=0,I63,G64),G64)</f>
        <v>245150.510656253</v>
      </c>
      <c r="J64" s="112" t="n">
        <f aca="false">IF(MONTH($A64)=MONTH($A63),SUM(I64-I63),I64)</f>
        <v>151.280656253424</v>
      </c>
      <c r="K64" s="112" t="n">
        <f aca="false">IF(WEEKDAY(A64,3)&gt;4,0,(IF(A64&lt;K$2,0,IF(A64&lt;=K$3,1,0))))</f>
        <v>0</v>
      </c>
      <c r="L64" s="112" t="n">
        <f aca="false">J64*K64</f>
        <v>0</v>
      </c>
      <c r="M64" s="112" t="n">
        <f aca="false">SUM(J$6:J64)</f>
        <v>414865.603376146</v>
      </c>
      <c r="N64" s="112" t="n">
        <f aca="false">SUM(J$6:J64)</f>
        <v>414865.603376146</v>
      </c>
      <c r="P64" s="112" t="n">
        <f aca="false">D64/P$3</f>
        <v>-0.217918</v>
      </c>
      <c r="Q64" s="112" t="n">
        <f aca="false">E64/P$3</f>
        <v>0.217918</v>
      </c>
      <c r="R64" s="112" t="n">
        <f aca="false">F64/R$3</f>
        <v>0</v>
      </c>
      <c r="S64" s="114" t="n">
        <f aca="false">J64/$R$3</f>
        <v>0.151280656253424</v>
      </c>
      <c r="T64" s="114" t="n">
        <f aca="false">L64/$R$3</f>
        <v>0</v>
      </c>
      <c r="U64" s="114" t="n">
        <f aca="false">I64/$R$3</f>
        <v>245.150510656253</v>
      </c>
      <c r="V64" s="114" t="n">
        <f aca="false">M64/$R$3</f>
        <v>414.865603376146</v>
      </c>
      <c r="W64" s="114" t="n">
        <f aca="false">N64/$R$3</f>
        <v>414.865603376146</v>
      </c>
    </row>
    <row r="65" customFormat="false" ht="12.75" hidden="true" customHeight="false" outlineLevel="0" collapsed="false">
      <c r="A65" s="108" t="n">
        <f aca="false">A64+1</f>
        <v>36951</v>
      </c>
      <c r="B65" s="119" t="str">
        <f aca="false">INDEX('Master Data'!$A$2:$B$8,MATCH(WEEKDAY('EZE Power Trading'!A65,3),'Master Data'!$A$2:$A$8,0),2)</f>
        <v>Th</v>
      </c>
      <c r="D65" s="112" t="n">
        <v>-217195</v>
      </c>
      <c r="E65" s="112" t="n">
        <v>217195</v>
      </c>
      <c r="F65" s="112" t="n">
        <v>0</v>
      </c>
      <c r="G65" s="112" t="n">
        <v>406.06</v>
      </c>
      <c r="I65" s="112" t="n">
        <f aca="false">IF(MONTH($A65)=MONTH($A64),IF(G65=0,I64,G65),G65)</f>
        <v>406.06</v>
      </c>
      <c r="J65" s="112" t="n">
        <f aca="false">IF(MONTH($A65)=MONTH($A64),SUM(I65-I64),I65)</f>
        <v>406.06</v>
      </c>
      <c r="K65" s="112" t="n">
        <f aca="false">IF(WEEKDAY(A65,3)&gt;4,0,(IF(A65&lt;K$2,0,IF(A65&lt;=K$3,1,0))))</f>
        <v>0</v>
      </c>
      <c r="L65" s="112" t="n">
        <f aca="false">J65*K65</f>
        <v>0</v>
      </c>
      <c r="M65" s="112" t="n">
        <f aca="false">SUM(J$6:J65)</f>
        <v>415271.663376146</v>
      </c>
      <c r="N65" s="112" t="n">
        <f aca="false">SUM(J$6:J65)</f>
        <v>415271.663376146</v>
      </c>
      <c r="P65" s="112" t="n">
        <f aca="false">D65/P$3</f>
        <v>-0.217195</v>
      </c>
      <c r="Q65" s="112" t="n">
        <f aca="false">E65/P$3</f>
        <v>0.217195</v>
      </c>
      <c r="R65" s="112" t="n">
        <f aca="false">F65/R$3</f>
        <v>0</v>
      </c>
      <c r="S65" s="114" t="n">
        <f aca="false">J65/$R$3</f>
        <v>0.40606</v>
      </c>
      <c r="T65" s="114" t="n">
        <f aca="false">L65/$R$3</f>
        <v>0</v>
      </c>
      <c r="U65" s="114" t="n">
        <f aca="false">I65/$R$3</f>
        <v>0.40606</v>
      </c>
      <c r="V65" s="114" t="n">
        <f aca="false">M65/$R$3</f>
        <v>415.271663376146</v>
      </c>
      <c r="W65" s="114" t="n">
        <f aca="false">N65/$R$3</f>
        <v>415.271663376146</v>
      </c>
    </row>
    <row r="66" customFormat="false" ht="12.75" hidden="true" customHeight="false" outlineLevel="0" collapsed="false">
      <c r="A66" s="108" t="n">
        <f aca="false">A65+1</f>
        <v>36952</v>
      </c>
      <c r="B66" s="119" t="str">
        <f aca="false">INDEX('Master Data'!$A$2:$B$8,MATCH(WEEKDAY('EZE Power Trading'!A66,3),'Master Data'!$A$2:$A$8,0),2)</f>
        <v>F</v>
      </c>
      <c r="D66" s="112" t="n">
        <v>-216455</v>
      </c>
      <c r="E66" s="112" t="n">
        <v>216455</v>
      </c>
      <c r="F66" s="112" t="n">
        <v>0</v>
      </c>
      <c r="G66" s="112" t="n">
        <v>32866.66</v>
      </c>
      <c r="I66" s="112" t="n">
        <f aca="false">IF(MONTH($A66)=MONTH($A65),IF(G66=0,I65,G66),G66)</f>
        <v>32866.66</v>
      </c>
      <c r="J66" s="112" t="n">
        <f aca="false">IF(MONTH($A66)=MONTH($A65),SUM(I66-I65),I66)</f>
        <v>32460.6</v>
      </c>
      <c r="K66" s="112" t="n">
        <f aca="false">IF(WEEKDAY(A66,3)&gt;4,0,(IF(A66&lt;K$2,0,IF(A66&lt;=K$3,1,0))))</f>
        <v>0</v>
      </c>
      <c r="L66" s="112" t="n">
        <f aca="false">J66*K66</f>
        <v>0</v>
      </c>
      <c r="M66" s="112" t="n">
        <f aca="false">SUM(J$6:J66)</f>
        <v>447732.263376146</v>
      </c>
      <c r="N66" s="112" t="n">
        <f aca="false">SUM(J$6:J66)</f>
        <v>447732.263376146</v>
      </c>
      <c r="P66" s="112" t="n">
        <f aca="false">D66/P$3</f>
        <v>-0.216455</v>
      </c>
      <c r="Q66" s="112" t="n">
        <f aca="false">E66/P$3</f>
        <v>0.216455</v>
      </c>
      <c r="R66" s="112" t="n">
        <f aca="false">F66/R$3</f>
        <v>0</v>
      </c>
      <c r="S66" s="114" t="n">
        <f aca="false">J66/$R$3</f>
        <v>32.4606</v>
      </c>
      <c r="T66" s="114" t="n">
        <f aca="false">L66/$R$3</f>
        <v>0</v>
      </c>
      <c r="U66" s="114" t="n">
        <f aca="false">I66/$R$3</f>
        <v>32.86666</v>
      </c>
      <c r="V66" s="114" t="n">
        <f aca="false">M66/$R$3</f>
        <v>447.732263376146</v>
      </c>
      <c r="W66" s="114" t="n">
        <f aca="false">N66/$R$3</f>
        <v>447.732263376146</v>
      </c>
    </row>
    <row r="67" customFormat="false" ht="12.75" hidden="true" customHeight="false" outlineLevel="0" collapsed="false">
      <c r="A67" s="108" t="n">
        <f aca="false">A66+1</f>
        <v>36953</v>
      </c>
      <c r="B67" s="119" t="str">
        <f aca="false">INDEX('Master Data'!$A$2:$B$8,MATCH(WEEKDAY('EZE Power Trading'!A67,3),'Master Data'!$A$2:$A$8,0),2)</f>
        <v>Sa</v>
      </c>
      <c r="D67" s="112" t="n">
        <v>0</v>
      </c>
      <c r="E67" s="112" t="n">
        <v>0</v>
      </c>
      <c r="F67" s="112" t="n">
        <v>0</v>
      </c>
      <c r="G67" s="112" t="n">
        <v>0</v>
      </c>
      <c r="I67" s="112" t="n">
        <f aca="false">IF(MONTH($A67)=MONTH($A66),IF(G67=0,I66,G67),G67)</f>
        <v>32866.66</v>
      </c>
      <c r="J67" s="112" t="n">
        <f aca="false">IF(MONTH($A67)=MONTH($A66),SUM(I67-I66),I67)</f>
        <v>0</v>
      </c>
      <c r="K67" s="112" t="n">
        <f aca="false">IF(WEEKDAY(A67,3)&gt;4,0,(IF(A67&lt;K$2,0,IF(A67&lt;=K$3,1,0))))</f>
        <v>0</v>
      </c>
      <c r="L67" s="112" t="n">
        <f aca="false">J67*K67</f>
        <v>0</v>
      </c>
      <c r="M67" s="112" t="n">
        <f aca="false">SUM(J$6:J67)</f>
        <v>447732.263376146</v>
      </c>
      <c r="N67" s="112" t="n">
        <f aca="false">SUM(J$6:J67)</f>
        <v>447732.263376146</v>
      </c>
      <c r="P67" s="112" t="n">
        <f aca="false">D67/P$3</f>
        <v>0</v>
      </c>
      <c r="Q67" s="112" t="n">
        <f aca="false">E67/P$3</f>
        <v>0</v>
      </c>
      <c r="R67" s="112" t="n">
        <f aca="false">F67/R$3</f>
        <v>0</v>
      </c>
      <c r="S67" s="114" t="n">
        <f aca="false">J67/$R$3</f>
        <v>0</v>
      </c>
      <c r="T67" s="114" t="n">
        <f aca="false">L67/$R$3</f>
        <v>0</v>
      </c>
      <c r="U67" s="114" t="n">
        <f aca="false">I67/$R$3</f>
        <v>32.86666</v>
      </c>
      <c r="V67" s="114" t="n">
        <f aca="false">M67/$R$3</f>
        <v>447.732263376146</v>
      </c>
      <c r="W67" s="114" t="n">
        <f aca="false">N67/$R$3</f>
        <v>447.732263376146</v>
      </c>
    </row>
    <row r="68" customFormat="false" ht="12.75" hidden="true" customHeight="false" outlineLevel="0" collapsed="false">
      <c r="A68" s="108" t="n">
        <f aca="false">A67+1</f>
        <v>36954</v>
      </c>
      <c r="B68" s="119" t="str">
        <f aca="false">INDEX('Master Data'!$A$2:$B$8,MATCH(WEEKDAY('EZE Power Trading'!A68,3),'Master Data'!$A$2:$A$8,0),2)</f>
        <v>Su</v>
      </c>
      <c r="D68" s="112" t="n">
        <v>0</v>
      </c>
      <c r="E68" s="112" t="n">
        <v>0</v>
      </c>
      <c r="F68" s="112" t="n">
        <v>0</v>
      </c>
      <c r="G68" s="112" t="n">
        <v>0</v>
      </c>
      <c r="I68" s="112" t="n">
        <f aca="false">IF(MONTH($A68)=MONTH($A67),IF(G68=0,I67,G68),G68)</f>
        <v>32866.66</v>
      </c>
      <c r="J68" s="112" t="n">
        <f aca="false">IF(MONTH($A68)=MONTH($A67),SUM(I68-I67),I68)</f>
        <v>0</v>
      </c>
      <c r="K68" s="112" t="n">
        <f aca="false">IF(WEEKDAY(A68,3)&gt;4,0,(IF(A68&lt;K$2,0,IF(A68&lt;=K$3,1,0))))</f>
        <v>0</v>
      </c>
      <c r="L68" s="112" t="n">
        <f aca="false">J68*K68</f>
        <v>0</v>
      </c>
      <c r="M68" s="112" t="n">
        <f aca="false">SUM(J$6:J68)</f>
        <v>447732.263376146</v>
      </c>
      <c r="N68" s="112" t="n">
        <f aca="false">SUM(J$6:J68)</f>
        <v>447732.263376146</v>
      </c>
      <c r="P68" s="112" t="n">
        <f aca="false">D68/P$3</f>
        <v>0</v>
      </c>
      <c r="Q68" s="112" t="n">
        <f aca="false">E68/P$3</f>
        <v>0</v>
      </c>
      <c r="R68" s="112" t="n">
        <f aca="false">F68/R$3</f>
        <v>0</v>
      </c>
      <c r="S68" s="114" t="n">
        <f aca="false">J68/$R$3</f>
        <v>0</v>
      </c>
      <c r="T68" s="114" t="n">
        <f aca="false">L68/$R$3</f>
        <v>0</v>
      </c>
      <c r="U68" s="114" t="n">
        <f aca="false">I68/$R$3</f>
        <v>32.86666</v>
      </c>
      <c r="V68" s="114" t="n">
        <f aca="false">M68/$R$3</f>
        <v>447.732263376146</v>
      </c>
      <c r="W68" s="114" t="n">
        <f aca="false">N68/$R$3</f>
        <v>447.732263376146</v>
      </c>
    </row>
    <row r="69" customFormat="false" ht="12.75" hidden="true" customHeight="false" outlineLevel="0" collapsed="false">
      <c r="A69" s="108" t="n">
        <f aca="false">A68+1</f>
        <v>36955</v>
      </c>
      <c r="B69" s="119" t="str">
        <f aca="false">INDEX('Master Data'!$A$2:$B$8,MATCH(WEEKDAY('EZE Power Trading'!A69,3),'Master Data'!$A$2:$A$8,0),2)</f>
        <v>M</v>
      </c>
      <c r="D69" s="112" t="n">
        <v>-214436</v>
      </c>
      <c r="E69" s="112" t="n">
        <v>214436</v>
      </c>
      <c r="F69" s="112" t="n">
        <v>0</v>
      </c>
      <c r="G69" s="112" t="n">
        <v>45908.74</v>
      </c>
      <c r="I69" s="112" t="n">
        <f aca="false">IF(MONTH($A69)=MONTH($A68),IF(G69=0,I68,G69),G69)</f>
        <v>45908.74</v>
      </c>
      <c r="J69" s="112" t="n">
        <f aca="false">IF(MONTH($A69)=MONTH($A68),SUM(I69-I68),I69)</f>
        <v>13042.08</v>
      </c>
      <c r="K69" s="112" t="n">
        <f aca="false">IF(WEEKDAY(A69,3)&gt;4,0,(IF(A69&lt;K$2,0,IF(A69&lt;=K$3,1,0))))</f>
        <v>0</v>
      </c>
      <c r="L69" s="112" t="n">
        <f aca="false">J69*K69</f>
        <v>0</v>
      </c>
      <c r="M69" s="112" t="n">
        <f aca="false">SUM(J$6:J69)</f>
        <v>460774.343376146</v>
      </c>
      <c r="N69" s="112" t="n">
        <f aca="false">SUM(J$6:J69)</f>
        <v>460774.343376146</v>
      </c>
      <c r="P69" s="112" t="n">
        <f aca="false">D69/P$3</f>
        <v>-0.214436</v>
      </c>
      <c r="Q69" s="112" t="n">
        <f aca="false">E69/P$3</f>
        <v>0.214436</v>
      </c>
      <c r="R69" s="112" t="n">
        <f aca="false">F69/R$3</f>
        <v>0</v>
      </c>
      <c r="S69" s="114" t="n">
        <f aca="false">J69/$R$3</f>
        <v>13.04208</v>
      </c>
      <c r="T69" s="114" t="n">
        <f aca="false">L69/$R$3</f>
        <v>0</v>
      </c>
      <c r="U69" s="114" t="n">
        <f aca="false">I69/$R$3</f>
        <v>45.90874</v>
      </c>
      <c r="V69" s="114" t="n">
        <f aca="false">M69/$R$3</f>
        <v>460.774343376147</v>
      </c>
      <c r="W69" s="114" t="n">
        <f aca="false">N69/$R$3</f>
        <v>460.774343376147</v>
      </c>
    </row>
    <row r="70" customFormat="false" ht="12.75" hidden="true" customHeight="false" outlineLevel="0" collapsed="false">
      <c r="A70" s="108" t="n">
        <f aca="false">A69+1</f>
        <v>36956</v>
      </c>
      <c r="B70" s="119" t="str">
        <f aca="false">INDEX('Master Data'!$A$2:$B$8,MATCH(WEEKDAY('EZE Power Trading'!A70,3),'Master Data'!$A$2:$A$8,0),2)</f>
        <v>T</v>
      </c>
      <c r="D70" s="112" t="n">
        <v>-213712</v>
      </c>
      <c r="E70" s="112" t="n">
        <v>213712</v>
      </c>
      <c r="F70" s="112" t="n">
        <v>0</v>
      </c>
      <c r="G70" s="112" t="n">
        <v>47150.62</v>
      </c>
      <c r="I70" s="112" t="n">
        <f aca="false">IF(MONTH($A70)=MONTH($A69),IF(G70=0,I69,G70),G70)</f>
        <v>47150.62</v>
      </c>
      <c r="J70" s="112" t="n">
        <f aca="false">IF(MONTH($A70)=MONTH($A69),SUM(I70-I69),I70)</f>
        <v>1241.88</v>
      </c>
      <c r="K70" s="112" t="n">
        <f aca="false">IF(WEEKDAY(A70,3)&gt;4,0,(IF(A70&lt;K$2,0,IF(A70&lt;=K$3,1,0))))</f>
        <v>0</v>
      </c>
      <c r="L70" s="112" t="n">
        <f aca="false">J70*K70</f>
        <v>0</v>
      </c>
      <c r="M70" s="112" t="n">
        <f aca="false">SUM(J$6:J70)</f>
        <v>462016.223376146</v>
      </c>
      <c r="N70" s="112" t="n">
        <f aca="false">SUM(J$6:J70)</f>
        <v>462016.223376146</v>
      </c>
      <c r="P70" s="112" t="n">
        <f aca="false">D70/P$3</f>
        <v>-0.213712</v>
      </c>
      <c r="Q70" s="112" t="n">
        <f aca="false">E70/P$3</f>
        <v>0.213712</v>
      </c>
      <c r="R70" s="112" t="n">
        <f aca="false">F70/R$3</f>
        <v>0</v>
      </c>
      <c r="S70" s="114" t="n">
        <f aca="false">J70/$R$3</f>
        <v>1.24188</v>
      </c>
      <c r="T70" s="114" t="n">
        <f aca="false">L70/$R$3</f>
        <v>0</v>
      </c>
      <c r="U70" s="114" t="n">
        <f aca="false">I70/$R$3</f>
        <v>47.15062</v>
      </c>
      <c r="V70" s="114" t="n">
        <f aca="false">M70/$R$3</f>
        <v>462.016223376146</v>
      </c>
      <c r="W70" s="114" t="n">
        <f aca="false">N70/$R$3</f>
        <v>462.016223376146</v>
      </c>
    </row>
    <row r="71" customFormat="false" ht="12.75" hidden="true" customHeight="false" outlineLevel="0" collapsed="false">
      <c r="A71" s="108" t="n">
        <f aca="false">A70+1</f>
        <v>36957</v>
      </c>
      <c r="B71" s="119" t="str">
        <f aca="false">INDEX('Master Data'!$A$2:$B$8,MATCH(WEEKDAY('EZE Power Trading'!A71,3),'Master Data'!$A$2:$A$8,0),2)</f>
        <v>W</v>
      </c>
      <c r="D71" s="112" t="n">
        <v>-213000</v>
      </c>
      <c r="E71" s="112" t="n">
        <v>213000</v>
      </c>
      <c r="F71" s="112" t="n">
        <v>0</v>
      </c>
      <c r="G71" s="112" t="n">
        <v>50937.96</v>
      </c>
      <c r="I71" s="112" t="n">
        <f aca="false">IF(MONTH($A71)=MONTH($A70),IF(G71=0,I70,G71),G71)</f>
        <v>50937.96</v>
      </c>
      <c r="J71" s="112" t="n">
        <f aca="false">IF(MONTH($A71)=MONTH($A70),SUM(I71-I70),I71)</f>
        <v>3787.34</v>
      </c>
      <c r="K71" s="112" t="n">
        <f aca="false">IF(WEEKDAY(A71,3)&gt;4,0,(IF(A71&lt;K$2,0,IF(A71&lt;=K$3,1,0))))</f>
        <v>0</v>
      </c>
      <c r="L71" s="112" t="n">
        <f aca="false">J71*K71</f>
        <v>0</v>
      </c>
      <c r="M71" s="112" t="n">
        <f aca="false">SUM(J$6:J71)</f>
        <v>465803.563376146</v>
      </c>
      <c r="N71" s="112" t="n">
        <f aca="false">SUM(J$6:J71)</f>
        <v>465803.563376146</v>
      </c>
      <c r="P71" s="112" t="n">
        <f aca="false">D71/P$3</f>
        <v>-0.213</v>
      </c>
      <c r="Q71" s="112" t="n">
        <f aca="false">E71/P$3</f>
        <v>0.213</v>
      </c>
      <c r="R71" s="112" t="n">
        <f aca="false">F71/R$3</f>
        <v>0</v>
      </c>
      <c r="S71" s="114" t="n">
        <f aca="false">J71/$R$3</f>
        <v>3.78734</v>
      </c>
      <c r="T71" s="114" t="n">
        <f aca="false">L71/$R$3</f>
        <v>0</v>
      </c>
      <c r="U71" s="114" t="n">
        <f aca="false">I71/$R$3</f>
        <v>50.93796</v>
      </c>
      <c r="V71" s="114" t="n">
        <f aca="false">M71/$R$3</f>
        <v>465.803563376146</v>
      </c>
      <c r="W71" s="114" t="n">
        <f aca="false">N71/$R$3</f>
        <v>465.803563376146</v>
      </c>
    </row>
    <row r="72" customFormat="false" ht="12.75" hidden="true" customHeight="false" outlineLevel="0" collapsed="false">
      <c r="A72" s="108" t="n">
        <f aca="false">A71+1</f>
        <v>36958</v>
      </c>
      <c r="B72" s="119" t="str">
        <f aca="false">INDEX('Master Data'!$A$2:$B$8,MATCH(WEEKDAY('EZE Power Trading'!A72,3),'Master Data'!$A$2:$A$8,0),2)</f>
        <v>Th</v>
      </c>
      <c r="D72" s="112" t="n">
        <v>-212299</v>
      </c>
      <c r="E72" s="112" t="n">
        <v>212299</v>
      </c>
      <c r="F72" s="112" t="n">
        <v>0</v>
      </c>
      <c r="G72" s="112" t="n">
        <v>54782.01</v>
      </c>
      <c r="I72" s="112" t="n">
        <f aca="false">IF(MONTH($A72)=MONTH($A71),IF(G72=0,I71,G72),G72)</f>
        <v>54782.01</v>
      </c>
      <c r="J72" s="112" t="n">
        <f aca="false">IF(MONTH($A72)=MONTH($A71),SUM(I72-I71),I72)</f>
        <v>3844.05</v>
      </c>
      <c r="K72" s="112" t="n">
        <f aca="false">IF(WEEKDAY(A72,3)&gt;4,0,(IF(A72&lt;K$2,0,IF(A72&lt;=K$3,1,0))))</f>
        <v>0</v>
      </c>
      <c r="L72" s="112" t="n">
        <f aca="false">J72*K72</f>
        <v>0</v>
      </c>
      <c r="M72" s="112" t="n">
        <f aca="false">SUM(J$6:J72)</f>
        <v>469647.613376146</v>
      </c>
      <c r="N72" s="112" t="n">
        <f aca="false">SUM(J$6:J72)</f>
        <v>469647.613376146</v>
      </c>
      <c r="P72" s="112" t="n">
        <f aca="false">D72/P$3</f>
        <v>-0.212299</v>
      </c>
      <c r="Q72" s="112" t="n">
        <f aca="false">E72/P$3</f>
        <v>0.212299</v>
      </c>
      <c r="R72" s="112" t="n">
        <f aca="false">F72/R$3</f>
        <v>0</v>
      </c>
      <c r="S72" s="114" t="n">
        <f aca="false">J72/$R$3</f>
        <v>3.84405</v>
      </c>
      <c r="T72" s="114" t="n">
        <f aca="false">L72/$R$3</f>
        <v>0</v>
      </c>
      <c r="U72" s="114" t="n">
        <f aca="false">I72/$R$3</f>
        <v>54.78201</v>
      </c>
      <c r="V72" s="114" t="n">
        <f aca="false">M72/$R$3</f>
        <v>469.647613376146</v>
      </c>
      <c r="W72" s="114" t="n">
        <f aca="false">N72/$R$3</f>
        <v>469.647613376146</v>
      </c>
    </row>
    <row r="73" customFormat="false" ht="12.75" hidden="true" customHeight="false" outlineLevel="0" collapsed="false">
      <c r="A73" s="108" t="n">
        <f aca="false">A72+1</f>
        <v>36959</v>
      </c>
      <c r="B73" s="119" t="str">
        <f aca="false">INDEX('Master Data'!$A$2:$B$8,MATCH(WEEKDAY('EZE Power Trading'!A73,3),'Master Data'!$A$2:$A$8,0),2)</f>
        <v>F</v>
      </c>
      <c r="D73" s="112" t="n">
        <v>-211581</v>
      </c>
      <c r="E73" s="112" t="n">
        <v>211581</v>
      </c>
      <c r="F73" s="112" t="n">
        <v>0</v>
      </c>
      <c r="G73" s="112" t="n">
        <v>54833.99</v>
      </c>
      <c r="I73" s="112" t="n">
        <f aca="false">IF(MONTH($A73)=MONTH($A72),IF(G73=0,I72,G73),G73)</f>
        <v>54833.99</v>
      </c>
      <c r="J73" s="112" t="n">
        <f aca="false">IF(MONTH($A73)=MONTH($A72),SUM(I73-I72),I73)</f>
        <v>51.9799999999959</v>
      </c>
      <c r="K73" s="112" t="n">
        <f aca="false">IF(WEEKDAY(A73,3)&gt;4,0,(IF(A73&lt;K$2,0,IF(A73&lt;=K$3,1,0))))</f>
        <v>0</v>
      </c>
      <c r="L73" s="112" t="n">
        <f aca="false">J73*K73</f>
        <v>0</v>
      </c>
      <c r="M73" s="112" t="n">
        <f aca="false">SUM(J$6:J73)</f>
        <v>469699.593376146</v>
      </c>
      <c r="N73" s="112" t="n">
        <f aca="false">SUM(J$6:J73)</f>
        <v>469699.593376146</v>
      </c>
      <c r="P73" s="112" t="n">
        <f aca="false">D73/P$3</f>
        <v>-0.211581</v>
      </c>
      <c r="Q73" s="112" t="n">
        <f aca="false">E73/P$3</f>
        <v>0.211581</v>
      </c>
      <c r="R73" s="112" t="n">
        <f aca="false">F73/R$3</f>
        <v>0</v>
      </c>
      <c r="S73" s="114" t="n">
        <f aca="false">J73/$R$3</f>
        <v>0.0519799999999959</v>
      </c>
      <c r="T73" s="114" t="n">
        <f aca="false">L73/$R$3</f>
        <v>0</v>
      </c>
      <c r="U73" s="114" t="n">
        <f aca="false">I73/$R$3</f>
        <v>54.83399</v>
      </c>
      <c r="V73" s="114" t="n">
        <f aca="false">M73/$R$3</f>
        <v>469.699593376146</v>
      </c>
      <c r="W73" s="114" t="n">
        <f aca="false">N73/$R$3</f>
        <v>469.699593376146</v>
      </c>
    </row>
    <row r="74" customFormat="false" ht="12.75" hidden="true" customHeight="false" outlineLevel="0" collapsed="false">
      <c r="A74" s="108" t="n">
        <f aca="false">A73+1</f>
        <v>36960</v>
      </c>
      <c r="B74" s="119" t="str">
        <f aca="false">INDEX('Master Data'!$A$2:$B$8,MATCH(WEEKDAY('EZE Power Trading'!A74,3),'Master Data'!$A$2:$A$8,0),2)</f>
        <v>Sa</v>
      </c>
      <c r="D74" s="112" t="n">
        <v>0</v>
      </c>
      <c r="E74" s="112" t="n">
        <v>0</v>
      </c>
      <c r="F74" s="112" t="n">
        <v>0</v>
      </c>
      <c r="G74" s="112" t="n">
        <v>0</v>
      </c>
      <c r="I74" s="112" t="n">
        <f aca="false">IF(MONTH($A74)=MONTH($A73),IF(G74=0,I73,G74),G74)</f>
        <v>54833.99</v>
      </c>
      <c r="J74" s="112" t="n">
        <f aca="false">IF(MONTH($A74)=MONTH($A73),SUM(I74-I73),I74)</f>
        <v>0</v>
      </c>
      <c r="K74" s="112" t="n">
        <f aca="false">IF(WEEKDAY(A74,3)&gt;4,0,(IF(A74&lt;K$2,0,IF(A74&lt;=K$3,1,0))))</f>
        <v>0</v>
      </c>
      <c r="L74" s="112" t="n">
        <f aca="false">J74*K74</f>
        <v>0</v>
      </c>
      <c r="M74" s="112" t="n">
        <f aca="false">SUM(J$6:J74)</f>
        <v>469699.593376146</v>
      </c>
      <c r="N74" s="112" t="n">
        <f aca="false">SUM(J$6:J74)</f>
        <v>469699.593376146</v>
      </c>
      <c r="P74" s="112" t="n">
        <f aca="false">D74/P$3</f>
        <v>0</v>
      </c>
      <c r="Q74" s="112" t="n">
        <f aca="false">E74/P$3</f>
        <v>0</v>
      </c>
      <c r="R74" s="112" t="n">
        <f aca="false">F74/R$3</f>
        <v>0</v>
      </c>
      <c r="S74" s="114" t="n">
        <f aca="false">J74/$R$3</f>
        <v>0</v>
      </c>
      <c r="T74" s="114" t="n">
        <f aca="false">L74/$R$3</f>
        <v>0</v>
      </c>
      <c r="U74" s="114" t="n">
        <f aca="false">I74/$R$3</f>
        <v>54.83399</v>
      </c>
      <c r="V74" s="114" t="n">
        <f aca="false">M74/$R$3</f>
        <v>469.699593376146</v>
      </c>
      <c r="W74" s="114" t="n">
        <f aca="false">N74/$R$3</f>
        <v>469.699593376146</v>
      </c>
    </row>
    <row r="75" customFormat="false" ht="12.75" hidden="true" customHeight="false" outlineLevel="0" collapsed="false">
      <c r="A75" s="108" t="n">
        <f aca="false">A74+1</f>
        <v>36961</v>
      </c>
      <c r="B75" s="119" t="str">
        <f aca="false">INDEX('Master Data'!$A$2:$B$8,MATCH(WEEKDAY('EZE Power Trading'!A75,3),'Master Data'!$A$2:$A$8,0),2)</f>
        <v>Su</v>
      </c>
      <c r="D75" s="112" t="n">
        <v>0</v>
      </c>
      <c r="E75" s="112" t="n">
        <v>0</v>
      </c>
      <c r="F75" s="112" t="n">
        <v>0</v>
      </c>
      <c r="G75" s="112" t="n">
        <v>0</v>
      </c>
      <c r="I75" s="112" t="n">
        <f aca="false">IF(MONTH($A75)=MONTH($A74),IF(G75=0,I74,G75),G75)</f>
        <v>54833.99</v>
      </c>
      <c r="J75" s="112" t="n">
        <f aca="false">IF(MONTH($A75)=MONTH($A74),SUM(I75-I74),I75)</f>
        <v>0</v>
      </c>
      <c r="K75" s="112" t="n">
        <f aca="false">IF(WEEKDAY(A75,3)&gt;4,0,(IF(A75&lt;K$2,0,IF(A75&lt;=K$3,1,0))))</f>
        <v>0</v>
      </c>
      <c r="L75" s="112" t="n">
        <f aca="false">J75*K75</f>
        <v>0</v>
      </c>
      <c r="M75" s="112" t="n">
        <f aca="false">SUM(J$6:J75)</f>
        <v>469699.593376146</v>
      </c>
      <c r="N75" s="112" t="n">
        <f aca="false">SUM(J$6:J75)</f>
        <v>469699.593376146</v>
      </c>
      <c r="P75" s="112" t="n">
        <f aca="false">D75/P$3</f>
        <v>0</v>
      </c>
      <c r="Q75" s="112" t="n">
        <f aca="false">E75/P$3</f>
        <v>0</v>
      </c>
      <c r="R75" s="112" t="n">
        <f aca="false">F75/R$3</f>
        <v>0</v>
      </c>
      <c r="S75" s="114" t="n">
        <f aca="false">J75/$R$3</f>
        <v>0</v>
      </c>
      <c r="T75" s="114" t="n">
        <f aca="false">L75/$R$3</f>
        <v>0</v>
      </c>
      <c r="U75" s="114" t="n">
        <f aca="false">I75/$R$3</f>
        <v>54.83399</v>
      </c>
      <c r="V75" s="114" t="n">
        <f aca="false">M75/$R$3</f>
        <v>469.699593376146</v>
      </c>
      <c r="W75" s="114" t="n">
        <f aca="false">N75/$R$3</f>
        <v>469.699593376146</v>
      </c>
    </row>
    <row r="76" customFormat="false" ht="12.75" hidden="true" customHeight="false" outlineLevel="0" collapsed="false">
      <c r="A76" s="108" t="n">
        <f aca="false">A75+1</f>
        <v>36962</v>
      </c>
      <c r="B76" s="119" t="str">
        <f aca="false">INDEX('Master Data'!$A$2:$B$8,MATCH(WEEKDAY('EZE Power Trading'!A76,3),'Master Data'!$A$2:$A$8,0),2)</f>
        <v>M</v>
      </c>
      <c r="D76" s="112" t="n">
        <v>-209534</v>
      </c>
      <c r="E76" s="112" t="n">
        <v>209534</v>
      </c>
      <c r="F76" s="112" t="n">
        <v>0</v>
      </c>
      <c r="G76" s="112" t="n">
        <v>52596.68</v>
      </c>
      <c r="I76" s="112" t="n">
        <f aca="false">IF(MONTH($A76)=MONTH($A75),IF(G76=0,I75,G76),G76)</f>
        <v>52596.68</v>
      </c>
      <c r="J76" s="112" t="n">
        <f aca="false">IF(MONTH($A76)=MONTH($A75),SUM(I76-I75),I76)</f>
        <v>-2237.31</v>
      </c>
      <c r="K76" s="112" t="n">
        <f aca="false">IF(WEEKDAY(A76,3)&gt;4,0,(IF(A76&lt;K$2,0,IF(A76&lt;=K$3,1,0))))</f>
        <v>0</v>
      </c>
      <c r="L76" s="112" t="n">
        <f aca="false">J76*K76</f>
        <v>-0</v>
      </c>
      <c r="M76" s="112" t="n">
        <f aca="false">SUM(J$6:J76)</f>
        <v>467462.283376146</v>
      </c>
      <c r="N76" s="112" t="n">
        <f aca="false">SUM(J$6:J76)</f>
        <v>467462.283376146</v>
      </c>
      <c r="P76" s="112" t="n">
        <f aca="false">D76/P$3</f>
        <v>-0.209534</v>
      </c>
      <c r="Q76" s="112" t="n">
        <f aca="false">E76/P$3</f>
        <v>0.209534</v>
      </c>
      <c r="R76" s="112" t="n">
        <f aca="false">F76/R$3</f>
        <v>0</v>
      </c>
      <c r="S76" s="114" t="n">
        <f aca="false">J76/$R$3</f>
        <v>-2.23731</v>
      </c>
      <c r="T76" s="114" t="n">
        <f aca="false">L76/$R$3</f>
        <v>-0</v>
      </c>
      <c r="U76" s="114" t="n">
        <f aca="false">I76/$R$3</f>
        <v>52.59668</v>
      </c>
      <c r="V76" s="114" t="n">
        <f aca="false">M76/$R$3</f>
        <v>467.462283376146</v>
      </c>
      <c r="W76" s="114" t="n">
        <f aca="false">N76/$R$3</f>
        <v>467.462283376146</v>
      </c>
    </row>
    <row r="77" customFormat="false" ht="12.75" hidden="true" customHeight="false" outlineLevel="0" collapsed="false">
      <c r="A77" s="108" t="n">
        <f aca="false">A76+1</f>
        <v>36963</v>
      </c>
      <c r="B77" s="119" t="str">
        <f aca="false">INDEX('Master Data'!$A$2:$B$8,MATCH(WEEKDAY('EZE Power Trading'!A77,3),'Master Data'!$A$2:$A$8,0),2)</f>
        <v>T</v>
      </c>
      <c r="D77" s="112" t="n">
        <v>-208831</v>
      </c>
      <c r="E77" s="112" t="n">
        <v>208831</v>
      </c>
      <c r="F77" s="112" t="n">
        <v>0</v>
      </c>
      <c r="G77" s="112" t="n">
        <v>51447.48</v>
      </c>
      <c r="I77" s="112" t="n">
        <f aca="false">IF(MONTH($A77)=MONTH($A76),IF(G77=0,I76,G77),G77)</f>
        <v>51447.48</v>
      </c>
      <c r="J77" s="112" t="n">
        <f aca="false">IF(MONTH($A77)=MONTH($A76),SUM(I77-I76),I77)</f>
        <v>-1149.2</v>
      </c>
      <c r="K77" s="112" t="n">
        <f aca="false">IF(WEEKDAY(A77,3)&gt;4,0,(IF(A77&lt;K$2,0,IF(A77&lt;=K$3,1,0))))</f>
        <v>0</v>
      </c>
      <c r="L77" s="112" t="n">
        <f aca="false">J77*K77</f>
        <v>-0</v>
      </c>
      <c r="M77" s="112" t="n">
        <f aca="false">SUM(J$6:J77)</f>
        <v>466313.083376146</v>
      </c>
      <c r="N77" s="112" t="n">
        <f aca="false">SUM(J$6:J77)</f>
        <v>466313.083376146</v>
      </c>
      <c r="P77" s="112" t="n">
        <f aca="false">D77/P$3</f>
        <v>-0.208831</v>
      </c>
      <c r="Q77" s="112" t="n">
        <f aca="false">E77/P$3</f>
        <v>0.208831</v>
      </c>
      <c r="R77" s="112" t="n">
        <f aca="false">F77/R$3</f>
        <v>0</v>
      </c>
      <c r="S77" s="114" t="n">
        <f aca="false">J77/$R$3</f>
        <v>-1.1492</v>
      </c>
      <c r="T77" s="114" t="n">
        <f aca="false">L77/$R$3</f>
        <v>-0</v>
      </c>
      <c r="U77" s="114" t="n">
        <f aca="false">I77/$R$3</f>
        <v>51.44748</v>
      </c>
      <c r="V77" s="114" t="n">
        <f aca="false">M77/$R$3</f>
        <v>466.313083376146</v>
      </c>
      <c r="W77" s="114" t="n">
        <f aca="false">N77/$R$3</f>
        <v>466.313083376146</v>
      </c>
    </row>
    <row r="78" customFormat="false" ht="12.75" hidden="true" customHeight="false" outlineLevel="0" collapsed="false">
      <c r="A78" s="108" t="n">
        <f aca="false">A77+1</f>
        <v>36964</v>
      </c>
      <c r="B78" s="119" t="str">
        <f aca="false">INDEX('Master Data'!$A$2:$B$8,MATCH(WEEKDAY('EZE Power Trading'!A78,3),'Master Data'!$A$2:$A$8,0),2)</f>
        <v>W</v>
      </c>
      <c r="D78" s="112" t="n">
        <v>-208114</v>
      </c>
      <c r="E78" s="112" t="n">
        <v>208114</v>
      </c>
      <c r="F78" s="112" t="n">
        <v>0</v>
      </c>
      <c r="G78" s="112" t="n">
        <v>49153.75</v>
      </c>
      <c r="I78" s="112" t="n">
        <f aca="false">IF(MONTH($A78)=MONTH($A77),IF(G78=0,I77,G78),G78)</f>
        <v>49153.75</v>
      </c>
      <c r="J78" s="112" t="n">
        <f aca="false">IF(MONTH($A78)=MONTH($A77),SUM(I78-I77),I78)</f>
        <v>-2293.73</v>
      </c>
      <c r="K78" s="112" t="n">
        <f aca="false">IF(WEEKDAY(A78,3)&gt;4,0,(IF(A78&lt;K$2,0,IF(A78&lt;=K$3,1,0))))</f>
        <v>0</v>
      </c>
      <c r="L78" s="112" t="n">
        <f aca="false">J78*K78</f>
        <v>-0</v>
      </c>
      <c r="M78" s="112" t="n">
        <f aca="false">SUM(J$6:J78)</f>
        <v>464019.353376146</v>
      </c>
      <c r="N78" s="112" t="n">
        <f aca="false">SUM(J$6:J78)</f>
        <v>464019.353376146</v>
      </c>
      <c r="P78" s="112" t="n">
        <f aca="false">D78/P$3</f>
        <v>-0.208114</v>
      </c>
      <c r="Q78" s="112" t="n">
        <f aca="false">E78/P$3</f>
        <v>0.208114</v>
      </c>
      <c r="R78" s="112" t="n">
        <f aca="false">F78/R$3</f>
        <v>0</v>
      </c>
      <c r="S78" s="114" t="n">
        <f aca="false">J78/$R$3</f>
        <v>-2.29373</v>
      </c>
      <c r="T78" s="114" t="n">
        <f aca="false">L78/$R$3</f>
        <v>-0</v>
      </c>
      <c r="U78" s="114" t="n">
        <f aca="false">I78/$R$3</f>
        <v>49.15375</v>
      </c>
      <c r="V78" s="114" t="n">
        <f aca="false">M78/$R$3</f>
        <v>464.019353376146</v>
      </c>
      <c r="W78" s="114" t="n">
        <f aca="false">N78/$R$3</f>
        <v>464.019353376146</v>
      </c>
    </row>
    <row r="79" customFormat="false" ht="12.75" hidden="true" customHeight="false" outlineLevel="0" collapsed="false">
      <c r="A79" s="108" t="n">
        <f aca="false">A78+1</f>
        <v>36965</v>
      </c>
      <c r="B79" s="119" t="str">
        <f aca="false">INDEX('Master Data'!$A$2:$B$8,MATCH(WEEKDAY('EZE Power Trading'!A79,3),'Master Data'!$A$2:$A$8,0),2)</f>
        <v>Th</v>
      </c>
      <c r="D79" s="112" t="n">
        <v>-207474</v>
      </c>
      <c r="E79" s="112" t="n">
        <v>207474</v>
      </c>
      <c r="F79" s="112" t="n">
        <v>0</v>
      </c>
      <c r="G79" s="112" t="n">
        <v>49751.96</v>
      </c>
      <c r="I79" s="112" t="n">
        <f aca="false">IF(MONTH($A79)=MONTH($A78),IF(G79=0,I78,G79),G79)</f>
        <v>49751.96</v>
      </c>
      <c r="J79" s="112" t="n">
        <f aca="false">IF(MONTH($A79)=MONTH($A78),SUM(I79-I78),I79)</f>
        <v>598.209999999999</v>
      </c>
      <c r="K79" s="112" t="n">
        <f aca="false">IF(WEEKDAY(A79,3)&gt;4,0,(IF(A79&lt;K$2,0,IF(A79&lt;=K$3,1,0))))</f>
        <v>0</v>
      </c>
      <c r="L79" s="112" t="n">
        <f aca="false">J79*K79</f>
        <v>0</v>
      </c>
      <c r="M79" s="112" t="n">
        <f aca="false">SUM(J$6:J79)</f>
        <v>464617.563376146</v>
      </c>
      <c r="N79" s="112" t="n">
        <f aca="false">SUM(J$6:J79)</f>
        <v>464617.563376146</v>
      </c>
      <c r="P79" s="112" t="n">
        <f aca="false">D79/P$3</f>
        <v>-0.207474</v>
      </c>
      <c r="Q79" s="112" t="n">
        <f aca="false">E79/P$3</f>
        <v>0.207474</v>
      </c>
      <c r="R79" s="112" t="n">
        <f aca="false">F79/R$3</f>
        <v>0</v>
      </c>
      <c r="S79" s="114" t="n">
        <f aca="false">J79/$R$3</f>
        <v>0.598209999999999</v>
      </c>
      <c r="T79" s="114" t="n">
        <f aca="false">L79/$R$3</f>
        <v>0</v>
      </c>
      <c r="U79" s="114" t="n">
        <f aca="false">I79/$R$3</f>
        <v>49.75196</v>
      </c>
      <c r="V79" s="114" t="n">
        <f aca="false">M79/$R$3</f>
        <v>464.617563376146</v>
      </c>
      <c r="W79" s="114" t="n">
        <f aca="false">N79/$R$3</f>
        <v>464.617563376146</v>
      </c>
    </row>
    <row r="80" customFormat="false" ht="12.75" hidden="true" customHeight="false" outlineLevel="0" collapsed="false">
      <c r="A80" s="108" t="n">
        <f aca="false">A79+1</f>
        <v>36966</v>
      </c>
      <c r="B80" s="119" t="str">
        <f aca="false">INDEX('Master Data'!$A$2:$B$8,MATCH(WEEKDAY('EZE Power Trading'!A80,3),'Master Data'!$A$2:$A$8,0),2)</f>
        <v>F</v>
      </c>
      <c r="D80" s="112" t="n">
        <v>-206821</v>
      </c>
      <c r="E80" s="112" t="n">
        <v>206821</v>
      </c>
      <c r="F80" s="112" t="n">
        <v>0</v>
      </c>
      <c r="G80" s="112" t="n">
        <v>15253.21</v>
      </c>
      <c r="I80" s="112" t="n">
        <f aca="false">IF(MONTH($A80)=MONTH($A79),IF(G80=0,I79,G80),G80)</f>
        <v>15253.21</v>
      </c>
      <c r="J80" s="112" t="n">
        <f aca="false">IF(MONTH($A80)=MONTH($A79),SUM(I80-I79),I80)</f>
        <v>-34498.75</v>
      </c>
      <c r="K80" s="112" t="n">
        <f aca="false">IF(WEEKDAY(A80,3)&gt;4,0,(IF(A80&lt;K$2,0,IF(A80&lt;=K$3,1,0))))</f>
        <v>0</v>
      </c>
      <c r="L80" s="112" t="n">
        <f aca="false">J80*K80</f>
        <v>-0</v>
      </c>
      <c r="M80" s="112" t="n">
        <f aca="false">SUM(J$6:J80)</f>
        <v>430118.813376146</v>
      </c>
      <c r="N80" s="112" t="n">
        <f aca="false">SUM(J$6:J80)</f>
        <v>430118.813376146</v>
      </c>
      <c r="P80" s="112" t="n">
        <f aca="false">D80/P$3</f>
        <v>-0.206821</v>
      </c>
      <c r="Q80" s="112" t="n">
        <f aca="false">E80/P$3</f>
        <v>0.206821</v>
      </c>
      <c r="R80" s="112" t="n">
        <f aca="false">F80/R$3</f>
        <v>0</v>
      </c>
      <c r="S80" s="114" t="n">
        <f aca="false">J80/$R$3</f>
        <v>-34.49875</v>
      </c>
      <c r="T80" s="114" t="n">
        <f aca="false">L80/$R$3</f>
        <v>-0</v>
      </c>
      <c r="U80" s="114" t="n">
        <f aca="false">I80/$R$3</f>
        <v>15.25321</v>
      </c>
      <c r="V80" s="114" t="n">
        <f aca="false">M80/$R$3</f>
        <v>430.118813376146</v>
      </c>
      <c r="W80" s="114" t="n">
        <f aca="false">N80/$R$3</f>
        <v>430.118813376146</v>
      </c>
    </row>
    <row r="81" customFormat="false" ht="12.75" hidden="true" customHeight="false" outlineLevel="0" collapsed="false">
      <c r="A81" s="108" t="n">
        <f aca="false">A80+1</f>
        <v>36967</v>
      </c>
      <c r="B81" s="119" t="str">
        <f aca="false">INDEX('Master Data'!$A$2:$B$8,MATCH(WEEKDAY('EZE Power Trading'!A81,3),'Master Data'!$A$2:$A$8,0),2)</f>
        <v>Sa</v>
      </c>
      <c r="D81" s="112" t="n">
        <v>0</v>
      </c>
      <c r="E81" s="112" t="n">
        <v>0</v>
      </c>
      <c r="F81" s="112" t="n">
        <v>0</v>
      </c>
      <c r="G81" s="112" t="n">
        <v>0</v>
      </c>
      <c r="I81" s="112" t="n">
        <f aca="false">IF(MONTH($A81)=MONTH($A80),IF(G81=0,I80,G81),G81)</f>
        <v>15253.21</v>
      </c>
      <c r="J81" s="112" t="n">
        <f aca="false">IF(MONTH($A81)=MONTH($A80),SUM(I81-I80),I81)</f>
        <v>0</v>
      </c>
      <c r="K81" s="112" t="n">
        <f aca="false">IF(WEEKDAY(A81,3)&gt;4,0,(IF(A81&lt;K$2,0,IF(A81&lt;=K$3,1,0))))</f>
        <v>0</v>
      </c>
      <c r="L81" s="112" t="n">
        <f aca="false">J81*K81</f>
        <v>0</v>
      </c>
      <c r="M81" s="112" t="n">
        <f aca="false">SUM(J$6:J81)</f>
        <v>430118.813376146</v>
      </c>
      <c r="N81" s="112" t="n">
        <f aca="false">SUM(J$6:J81)</f>
        <v>430118.813376146</v>
      </c>
      <c r="P81" s="112" t="n">
        <f aca="false">D81/P$3</f>
        <v>0</v>
      </c>
      <c r="Q81" s="112" t="n">
        <f aca="false">E81/P$3</f>
        <v>0</v>
      </c>
      <c r="R81" s="112" t="n">
        <f aca="false">F81/R$3</f>
        <v>0</v>
      </c>
      <c r="S81" s="114" t="n">
        <f aca="false">J81/$R$3</f>
        <v>0</v>
      </c>
      <c r="T81" s="114" t="n">
        <f aca="false">L81/$R$3</f>
        <v>0</v>
      </c>
      <c r="U81" s="114" t="n">
        <f aca="false">I81/$R$3</f>
        <v>15.25321</v>
      </c>
      <c r="V81" s="114" t="n">
        <f aca="false">M81/$R$3</f>
        <v>430.118813376146</v>
      </c>
      <c r="W81" s="114" t="n">
        <f aca="false">N81/$R$3</f>
        <v>430.118813376146</v>
      </c>
    </row>
    <row r="82" customFormat="false" ht="12.75" hidden="true" customHeight="false" outlineLevel="0" collapsed="false">
      <c r="A82" s="108" t="n">
        <f aca="false">A81+1</f>
        <v>36968</v>
      </c>
      <c r="B82" s="119" t="str">
        <f aca="false">INDEX('Master Data'!$A$2:$B$8,MATCH(WEEKDAY('EZE Power Trading'!A82,3),'Master Data'!$A$2:$A$8,0),2)</f>
        <v>Su</v>
      </c>
      <c r="D82" s="112" t="n">
        <v>0</v>
      </c>
      <c r="E82" s="112" t="n">
        <v>0</v>
      </c>
      <c r="F82" s="112" t="n">
        <v>0</v>
      </c>
      <c r="G82" s="112" t="n">
        <v>0</v>
      </c>
      <c r="I82" s="112" t="n">
        <f aca="false">IF(MONTH($A82)=MONTH($A81),IF(G82=0,I81,G82),G82)</f>
        <v>15253.21</v>
      </c>
      <c r="J82" s="112" t="n">
        <f aca="false">IF(MONTH($A82)=MONTH($A81),SUM(I82-I81),I82)</f>
        <v>0</v>
      </c>
      <c r="K82" s="112" t="n">
        <f aca="false">IF(WEEKDAY(A82,3)&gt;4,0,(IF(A82&lt;K$2,0,IF(A82&lt;=K$3,1,0))))</f>
        <v>0</v>
      </c>
      <c r="L82" s="112" t="n">
        <f aca="false">J82*K82</f>
        <v>0</v>
      </c>
      <c r="M82" s="112" t="n">
        <f aca="false">SUM(J$6:J82)</f>
        <v>430118.813376146</v>
      </c>
      <c r="N82" s="112" t="n">
        <f aca="false">SUM(J$6:J82)</f>
        <v>430118.813376146</v>
      </c>
      <c r="P82" s="112" t="n">
        <f aca="false">D82/P$3</f>
        <v>0</v>
      </c>
      <c r="Q82" s="112" t="n">
        <f aca="false">E82/P$3</f>
        <v>0</v>
      </c>
      <c r="R82" s="112" t="n">
        <f aca="false">F82/R$3</f>
        <v>0</v>
      </c>
      <c r="S82" s="114" t="n">
        <f aca="false">J82/$R$3</f>
        <v>0</v>
      </c>
      <c r="T82" s="114" t="n">
        <f aca="false">L82/$R$3</f>
        <v>0</v>
      </c>
      <c r="U82" s="114" t="n">
        <f aca="false">I82/$R$3</f>
        <v>15.25321</v>
      </c>
      <c r="V82" s="114" t="n">
        <f aca="false">M82/$R$3</f>
        <v>430.118813376146</v>
      </c>
      <c r="W82" s="114" t="n">
        <f aca="false">N82/$R$3</f>
        <v>430.118813376146</v>
      </c>
    </row>
    <row r="83" customFormat="false" ht="12.75" hidden="true" customHeight="false" outlineLevel="0" collapsed="false">
      <c r="A83" s="108" t="n">
        <f aca="false">A82+1</f>
        <v>36969</v>
      </c>
      <c r="B83" s="119" t="str">
        <f aca="false">INDEX('Master Data'!$A$2:$B$8,MATCH(WEEKDAY('EZE Power Trading'!A83,3),'Master Data'!$A$2:$A$8,0),2)</f>
        <v>M</v>
      </c>
      <c r="D83" s="112" t="n">
        <v>-204813</v>
      </c>
      <c r="E83" s="112" t="n">
        <v>204813</v>
      </c>
      <c r="F83" s="112" t="n">
        <v>0</v>
      </c>
      <c r="G83" s="112" t="n">
        <v>18287.71</v>
      </c>
      <c r="I83" s="112" t="n">
        <f aca="false">IF(MONTH($A83)=MONTH($A82),IF(G83=0,I82,G83),G83)</f>
        <v>18287.71</v>
      </c>
      <c r="J83" s="112" t="n">
        <f aca="false">IF(MONTH($A83)=MONTH($A82),SUM(I83-I82),I83)</f>
        <v>3034.5</v>
      </c>
      <c r="K83" s="112" t="n">
        <f aca="false">IF(WEEKDAY(A83,3)&gt;4,0,(IF(A83&lt;K$2,0,IF(A83&lt;=K$3,1,0))))</f>
        <v>0</v>
      </c>
      <c r="L83" s="112" t="n">
        <f aca="false">J83*K83</f>
        <v>0</v>
      </c>
      <c r="M83" s="112" t="n">
        <f aca="false">SUM(J$6:J83)</f>
        <v>433153.313376146</v>
      </c>
      <c r="N83" s="112" t="n">
        <f aca="false">SUM(J$6:J83)</f>
        <v>433153.313376146</v>
      </c>
      <c r="P83" s="112" t="n">
        <f aca="false">D83/P$3</f>
        <v>-0.204813</v>
      </c>
      <c r="Q83" s="112" t="n">
        <f aca="false">E83/P$3</f>
        <v>0.204813</v>
      </c>
      <c r="R83" s="112" t="n">
        <f aca="false">F83/R$3</f>
        <v>0</v>
      </c>
      <c r="S83" s="114" t="n">
        <f aca="false">J83/$R$3</f>
        <v>3.0345</v>
      </c>
      <c r="T83" s="114" t="n">
        <f aca="false">L83/$R$3</f>
        <v>0</v>
      </c>
      <c r="U83" s="114" t="n">
        <f aca="false">I83/$R$3</f>
        <v>18.28771</v>
      </c>
      <c r="V83" s="114" t="n">
        <f aca="false">M83/$R$3</f>
        <v>433.153313376146</v>
      </c>
      <c r="W83" s="114" t="n">
        <f aca="false">N83/$R$3</f>
        <v>433.153313376146</v>
      </c>
    </row>
    <row r="84" customFormat="false" ht="12.75" hidden="true" customHeight="false" outlineLevel="0" collapsed="false">
      <c r="A84" s="108" t="n">
        <f aca="false">A83+1</f>
        <v>36970</v>
      </c>
      <c r="B84" s="119" t="str">
        <f aca="false">INDEX('Master Data'!$A$2:$B$8,MATCH(WEEKDAY('EZE Power Trading'!A84,3),'Master Data'!$A$2:$A$8,0),2)</f>
        <v>T</v>
      </c>
      <c r="D84" s="112" t="n">
        <v>-204072</v>
      </c>
      <c r="E84" s="112" t="n">
        <v>204072</v>
      </c>
      <c r="F84" s="112" t="n">
        <v>0</v>
      </c>
      <c r="G84" s="112" t="n">
        <v>18732.02</v>
      </c>
      <c r="I84" s="112" t="n">
        <f aca="false">IF(MONTH($A84)=MONTH($A83),IF(G84=0,I83,G84),G84)</f>
        <v>18732.02</v>
      </c>
      <c r="J84" s="112" t="n">
        <f aca="false">IF(MONTH($A84)=MONTH($A83),SUM(I84-I83),I84)</f>
        <v>444.310000000001</v>
      </c>
      <c r="K84" s="112" t="n">
        <f aca="false">IF(WEEKDAY(A84,3)&gt;4,0,(IF(A84&lt;K$2,0,IF(A84&lt;=K$3,1,0))))</f>
        <v>0</v>
      </c>
      <c r="L84" s="112" t="n">
        <f aca="false">J84*K84</f>
        <v>0</v>
      </c>
      <c r="M84" s="112" t="n">
        <f aca="false">SUM(J$6:J84)</f>
        <v>433597.623376146</v>
      </c>
      <c r="N84" s="112" t="n">
        <f aca="false">SUM(J$6:J84)</f>
        <v>433597.623376146</v>
      </c>
      <c r="P84" s="112" t="n">
        <f aca="false">D84/P$3</f>
        <v>-0.204072</v>
      </c>
      <c r="Q84" s="112" t="n">
        <f aca="false">E84/P$3</f>
        <v>0.204072</v>
      </c>
      <c r="R84" s="112" t="n">
        <f aca="false">F84/R$3</f>
        <v>0</v>
      </c>
      <c r="S84" s="114" t="n">
        <f aca="false">J84/$R$3</f>
        <v>0.444310000000001</v>
      </c>
      <c r="T84" s="114" t="n">
        <f aca="false">L84/$R$3</f>
        <v>0</v>
      </c>
      <c r="U84" s="114" t="n">
        <f aca="false">I84/$R$3</f>
        <v>18.73202</v>
      </c>
      <c r="V84" s="114" t="n">
        <f aca="false">M84/$R$3</f>
        <v>433.597623376146</v>
      </c>
      <c r="W84" s="114" t="n">
        <f aca="false">N84/$R$3</f>
        <v>433.597623376146</v>
      </c>
    </row>
    <row r="85" customFormat="false" ht="12.75" hidden="true" customHeight="false" outlineLevel="0" collapsed="false">
      <c r="A85" s="108" t="n">
        <f aca="false">A84+1</f>
        <v>36971</v>
      </c>
      <c r="B85" s="119" t="str">
        <f aca="false">INDEX('Master Data'!$A$2:$B$8,MATCH(WEEKDAY('EZE Power Trading'!A85,3),'Master Data'!$A$2:$A$8,0),2)</f>
        <v>W</v>
      </c>
      <c r="D85" s="112" t="n">
        <v>-203379</v>
      </c>
      <c r="E85" s="112" t="n">
        <v>203379</v>
      </c>
      <c r="F85" s="112" t="n">
        <v>0</v>
      </c>
      <c r="G85" s="112" t="n">
        <v>31859.16</v>
      </c>
      <c r="I85" s="112" t="n">
        <f aca="false">IF(MONTH($A85)=MONTH($A84),IF(G85=0,I84,G85),G85)</f>
        <v>31859.16</v>
      </c>
      <c r="J85" s="112" t="n">
        <f aca="false">IF(MONTH($A85)=MONTH($A84),SUM(I85-I84),I85)</f>
        <v>13127.14</v>
      </c>
      <c r="K85" s="112" t="n">
        <f aca="false">IF(WEEKDAY(A85,3)&gt;4,0,(IF(A85&lt;K$2,0,IF(A85&lt;=K$3,1,0))))</f>
        <v>0</v>
      </c>
      <c r="L85" s="112" t="n">
        <f aca="false">J85*K85</f>
        <v>0</v>
      </c>
      <c r="M85" s="112" t="n">
        <f aca="false">SUM(J$6:J85)</f>
        <v>446724.763376146</v>
      </c>
      <c r="N85" s="112" t="n">
        <f aca="false">SUM(J$6:J85)</f>
        <v>446724.763376146</v>
      </c>
      <c r="P85" s="112" t="n">
        <f aca="false">D85/P$3</f>
        <v>-0.203379</v>
      </c>
      <c r="Q85" s="112" t="n">
        <f aca="false">E85/P$3</f>
        <v>0.203379</v>
      </c>
      <c r="R85" s="112" t="n">
        <f aca="false">F85/R$3</f>
        <v>0</v>
      </c>
      <c r="S85" s="114" t="n">
        <f aca="false">J85/$R$3</f>
        <v>13.12714</v>
      </c>
      <c r="T85" s="114" t="n">
        <f aca="false">L85/$R$3</f>
        <v>0</v>
      </c>
      <c r="U85" s="114" t="n">
        <f aca="false">I85/$R$3</f>
        <v>31.85916</v>
      </c>
      <c r="V85" s="114" t="n">
        <f aca="false">M85/$R$3</f>
        <v>446.724763376146</v>
      </c>
      <c r="W85" s="114" t="n">
        <f aca="false">N85/$R$3</f>
        <v>446.724763376146</v>
      </c>
    </row>
    <row r="86" customFormat="false" ht="12.75" hidden="true" customHeight="false" outlineLevel="0" collapsed="false">
      <c r="A86" s="108" t="n">
        <f aca="false">A85+1</f>
        <v>36972</v>
      </c>
      <c r="B86" s="119" t="str">
        <f aca="false">INDEX('Master Data'!$A$2:$B$8,MATCH(WEEKDAY('EZE Power Trading'!A86,3),'Master Data'!$A$2:$A$8,0),2)</f>
        <v>Th</v>
      </c>
      <c r="D86" s="112" t="n">
        <v>-202683</v>
      </c>
      <c r="E86" s="112" t="n">
        <v>202683</v>
      </c>
      <c r="F86" s="112" t="n">
        <v>0</v>
      </c>
      <c r="G86" s="112" t="n">
        <v>33831.16</v>
      </c>
      <c r="I86" s="112" t="n">
        <f aca="false">IF(MONTH($A86)=MONTH($A85),IF(G86=0,I85,G86),G86)</f>
        <v>33831.16</v>
      </c>
      <c r="J86" s="112" t="n">
        <f aca="false">IF(MONTH($A86)=MONTH($A85),SUM(I86-I85),I86)</f>
        <v>1972</v>
      </c>
      <c r="K86" s="112" t="n">
        <f aca="false">IF(WEEKDAY(A86,3)&gt;4,0,(IF(A86&lt;K$2,0,IF(A86&lt;=K$3,1,0))))</f>
        <v>0</v>
      </c>
      <c r="L86" s="112" t="n">
        <f aca="false">J86*K86</f>
        <v>0</v>
      </c>
      <c r="M86" s="112" t="n">
        <f aca="false">SUM(J$6:J86)</f>
        <v>448696.763376146</v>
      </c>
      <c r="N86" s="112" t="n">
        <f aca="false">SUM(J$6:J86)</f>
        <v>448696.763376146</v>
      </c>
      <c r="P86" s="112" t="n">
        <f aca="false">D86/P$3</f>
        <v>-0.202683</v>
      </c>
      <c r="Q86" s="112" t="n">
        <f aca="false">E86/P$3</f>
        <v>0.202683</v>
      </c>
      <c r="R86" s="112" t="n">
        <f aca="false">F86/R$3</f>
        <v>0</v>
      </c>
      <c r="S86" s="114" t="n">
        <f aca="false">J86/$R$3</f>
        <v>1.972</v>
      </c>
      <c r="T86" s="114" t="n">
        <f aca="false">L86/$R$3</f>
        <v>0</v>
      </c>
      <c r="U86" s="114" t="n">
        <f aca="false">I86/$R$3</f>
        <v>33.83116</v>
      </c>
      <c r="V86" s="114" t="n">
        <f aca="false">M86/$R$3</f>
        <v>448.696763376146</v>
      </c>
      <c r="W86" s="114" t="n">
        <f aca="false">N86/$R$3</f>
        <v>448.696763376146</v>
      </c>
    </row>
    <row r="87" customFormat="false" ht="12.75" hidden="true" customHeight="false" outlineLevel="0" collapsed="false">
      <c r="A87" s="108" t="n">
        <f aca="false">A86+1</f>
        <v>36973</v>
      </c>
      <c r="B87" s="119" t="str">
        <f aca="false">INDEX('Master Data'!$A$2:$B$8,MATCH(WEEKDAY('EZE Power Trading'!A87,3),'Master Data'!$A$2:$A$8,0),2)</f>
        <v>F</v>
      </c>
      <c r="D87" s="112" t="n">
        <v>-201968</v>
      </c>
      <c r="E87" s="112" t="n">
        <v>201968</v>
      </c>
      <c r="F87" s="112" t="n">
        <v>0</v>
      </c>
      <c r="G87" s="112" t="n">
        <v>34228.03</v>
      </c>
      <c r="I87" s="112" t="n">
        <f aca="false">IF(MONTH($A87)=MONTH($A86),IF(G87=0,I86,G87),G87)</f>
        <v>34228.03</v>
      </c>
      <c r="J87" s="112" t="n">
        <f aca="false">IF(MONTH($A87)=MONTH($A86),SUM(I87-I86),I87)</f>
        <v>396.869999999995</v>
      </c>
      <c r="K87" s="112" t="n">
        <f aca="false">IF(WEEKDAY(A87,3)&gt;4,0,(IF(A87&lt;K$2,0,IF(A87&lt;=K$3,1,0))))</f>
        <v>0</v>
      </c>
      <c r="L87" s="112" t="n">
        <f aca="false">J87*K87</f>
        <v>0</v>
      </c>
      <c r="M87" s="112" t="n">
        <f aca="false">SUM(J$6:J87)</f>
        <v>449093.633376146</v>
      </c>
      <c r="N87" s="112" t="n">
        <f aca="false">SUM(J$6:J87)</f>
        <v>449093.633376146</v>
      </c>
      <c r="P87" s="112" t="n">
        <f aca="false">D87/P$3</f>
        <v>-0.201968</v>
      </c>
      <c r="Q87" s="112" t="n">
        <f aca="false">E87/P$3</f>
        <v>0.201968</v>
      </c>
      <c r="R87" s="112" t="n">
        <f aca="false">F87/R$3</f>
        <v>0</v>
      </c>
      <c r="S87" s="114" t="n">
        <f aca="false">J87/$R$3</f>
        <v>0.396869999999995</v>
      </c>
      <c r="T87" s="114" t="n">
        <f aca="false">L87/$R$3</f>
        <v>0</v>
      </c>
      <c r="U87" s="114" t="n">
        <f aca="false">I87/$R$3</f>
        <v>34.22803</v>
      </c>
      <c r="V87" s="114" t="n">
        <f aca="false">M87/$R$3</f>
        <v>449.093633376146</v>
      </c>
      <c r="W87" s="114" t="n">
        <f aca="false">N87/$R$3</f>
        <v>449.093633376146</v>
      </c>
    </row>
    <row r="88" customFormat="false" ht="12.75" hidden="true" customHeight="false" outlineLevel="0" collapsed="false">
      <c r="A88" s="108" t="n">
        <f aca="false">A87+1</f>
        <v>36974</v>
      </c>
      <c r="B88" s="119" t="str">
        <f aca="false">INDEX('Master Data'!$A$2:$B$8,MATCH(WEEKDAY('EZE Power Trading'!A88,3),'Master Data'!$A$2:$A$8,0),2)</f>
        <v>Sa</v>
      </c>
      <c r="D88" s="112" t="n">
        <v>0</v>
      </c>
      <c r="E88" s="112" t="n">
        <v>0</v>
      </c>
      <c r="F88" s="112" t="n">
        <v>0</v>
      </c>
      <c r="G88" s="112" t="n">
        <v>0</v>
      </c>
      <c r="I88" s="112" t="n">
        <f aca="false">IF(MONTH($A88)=MONTH($A87),IF(G88=0,I87,G88),G88)</f>
        <v>34228.03</v>
      </c>
      <c r="J88" s="112" t="n">
        <f aca="false">IF(MONTH($A88)=MONTH($A87),SUM(I88-I87),I88)</f>
        <v>0</v>
      </c>
      <c r="K88" s="112" t="n">
        <f aca="false">IF(WEEKDAY(A88,3)&gt;4,0,(IF(A88&lt;K$2,0,IF(A88&lt;=K$3,1,0))))</f>
        <v>0</v>
      </c>
      <c r="L88" s="112" t="n">
        <f aca="false">J88*K88</f>
        <v>0</v>
      </c>
      <c r="M88" s="112" t="n">
        <f aca="false">SUM(J$6:J88)</f>
        <v>449093.633376146</v>
      </c>
      <c r="N88" s="112" t="n">
        <f aca="false">SUM(J$6:J88)</f>
        <v>449093.633376146</v>
      </c>
      <c r="P88" s="112" t="n">
        <f aca="false">D88/P$3</f>
        <v>0</v>
      </c>
      <c r="Q88" s="112" t="n">
        <f aca="false">E88/P$3</f>
        <v>0</v>
      </c>
      <c r="R88" s="112" t="n">
        <f aca="false">F88/R$3</f>
        <v>0</v>
      </c>
      <c r="S88" s="114" t="n">
        <f aca="false">J88/$R$3</f>
        <v>0</v>
      </c>
      <c r="T88" s="114" t="n">
        <f aca="false">L88/$R$3</f>
        <v>0</v>
      </c>
      <c r="U88" s="114" t="n">
        <f aca="false">I88/$R$3</f>
        <v>34.22803</v>
      </c>
      <c r="V88" s="114" t="n">
        <f aca="false">M88/$R$3</f>
        <v>449.093633376146</v>
      </c>
      <c r="W88" s="114" t="n">
        <f aca="false">N88/$R$3</f>
        <v>449.093633376146</v>
      </c>
    </row>
    <row r="89" customFormat="false" ht="12.75" hidden="true" customHeight="false" outlineLevel="0" collapsed="false">
      <c r="A89" s="108" t="n">
        <f aca="false">A88+1</f>
        <v>36975</v>
      </c>
      <c r="B89" s="119" t="str">
        <f aca="false">INDEX('Master Data'!$A$2:$B$8,MATCH(WEEKDAY('EZE Power Trading'!A89,3),'Master Data'!$A$2:$A$8,0),2)</f>
        <v>Su</v>
      </c>
      <c r="D89" s="112" t="n">
        <v>0</v>
      </c>
      <c r="E89" s="112" t="n">
        <v>0</v>
      </c>
      <c r="F89" s="112" t="n">
        <v>0</v>
      </c>
      <c r="G89" s="112" t="n">
        <v>0</v>
      </c>
      <c r="I89" s="112" t="n">
        <f aca="false">IF(MONTH($A89)=MONTH($A88),IF(G89=0,I88,G89),G89)</f>
        <v>34228.03</v>
      </c>
      <c r="J89" s="112" t="n">
        <f aca="false">IF(MONTH($A89)=MONTH($A88),SUM(I89-I88),I89)</f>
        <v>0</v>
      </c>
      <c r="K89" s="112" t="n">
        <f aca="false">IF(WEEKDAY(A89,3)&gt;4,0,(IF(A89&lt;K$2,0,IF(A89&lt;=K$3,1,0))))</f>
        <v>0</v>
      </c>
      <c r="L89" s="112" t="n">
        <f aca="false">J89*K89</f>
        <v>0</v>
      </c>
      <c r="M89" s="112" t="n">
        <f aca="false">SUM(J$6:J89)</f>
        <v>449093.633376146</v>
      </c>
      <c r="N89" s="112" t="n">
        <f aca="false">SUM(J$6:J89)</f>
        <v>449093.633376146</v>
      </c>
      <c r="P89" s="112" t="n">
        <f aca="false">D89/P$3</f>
        <v>0</v>
      </c>
      <c r="Q89" s="112" t="n">
        <f aca="false">E89/P$3</f>
        <v>0</v>
      </c>
      <c r="R89" s="112" t="n">
        <f aca="false">F89/R$3</f>
        <v>0</v>
      </c>
      <c r="S89" s="114" t="n">
        <f aca="false">J89/$R$3</f>
        <v>0</v>
      </c>
      <c r="T89" s="114" t="n">
        <f aca="false">L89/$R$3</f>
        <v>0</v>
      </c>
      <c r="U89" s="114" t="n">
        <f aca="false">I89/$R$3</f>
        <v>34.22803</v>
      </c>
      <c r="V89" s="114" t="n">
        <f aca="false">M89/$R$3</f>
        <v>449.093633376146</v>
      </c>
      <c r="W89" s="114" t="n">
        <f aca="false">N89/$R$3</f>
        <v>449.093633376146</v>
      </c>
    </row>
    <row r="90" customFormat="false" ht="12.75" hidden="true" customHeight="false" outlineLevel="0" collapsed="false">
      <c r="A90" s="108" t="n">
        <f aca="false">A89+1</f>
        <v>36976</v>
      </c>
      <c r="B90" s="119" t="str">
        <f aca="false">INDEX('Master Data'!$A$2:$B$8,MATCH(WEEKDAY('EZE Power Trading'!A90,3),'Master Data'!$A$2:$A$8,0),2)</f>
        <v>M</v>
      </c>
      <c r="D90" s="112" t="n">
        <v>-199920</v>
      </c>
      <c r="E90" s="112" t="n">
        <v>199920</v>
      </c>
      <c r="F90" s="112" t="n">
        <v>0</v>
      </c>
      <c r="G90" s="112" t="n">
        <v>44868.59</v>
      </c>
      <c r="I90" s="112" t="n">
        <f aca="false">IF(MONTH($A90)=MONTH($A89),IF(G90=0,I89,G90),G90)</f>
        <v>44868.59</v>
      </c>
      <c r="J90" s="112" t="n">
        <f aca="false">IF(MONTH($A90)=MONTH($A89),SUM(I90-I89),I90)</f>
        <v>10640.56</v>
      </c>
      <c r="K90" s="112" t="n">
        <f aca="false">IF(WEEKDAY(A90,3)&gt;4,0,(IF(A90&lt;K$2,0,IF(A90&lt;=K$3,1,0))))</f>
        <v>0</v>
      </c>
      <c r="L90" s="112" t="n">
        <f aca="false">J90*K90</f>
        <v>0</v>
      </c>
      <c r="M90" s="112" t="n">
        <f aca="false">SUM(J$6:J90)</f>
        <v>459734.193376146</v>
      </c>
      <c r="N90" s="112" t="n">
        <f aca="false">SUM(J$6:J90)</f>
        <v>459734.193376146</v>
      </c>
      <c r="P90" s="112" t="n">
        <f aca="false">D90/P$3</f>
        <v>-0.19992</v>
      </c>
      <c r="Q90" s="112" t="n">
        <f aca="false">E90/P$3</f>
        <v>0.19992</v>
      </c>
      <c r="R90" s="112" t="n">
        <f aca="false">F90/R$3</f>
        <v>0</v>
      </c>
      <c r="S90" s="114" t="n">
        <f aca="false">J90/$R$3</f>
        <v>10.64056</v>
      </c>
      <c r="T90" s="114" t="n">
        <f aca="false">L90/$R$3</f>
        <v>0</v>
      </c>
      <c r="U90" s="114" t="n">
        <f aca="false">I90/$R$3</f>
        <v>44.86859</v>
      </c>
      <c r="V90" s="114" t="n">
        <f aca="false">M90/$R$3</f>
        <v>459.734193376146</v>
      </c>
      <c r="W90" s="114" t="n">
        <f aca="false">N90/$R$3</f>
        <v>459.734193376146</v>
      </c>
    </row>
    <row r="91" customFormat="false" ht="12.75" hidden="true" customHeight="false" outlineLevel="0" collapsed="false">
      <c r="A91" s="108" t="n">
        <f aca="false">A90+1</f>
        <v>36977</v>
      </c>
      <c r="B91" s="119" t="str">
        <f aca="false">INDEX('Master Data'!$A$2:$B$8,MATCH(WEEKDAY('EZE Power Trading'!A91,3),'Master Data'!$A$2:$A$8,0),2)</f>
        <v>T</v>
      </c>
      <c r="D91" s="112" t="n">
        <v>-199188</v>
      </c>
      <c r="E91" s="112" t="n">
        <v>199188</v>
      </c>
      <c r="F91" s="112" t="n">
        <v>0</v>
      </c>
      <c r="G91" s="112" t="n">
        <v>45931.6</v>
      </c>
      <c r="I91" s="112" t="n">
        <f aca="false">IF(MONTH($A91)=MONTH($A90),IF(G91=0,I90,G91),G91)</f>
        <v>45931.6</v>
      </c>
      <c r="J91" s="112" t="n">
        <f aca="false">IF(MONTH($A91)=MONTH($A90),SUM(I91-I90),I91)</f>
        <v>1063.01</v>
      </c>
      <c r="K91" s="112" t="n">
        <f aca="false">IF(WEEKDAY(A91,3)&gt;4,0,(IF(A91&lt;K$2,0,IF(A91&lt;=K$3,1,0))))</f>
        <v>0</v>
      </c>
      <c r="L91" s="112" t="n">
        <f aca="false">J91*K91</f>
        <v>0</v>
      </c>
      <c r="M91" s="112" t="n">
        <f aca="false">SUM(J$6:J91)</f>
        <v>460797.203376146</v>
      </c>
      <c r="N91" s="112" t="n">
        <f aca="false">SUM(J$6:J91)</f>
        <v>460797.203376146</v>
      </c>
      <c r="P91" s="112" t="n">
        <f aca="false">D91/P$3</f>
        <v>-0.199188</v>
      </c>
      <c r="Q91" s="112" t="n">
        <f aca="false">E91/P$3</f>
        <v>0.199188</v>
      </c>
      <c r="R91" s="112" t="n">
        <f aca="false">F91/R$3</f>
        <v>0</v>
      </c>
      <c r="S91" s="114" t="n">
        <f aca="false">J91/$R$3</f>
        <v>1.06301</v>
      </c>
      <c r="T91" s="114" t="n">
        <f aca="false">L91/$R$3</f>
        <v>0</v>
      </c>
      <c r="U91" s="114" t="n">
        <f aca="false">I91/$R$3</f>
        <v>45.9316</v>
      </c>
      <c r="V91" s="114" t="n">
        <f aca="false">M91/$R$3</f>
        <v>460.797203376146</v>
      </c>
      <c r="W91" s="114" t="n">
        <f aca="false">N91/$R$3</f>
        <v>460.797203376146</v>
      </c>
    </row>
    <row r="92" customFormat="false" ht="12.75" hidden="true" customHeight="false" outlineLevel="0" collapsed="false">
      <c r="A92" s="108" t="n">
        <f aca="false">A91+1</f>
        <v>36978</v>
      </c>
      <c r="B92" s="119" t="str">
        <f aca="false">INDEX('Master Data'!$A$2:$B$8,MATCH(WEEKDAY('EZE Power Trading'!A92,3),'Master Data'!$A$2:$A$8,0),2)</f>
        <v>W</v>
      </c>
      <c r="D92" s="112" t="n">
        <v>-198411</v>
      </c>
      <c r="E92" s="112" t="n">
        <v>198411</v>
      </c>
      <c r="F92" s="112" t="n">
        <v>0</v>
      </c>
      <c r="G92" s="112" t="n">
        <v>48361.25</v>
      </c>
      <c r="I92" s="112" t="n">
        <f aca="false">IF(MONTH($A92)=MONTH($A91),IF(G92=0,I91,G92),G92)</f>
        <v>48361.25</v>
      </c>
      <c r="J92" s="112" t="n">
        <f aca="false">IF(MONTH($A92)=MONTH($A91),SUM(I92-I91),I92)</f>
        <v>2429.65</v>
      </c>
      <c r="K92" s="112" t="n">
        <f aca="false">IF(WEEKDAY(A92,3)&gt;4,0,(IF(A92&lt;K$2,0,IF(A92&lt;=K$3,1,0))))</f>
        <v>0</v>
      </c>
      <c r="L92" s="112" t="n">
        <f aca="false">J92*K92</f>
        <v>0</v>
      </c>
      <c r="M92" s="112" t="n">
        <f aca="false">SUM(J$6:J92)</f>
        <v>463226.853376146</v>
      </c>
      <c r="N92" s="112" t="n">
        <f aca="false">SUM(J$6:J92)</f>
        <v>463226.853376146</v>
      </c>
      <c r="P92" s="112" t="n">
        <f aca="false">D92/P$3</f>
        <v>-0.198411</v>
      </c>
      <c r="Q92" s="112" t="n">
        <f aca="false">E92/P$3</f>
        <v>0.198411</v>
      </c>
      <c r="R92" s="112" t="n">
        <f aca="false">F92/R$3</f>
        <v>0</v>
      </c>
      <c r="S92" s="114" t="n">
        <f aca="false">J92/$R$3</f>
        <v>2.42965</v>
      </c>
      <c r="T92" s="114" t="n">
        <f aca="false">L92/$R$3</f>
        <v>0</v>
      </c>
      <c r="U92" s="114" t="n">
        <f aca="false">I92/$R$3</f>
        <v>48.36125</v>
      </c>
      <c r="V92" s="114" t="n">
        <f aca="false">M92/$R$3</f>
        <v>463.226853376146</v>
      </c>
      <c r="W92" s="114" t="n">
        <f aca="false">N92/$R$3</f>
        <v>463.226853376146</v>
      </c>
    </row>
    <row r="93" customFormat="false" ht="12.75" hidden="true" customHeight="false" outlineLevel="0" collapsed="false">
      <c r="A93" s="108" t="n">
        <f aca="false">A92+1</f>
        <v>36979</v>
      </c>
      <c r="B93" s="119" t="str">
        <f aca="false">INDEX('Master Data'!$A$2:$B$8,MATCH(WEEKDAY('EZE Power Trading'!A93,3),'Master Data'!$A$2:$A$8,0),2)</f>
        <v>Th</v>
      </c>
      <c r="D93" s="112" t="n">
        <v>-197677</v>
      </c>
      <c r="E93" s="112" t="n">
        <v>197677</v>
      </c>
      <c r="F93" s="112" t="n">
        <v>0</v>
      </c>
      <c r="G93" s="112" t="n">
        <v>59334.59</v>
      </c>
      <c r="I93" s="112" t="n">
        <f aca="false">IF(MONTH($A93)=MONTH($A92),IF(G93=0,I92,G93),G93)</f>
        <v>59334.59</v>
      </c>
      <c r="J93" s="112" t="n">
        <f aca="false">IF(MONTH($A93)=MONTH($A92),SUM(I93-I92),I93)</f>
        <v>10973.34</v>
      </c>
      <c r="K93" s="112" t="n">
        <f aca="false">IF(WEEKDAY(A93,3)&gt;4,0,(IF(A93&lt;K$2,0,IF(A93&lt;=K$3,1,0))))</f>
        <v>0</v>
      </c>
      <c r="L93" s="112" t="n">
        <f aca="false">J93*K93</f>
        <v>0</v>
      </c>
      <c r="M93" s="112" t="n">
        <f aca="false">SUM(J$6:J93)</f>
        <v>474200.193376146</v>
      </c>
      <c r="N93" s="112" t="n">
        <f aca="false">SUM(J$6:J93)</f>
        <v>474200.193376146</v>
      </c>
      <c r="P93" s="112" t="n">
        <f aca="false">D93/P$3</f>
        <v>-0.197677</v>
      </c>
      <c r="Q93" s="112" t="n">
        <f aca="false">E93/P$3</f>
        <v>0.197677</v>
      </c>
      <c r="R93" s="112" t="n">
        <f aca="false">F93/R$3</f>
        <v>0</v>
      </c>
      <c r="S93" s="114" t="n">
        <f aca="false">J93/$R$3</f>
        <v>10.97334</v>
      </c>
      <c r="T93" s="114" t="n">
        <f aca="false">L93/$R$3</f>
        <v>0</v>
      </c>
      <c r="U93" s="114" t="n">
        <f aca="false">I93/$R$3</f>
        <v>59.33459</v>
      </c>
      <c r="V93" s="114" t="n">
        <f aca="false">M93/$R$3</f>
        <v>474.200193376146</v>
      </c>
      <c r="W93" s="114" t="n">
        <f aca="false">N93/$R$3</f>
        <v>474.200193376146</v>
      </c>
    </row>
    <row r="94" customFormat="false" ht="12.75" hidden="false" customHeight="false" outlineLevel="0" collapsed="false">
      <c r="A94" s="108" t="n">
        <f aca="false">A93+1</f>
        <v>36980</v>
      </c>
      <c r="B94" s="119" t="str">
        <f aca="false">INDEX('Master Data'!$A$2:$B$8,MATCH(WEEKDAY('EZE Power Trading'!A94,3),'Master Data'!$A$2:$A$8,0),2)</f>
        <v>F</v>
      </c>
      <c r="D94" s="112" t="n">
        <v>-196318</v>
      </c>
      <c r="E94" s="112" t="n">
        <v>196318</v>
      </c>
      <c r="F94" s="112" t="n">
        <v>0</v>
      </c>
      <c r="G94" s="112" t="n">
        <v>69321.0620416571</v>
      </c>
      <c r="I94" s="112" t="n">
        <f aca="false">IF(MONTH($A94)=MONTH($A93),IF(G94=0,I93,G94),G94)</f>
        <v>69321.0620416571</v>
      </c>
      <c r="J94" s="112" t="n">
        <f aca="false">IF(MONTH($A94)=MONTH($A93),SUM(I94-I93),I94)</f>
        <v>9986.47204165705</v>
      </c>
      <c r="K94" s="112" t="n">
        <f aca="false">IF(WEEKDAY(A94,3)&gt;4,0,(IF(A94&lt;K$2,0,IF(A94&lt;=K$3,1,0))))</f>
        <v>0</v>
      </c>
      <c r="L94" s="112" t="n">
        <f aca="false">J94*K94</f>
        <v>0</v>
      </c>
      <c r="M94" s="112" t="n">
        <f aca="false">SUM(J$6:J94)</f>
        <v>484186.665417803</v>
      </c>
      <c r="N94" s="112" t="n">
        <f aca="false">SUM(J$6:J94)</f>
        <v>484186.665417803</v>
      </c>
      <c r="P94" s="112" t="n">
        <f aca="false">D94/P$3</f>
        <v>-0.196318</v>
      </c>
      <c r="Q94" s="112" t="n">
        <f aca="false">E94/P$3</f>
        <v>0.196318</v>
      </c>
      <c r="R94" s="112" t="n">
        <f aca="false">F94/R$3</f>
        <v>0</v>
      </c>
      <c r="S94" s="114" t="n">
        <f aca="false">J94/$R$3</f>
        <v>9.98647204165705</v>
      </c>
      <c r="T94" s="114" t="n">
        <f aca="false">L94/$R$3</f>
        <v>0</v>
      </c>
      <c r="U94" s="114" t="n">
        <f aca="false">I94/$R$3</f>
        <v>69.321062041657</v>
      </c>
      <c r="V94" s="114" t="n">
        <f aca="false">M94/$R$3</f>
        <v>484.186665417803</v>
      </c>
      <c r="W94" s="114" t="n">
        <f aca="false">N94/$R$3</f>
        <v>484.186665417803</v>
      </c>
    </row>
    <row r="95" customFormat="false" ht="12.75" hidden="true" customHeight="false" outlineLevel="0" collapsed="false">
      <c r="A95" s="108" t="n">
        <f aca="false">A94+1</f>
        <v>36981</v>
      </c>
      <c r="B95" s="119" t="str">
        <f aca="false">INDEX('Master Data'!$A$2:$B$8,MATCH(WEEKDAY('EZE Power Trading'!A95,3),'Master Data'!$A$2:$A$8,0),2)</f>
        <v>Sa</v>
      </c>
      <c r="D95" s="112" t="n">
        <v>0</v>
      </c>
      <c r="E95" s="112" t="n">
        <v>0</v>
      </c>
      <c r="F95" s="112" t="n">
        <v>0</v>
      </c>
      <c r="G95" s="112" t="n">
        <v>0</v>
      </c>
      <c r="I95" s="112" t="n">
        <f aca="false">IF(MONTH($A95)=MONTH($A94),IF(G95=0,I94,G95),G95)</f>
        <v>69321.0620416571</v>
      </c>
      <c r="J95" s="112" t="n">
        <f aca="false">IF(MONTH($A95)=MONTH($A94),SUM(I95-I94),I95)</f>
        <v>0</v>
      </c>
      <c r="K95" s="112" t="n">
        <f aca="false">IF(WEEKDAY(A95,3)&gt;4,0,(IF(A95&lt;K$2,0,IF(A95&lt;=K$3,1,0))))</f>
        <v>0</v>
      </c>
      <c r="L95" s="112" t="n">
        <f aca="false">J95*K95</f>
        <v>0</v>
      </c>
      <c r="M95" s="112" t="n">
        <f aca="false">SUM(J$6:J95)</f>
        <v>484186.665417803</v>
      </c>
      <c r="N95" s="112" t="n">
        <f aca="false">SUM(J$6:J95)</f>
        <v>484186.665417803</v>
      </c>
      <c r="P95" s="112" t="n">
        <f aca="false">D95/P$3</f>
        <v>0</v>
      </c>
      <c r="Q95" s="112" t="n">
        <f aca="false">E95/P$3</f>
        <v>0</v>
      </c>
      <c r="R95" s="112" t="n">
        <f aca="false">F95/R$3</f>
        <v>0</v>
      </c>
      <c r="S95" s="114" t="n">
        <f aca="false">J95/$R$3</f>
        <v>0</v>
      </c>
      <c r="T95" s="114" t="n">
        <f aca="false">L95/$R$3</f>
        <v>0</v>
      </c>
      <c r="U95" s="114" t="n">
        <f aca="false">I95/$R$3</f>
        <v>69.321062041657</v>
      </c>
      <c r="V95" s="114" t="n">
        <f aca="false">M95/$R$3</f>
        <v>484.186665417803</v>
      </c>
      <c r="W95" s="114" t="n">
        <f aca="false">N95/$R$3</f>
        <v>484.186665417803</v>
      </c>
    </row>
    <row r="96" customFormat="false" ht="12.75" hidden="true" customHeight="false" outlineLevel="0" collapsed="false">
      <c r="A96" s="108" t="n">
        <f aca="false">A95+1</f>
        <v>36982</v>
      </c>
      <c r="B96" s="119" t="str">
        <f aca="false">INDEX('Master Data'!$A$2:$B$8,MATCH(WEEKDAY('EZE Power Trading'!A96,3),'Master Data'!$A$2:$A$8,0),2)</f>
        <v>Su</v>
      </c>
      <c r="D96" s="112" t="n">
        <v>0</v>
      </c>
      <c r="E96" s="112" t="n">
        <v>0</v>
      </c>
      <c r="F96" s="112" t="n">
        <v>0</v>
      </c>
      <c r="G96" s="112" t="n">
        <v>0</v>
      </c>
      <c r="I96" s="112" t="n">
        <f aca="false">IF(MONTH($A96)=MONTH($A95),IF(G96=0,I95,G96),G96)</f>
        <v>0</v>
      </c>
      <c r="J96" s="112" t="n">
        <f aca="false">IF(MONTH($A96)=MONTH($A95),SUM(I96-I95),I96)</f>
        <v>0</v>
      </c>
      <c r="K96" s="112" t="n">
        <f aca="false">IF(WEEKDAY(A96,3)&gt;4,0,(IF(A96&lt;K$2,0,IF(A96&lt;=K$3,1,0))))</f>
        <v>0</v>
      </c>
      <c r="L96" s="112" t="n">
        <f aca="false">J96*K96</f>
        <v>0</v>
      </c>
      <c r="M96" s="112" t="n">
        <f aca="false">SUM(J$6:J96)</f>
        <v>484186.665417803</v>
      </c>
      <c r="N96" s="112" t="n">
        <f aca="false">SUM(J$6:J96)</f>
        <v>484186.665417803</v>
      </c>
      <c r="P96" s="112" t="n">
        <f aca="false">D96/P$3</f>
        <v>0</v>
      </c>
      <c r="Q96" s="112" t="n">
        <f aca="false">E96/P$3</f>
        <v>0</v>
      </c>
      <c r="R96" s="112" t="n">
        <f aca="false">F96/R$3</f>
        <v>0</v>
      </c>
      <c r="S96" s="114" t="n">
        <f aca="false">J96/$R$3</f>
        <v>0</v>
      </c>
      <c r="T96" s="114" t="n">
        <f aca="false">L96/$R$3</f>
        <v>0</v>
      </c>
      <c r="U96" s="114" t="n">
        <f aca="false">I96/$R$3</f>
        <v>0</v>
      </c>
      <c r="V96" s="114" t="n">
        <f aca="false">M96/$R$3</f>
        <v>484.186665417803</v>
      </c>
      <c r="W96" s="114" t="n">
        <f aca="false">N96/$R$3</f>
        <v>484.186665417803</v>
      </c>
    </row>
    <row r="97" customFormat="false" ht="12.75" hidden="true" customHeight="false" outlineLevel="0" collapsed="false">
      <c r="A97" s="108" t="n">
        <f aca="false">A96+1</f>
        <v>36983</v>
      </c>
      <c r="B97" s="119" t="str">
        <f aca="false">INDEX('Master Data'!$A$2:$B$8,MATCH(WEEKDAY('EZE Power Trading'!A97,3),'Master Data'!$A$2:$A$8,0),2)</f>
        <v>M</v>
      </c>
      <c r="D97" s="112" t="n">
        <v>-194974</v>
      </c>
      <c r="E97" s="112" t="n">
        <v>194974</v>
      </c>
      <c r="F97" s="112" t="n">
        <v>0</v>
      </c>
      <c r="G97" s="112" t="n">
        <v>183.6</v>
      </c>
      <c r="I97" s="112" t="n">
        <f aca="false">IF(MONTH($A97)=MONTH($A96),IF(G97=0,I96,G97),G97)</f>
        <v>183.6</v>
      </c>
      <c r="J97" s="112" t="n">
        <f aca="false">IF(MONTH($A97)=MONTH($A96),SUM(I97-I96),I97)</f>
        <v>183.6</v>
      </c>
      <c r="K97" s="112" t="n">
        <f aca="false">IF(WEEKDAY(A97,3)&gt;4,0,(IF(A97&lt;K$2,0,IF(A97&lt;=K$3,1,0))))</f>
        <v>0</v>
      </c>
      <c r="L97" s="112" t="n">
        <f aca="false">J97*K97</f>
        <v>0</v>
      </c>
      <c r="M97" s="112" t="n">
        <f aca="false">SUM(J$97:J97)</f>
        <v>183.6</v>
      </c>
      <c r="N97" s="112" t="n">
        <f aca="false">SUM(J$6:J97)</f>
        <v>484370.265417803</v>
      </c>
      <c r="P97" s="112" t="n">
        <f aca="false">D97/P$3</f>
        <v>-0.194974</v>
      </c>
      <c r="Q97" s="112" t="n">
        <f aca="false">E97/P$3</f>
        <v>0.194974</v>
      </c>
      <c r="R97" s="112" t="n">
        <f aca="false">F97/R$3</f>
        <v>0</v>
      </c>
      <c r="S97" s="114" t="n">
        <f aca="false">J97/$R$3</f>
        <v>0.1836</v>
      </c>
      <c r="T97" s="114" t="n">
        <f aca="false">L97/$R$3</f>
        <v>0</v>
      </c>
      <c r="U97" s="114" t="n">
        <f aca="false">I97/$R$3</f>
        <v>0.1836</v>
      </c>
      <c r="V97" s="114" t="n">
        <f aca="false">M97/$R$3</f>
        <v>0.1836</v>
      </c>
      <c r="W97" s="114" t="n">
        <f aca="false">N97/$R$3</f>
        <v>484.370265417803</v>
      </c>
    </row>
    <row r="98" customFormat="false" ht="12.75" hidden="true" customHeight="false" outlineLevel="0" collapsed="false">
      <c r="A98" s="108" t="n">
        <f aca="false">A97+1</f>
        <v>36984</v>
      </c>
      <c r="B98" s="119" t="str">
        <f aca="false">INDEX('Master Data'!$A$2:$B$8,MATCH(WEEKDAY('EZE Power Trading'!A98,3),'Master Data'!$A$2:$A$8,0),2)</f>
        <v>T</v>
      </c>
      <c r="D98" s="112" t="n">
        <v>-194256</v>
      </c>
      <c r="E98" s="112" t="n">
        <v>194256</v>
      </c>
      <c r="F98" s="112" t="n">
        <v>0</v>
      </c>
      <c r="G98" s="112" t="n">
        <v>8473.08</v>
      </c>
      <c r="I98" s="112" t="n">
        <f aca="false">IF(MONTH($A98)=MONTH($A97),IF(G98=0,I97,G98),G98)</f>
        <v>8473.08</v>
      </c>
      <c r="J98" s="112" t="n">
        <f aca="false">IF(MONTH($A98)=MONTH($A97),SUM(I98-I97),I98)</f>
        <v>8289.48</v>
      </c>
      <c r="K98" s="112" t="n">
        <f aca="false">IF(WEEKDAY(A98,3)&gt;4,0,(IF(A98&lt;K$2,0,IF(A98&lt;=K$3,1,0))))</f>
        <v>0</v>
      </c>
      <c r="L98" s="112" t="n">
        <f aca="false">J98*K98</f>
        <v>0</v>
      </c>
      <c r="M98" s="112" t="n">
        <f aca="false">SUM(J$97:J98)</f>
        <v>8473.08</v>
      </c>
      <c r="N98" s="112" t="n">
        <f aca="false">SUM(J$6:J98)</f>
        <v>492659.745417803</v>
      </c>
      <c r="P98" s="112" t="n">
        <f aca="false">D98/P$3</f>
        <v>-0.194256</v>
      </c>
      <c r="Q98" s="112" t="n">
        <f aca="false">E98/P$3</f>
        <v>0.194256</v>
      </c>
      <c r="R98" s="112" t="n">
        <f aca="false">F98/R$3</f>
        <v>0</v>
      </c>
      <c r="S98" s="114" t="n">
        <f aca="false">J98/$R$3</f>
        <v>8.28948</v>
      </c>
      <c r="T98" s="114" t="n">
        <f aca="false">L98/$R$3</f>
        <v>0</v>
      </c>
      <c r="U98" s="114" t="n">
        <f aca="false">I98/$R$3</f>
        <v>8.47308</v>
      </c>
      <c r="V98" s="114" t="n">
        <f aca="false">M98/$R$3</f>
        <v>8.47308</v>
      </c>
      <c r="W98" s="114" t="n">
        <f aca="false">N98/$R$3</f>
        <v>492.659745417804</v>
      </c>
    </row>
    <row r="99" customFormat="false" ht="12.75" hidden="true" customHeight="false" outlineLevel="0" collapsed="false">
      <c r="A99" s="108" t="n">
        <f aca="false">A98+1</f>
        <v>36985</v>
      </c>
      <c r="B99" s="119" t="str">
        <f aca="false">INDEX('Master Data'!$A$2:$B$8,MATCH(WEEKDAY('EZE Power Trading'!A99,3),'Master Data'!$A$2:$A$8,0),2)</f>
        <v>W</v>
      </c>
      <c r="D99" s="112" t="n">
        <v>-193547</v>
      </c>
      <c r="E99" s="112" t="n">
        <v>193547</v>
      </c>
      <c r="F99" s="112" t="n">
        <v>0</v>
      </c>
      <c r="G99" s="112" t="n">
        <v>5765.21</v>
      </c>
      <c r="I99" s="112" t="n">
        <f aca="false">IF(MONTH($A99)=MONTH($A98),IF(G99=0,I98,G99),G99)</f>
        <v>5765.21</v>
      </c>
      <c r="J99" s="112" t="n">
        <f aca="false">IF(MONTH($A99)=MONTH($A98),SUM(I99-I98),I99)</f>
        <v>-2707.87</v>
      </c>
      <c r="K99" s="112" t="n">
        <f aca="false">IF(WEEKDAY(A99,3)&gt;4,0,(IF(A99&lt;K$2,0,IF(A99&lt;=K$3,1,0))))</f>
        <v>0</v>
      </c>
      <c r="L99" s="112" t="n">
        <f aca="false">J99*K99</f>
        <v>-0</v>
      </c>
      <c r="M99" s="112" t="n">
        <f aca="false">SUM(J$97:J99)</f>
        <v>5765.21</v>
      </c>
      <c r="N99" s="112" t="n">
        <f aca="false">SUM(J$6:J99)</f>
        <v>489951.875417804</v>
      </c>
      <c r="P99" s="112" t="n">
        <f aca="false">D99/P$3</f>
        <v>-0.193547</v>
      </c>
      <c r="Q99" s="112" t="n">
        <f aca="false">E99/P$3</f>
        <v>0.193547</v>
      </c>
      <c r="R99" s="112" t="n">
        <f aca="false">F99/R$3</f>
        <v>0</v>
      </c>
      <c r="S99" s="114" t="n">
        <f aca="false">J99/$R$3</f>
        <v>-2.70787</v>
      </c>
      <c r="T99" s="114" t="n">
        <f aca="false">L99/$R$3</f>
        <v>-0</v>
      </c>
      <c r="U99" s="114" t="n">
        <f aca="false">I99/$R$3</f>
        <v>5.76521</v>
      </c>
      <c r="V99" s="114" t="n">
        <f aca="false">M99/$R$3</f>
        <v>5.76521</v>
      </c>
      <c r="W99" s="114" t="n">
        <f aca="false">N99/$R$3</f>
        <v>489.951875417804</v>
      </c>
    </row>
    <row r="100" customFormat="false" ht="12.75" hidden="true" customHeight="false" outlineLevel="0" collapsed="false">
      <c r="A100" s="108" t="n">
        <f aca="false">A99+1</f>
        <v>36986</v>
      </c>
      <c r="B100" s="119" t="str">
        <f aca="false">INDEX('Master Data'!$A$2:$B$8,MATCH(WEEKDAY('EZE Power Trading'!A100,3),'Master Data'!$A$2:$A$8,0),2)</f>
        <v>Th</v>
      </c>
      <c r="D100" s="112" t="n">
        <v>-192857</v>
      </c>
      <c r="E100" s="112" t="n">
        <v>192857</v>
      </c>
      <c r="F100" s="112" t="n">
        <v>0</v>
      </c>
      <c r="G100" s="112" t="n">
        <v>6352.62</v>
      </c>
      <c r="I100" s="112" t="n">
        <f aca="false">IF(MONTH($A100)=MONTH($A99),IF(G100=0,I99,G100),G100)</f>
        <v>6352.62</v>
      </c>
      <c r="J100" s="112" t="n">
        <f aca="false">IF(MONTH($A100)=MONTH($A99),SUM(I100-I99),I100)</f>
        <v>587.41</v>
      </c>
      <c r="K100" s="112" t="n">
        <f aca="false">IF(WEEKDAY(A100,3)&gt;4,0,(IF(A100&lt;K$2,0,IF(A100&lt;=K$3,1,0))))</f>
        <v>0</v>
      </c>
      <c r="L100" s="112" t="n">
        <f aca="false">J100*K100</f>
        <v>0</v>
      </c>
      <c r="M100" s="112" t="n">
        <f aca="false">SUM(J$97:J100)</f>
        <v>6352.62</v>
      </c>
      <c r="N100" s="112" t="n">
        <f aca="false">SUM(J$6:J100)</f>
        <v>490539.285417803</v>
      </c>
      <c r="P100" s="112" t="n">
        <f aca="false">D100/P$3</f>
        <v>-0.192857</v>
      </c>
      <c r="Q100" s="112" t="n">
        <f aca="false">E100/P$3</f>
        <v>0.192857</v>
      </c>
      <c r="R100" s="112" t="n">
        <f aca="false">F100/R$3</f>
        <v>0</v>
      </c>
      <c r="S100" s="114" t="n">
        <f aca="false">J100/$R$3</f>
        <v>0.58741</v>
      </c>
      <c r="T100" s="114" t="n">
        <f aca="false">L100/$R$3</f>
        <v>0</v>
      </c>
      <c r="U100" s="114" t="n">
        <f aca="false">I100/$R$3</f>
        <v>6.35262</v>
      </c>
      <c r="V100" s="114" t="n">
        <f aca="false">M100/$R$3</f>
        <v>6.35262</v>
      </c>
      <c r="W100" s="114" t="n">
        <f aca="false">N100/$R$3</f>
        <v>490.539285417803</v>
      </c>
    </row>
    <row r="101" customFormat="false" ht="12.75" hidden="true" customHeight="false" outlineLevel="0" collapsed="false">
      <c r="A101" s="108" t="n">
        <f aca="false">A100+1</f>
        <v>36987</v>
      </c>
      <c r="B101" s="119" t="str">
        <f aca="false">INDEX('Master Data'!$A$2:$B$8,MATCH(WEEKDAY('EZE Power Trading'!A101,3),'Master Data'!$A$2:$A$8,0),2)</f>
        <v>F</v>
      </c>
      <c r="D101" s="112" t="n">
        <v>-192102</v>
      </c>
      <c r="E101" s="112" t="n">
        <v>192102</v>
      </c>
      <c r="F101" s="112" t="n">
        <v>0</v>
      </c>
      <c r="G101" s="112" t="n">
        <v>7090.37</v>
      </c>
      <c r="I101" s="112" t="n">
        <f aca="false">IF(MONTH($A101)=MONTH($A100),IF(G101=0,I100,G101),G101)</f>
        <v>7090.37</v>
      </c>
      <c r="J101" s="112" t="n">
        <f aca="false">IF(MONTH($A101)=MONTH($A100),SUM(I101-I100),I101)</f>
        <v>737.75</v>
      </c>
      <c r="K101" s="112" t="n">
        <f aca="false">IF(WEEKDAY(A101,3)&gt;4,0,(IF(A101&lt;K$2,0,IF(A101&lt;=K$3,1,0))))</f>
        <v>0</v>
      </c>
      <c r="L101" s="112" t="n">
        <f aca="false">J101*K101</f>
        <v>0</v>
      </c>
      <c r="M101" s="112" t="n">
        <f aca="false">SUM(J$97:J101)</f>
        <v>7090.37</v>
      </c>
      <c r="N101" s="112" t="n">
        <f aca="false">SUM(J$6:J101)</f>
        <v>491277.035417803</v>
      </c>
      <c r="P101" s="112" t="n">
        <f aca="false">D101/P$3</f>
        <v>-0.192102</v>
      </c>
      <c r="Q101" s="112" t="n">
        <f aca="false">E101/P$3</f>
        <v>0.192102</v>
      </c>
      <c r="R101" s="112" t="n">
        <f aca="false">F101/R$3</f>
        <v>0</v>
      </c>
      <c r="S101" s="114" t="n">
        <f aca="false">J101/$R$3</f>
        <v>0.73775</v>
      </c>
      <c r="T101" s="114" t="n">
        <f aca="false">L101/$R$3</f>
        <v>0</v>
      </c>
      <c r="U101" s="114" t="n">
        <f aca="false">I101/$R$3</f>
        <v>7.09037</v>
      </c>
      <c r="V101" s="114" t="n">
        <f aca="false">M101/$R$3</f>
        <v>7.09037</v>
      </c>
      <c r="W101" s="114" t="n">
        <f aca="false">N101/$R$3</f>
        <v>491.277035417803</v>
      </c>
    </row>
    <row r="102" customFormat="false" ht="12.75" hidden="true" customHeight="false" outlineLevel="0" collapsed="false">
      <c r="A102" s="108" t="n">
        <f aca="false">A101+1</f>
        <v>36988</v>
      </c>
      <c r="B102" s="119" t="str">
        <f aca="false">INDEX('Master Data'!$A$2:$B$8,MATCH(WEEKDAY('EZE Power Trading'!A102,3),'Master Data'!$A$2:$A$8,0),2)</f>
        <v>Sa</v>
      </c>
      <c r="D102" s="112" t="n">
        <v>0</v>
      </c>
      <c r="E102" s="112" t="n">
        <v>0</v>
      </c>
      <c r="F102" s="112" t="n">
        <v>0</v>
      </c>
      <c r="G102" s="112" t="n">
        <v>0</v>
      </c>
      <c r="I102" s="112" t="n">
        <f aca="false">IF(MONTH($A102)=MONTH($A101),IF(G102=0,I101,G102),G102)</f>
        <v>7090.37</v>
      </c>
      <c r="J102" s="112" t="n">
        <f aca="false">IF(MONTH($A102)=MONTH($A101),SUM(I102-I101),I102)</f>
        <v>0</v>
      </c>
      <c r="K102" s="112" t="n">
        <f aca="false">IF(WEEKDAY(A102,3)&gt;4,0,(IF(A102&lt;K$2,0,IF(A102&lt;=K$3,1,0))))</f>
        <v>0</v>
      </c>
      <c r="L102" s="112" t="n">
        <f aca="false">J102*K102</f>
        <v>0</v>
      </c>
      <c r="M102" s="112" t="n">
        <f aca="false">SUM(J$97:J102)</f>
        <v>7090.37</v>
      </c>
      <c r="N102" s="112" t="n">
        <f aca="false">SUM(J$6:J102)</f>
        <v>491277.035417803</v>
      </c>
      <c r="P102" s="112" t="n">
        <f aca="false">D102/P$3</f>
        <v>0</v>
      </c>
      <c r="Q102" s="112" t="n">
        <f aca="false">E102/P$3</f>
        <v>0</v>
      </c>
      <c r="R102" s="112" t="n">
        <f aca="false">F102/R$3</f>
        <v>0</v>
      </c>
      <c r="S102" s="114" t="n">
        <f aca="false">J102/$R$3</f>
        <v>0</v>
      </c>
      <c r="T102" s="114" t="n">
        <f aca="false">L102/$R$3</f>
        <v>0</v>
      </c>
      <c r="U102" s="114" t="n">
        <f aca="false">I102/$R$3</f>
        <v>7.09037</v>
      </c>
      <c r="V102" s="114" t="n">
        <f aca="false">M102/$R$3</f>
        <v>7.09037</v>
      </c>
      <c r="W102" s="114" t="n">
        <f aca="false">N102/$R$3</f>
        <v>491.277035417803</v>
      </c>
    </row>
    <row r="103" customFormat="false" ht="12.75" hidden="true" customHeight="false" outlineLevel="0" collapsed="false">
      <c r="A103" s="108" t="n">
        <f aca="false">A102+1</f>
        <v>36989</v>
      </c>
      <c r="B103" s="119" t="str">
        <f aca="false">INDEX('Master Data'!$A$2:$B$8,MATCH(WEEKDAY('EZE Power Trading'!A103,3),'Master Data'!$A$2:$A$8,0),2)</f>
        <v>Su</v>
      </c>
      <c r="D103" s="112" t="n">
        <v>0</v>
      </c>
      <c r="E103" s="112" t="n">
        <v>0</v>
      </c>
      <c r="F103" s="112" t="n">
        <v>0</v>
      </c>
      <c r="G103" s="112" t="n">
        <v>0</v>
      </c>
      <c r="I103" s="112" t="n">
        <f aca="false">IF(MONTH($A103)=MONTH($A102),IF(G103=0,I102,G103),G103)</f>
        <v>7090.37</v>
      </c>
      <c r="J103" s="112" t="n">
        <f aca="false">IF(MONTH($A103)=MONTH($A102),SUM(I103-I102),I103)</f>
        <v>0</v>
      </c>
      <c r="K103" s="112" t="n">
        <f aca="false">IF(WEEKDAY(A103,3)&gt;4,0,(IF(A103&lt;K$2,0,IF(A103&lt;=K$3,1,0))))</f>
        <v>0</v>
      </c>
      <c r="L103" s="112" t="n">
        <f aca="false">J103*K103</f>
        <v>0</v>
      </c>
      <c r="M103" s="112" t="n">
        <f aca="false">SUM(J$97:J103)</f>
        <v>7090.37</v>
      </c>
      <c r="N103" s="112" t="n">
        <f aca="false">SUM(J$6:J103)</f>
        <v>491277.035417803</v>
      </c>
      <c r="P103" s="112" t="n">
        <f aca="false">D103/P$3</f>
        <v>0</v>
      </c>
      <c r="Q103" s="112" t="n">
        <f aca="false">E103/P$3</f>
        <v>0</v>
      </c>
      <c r="R103" s="112" t="n">
        <f aca="false">F103/R$3</f>
        <v>0</v>
      </c>
      <c r="S103" s="114" t="n">
        <f aca="false">J103/$R$3</f>
        <v>0</v>
      </c>
      <c r="T103" s="114" t="n">
        <f aca="false">L103/$R$3</f>
        <v>0</v>
      </c>
      <c r="U103" s="114" t="n">
        <f aca="false">I103/$R$3</f>
        <v>7.09037</v>
      </c>
      <c r="V103" s="114" t="n">
        <f aca="false">M103/$R$3</f>
        <v>7.09037</v>
      </c>
      <c r="W103" s="114" t="n">
        <f aca="false">N103/$R$3</f>
        <v>491.277035417803</v>
      </c>
    </row>
    <row r="104" customFormat="false" ht="12.75" hidden="true" customHeight="false" outlineLevel="0" collapsed="false">
      <c r="A104" s="108" t="n">
        <f aca="false">A103+1</f>
        <v>36990</v>
      </c>
      <c r="B104" s="119" t="str">
        <f aca="false">INDEX('Master Data'!$A$2:$B$8,MATCH(WEEKDAY('EZE Power Trading'!A104,3),'Master Data'!$A$2:$A$8,0),2)</f>
        <v>M</v>
      </c>
      <c r="D104" s="112" t="n">
        <v>-190112</v>
      </c>
      <c r="E104" s="112" t="n">
        <v>190112</v>
      </c>
      <c r="F104" s="112" t="n">
        <v>0</v>
      </c>
      <c r="G104" s="112" t="n">
        <v>7790.28</v>
      </c>
      <c r="I104" s="112" t="n">
        <f aca="false">IF(MONTH($A104)=MONTH($A103),IF(G104=0,I103,G104),G104)</f>
        <v>7790.28</v>
      </c>
      <c r="J104" s="112" t="n">
        <f aca="false">IF(MONTH($A104)=MONTH($A103),SUM(I104-I103),I104)</f>
        <v>699.91</v>
      </c>
      <c r="K104" s="112" t="n">
        <f aca="false">IF(WEEKDAY(A104,3)&gt;4,0,(IF(A104&lt;K$2,0,IF(A104&lt;=K$3,1,0))))</f>
        <v>0</v>
      </c>
      <c r="L104" s="112" t="n">
        <f aca="false">J104*K104</f>
        <v>0</v>
      </c>
      <c r="M104" s="112" t="n">
        <f aca="false">SUM(J$97:J104)</f>
        <v>7790.28</v>
      </c>
      <c r="N104" s="112" t="n">
        <f aca="false">SUM(J$6:J104)</f>
        <v>491976.945417803</v>
      </c>
      <c r="P104" s="112" t="n">
        <f aca="false">D104/P$3</f>
        <v>-0.190112</v>
      </c>
      <c r="Q104" s="112" t="n">
        <f aca="false">E104/P$3</f>
        <v>0.190112</v>
      </c>
      <c r="R104" s="112" t="n">
        <f aca="false">F104/R$3</f>
        <v>0</v>
      </c>
      <c r="S104" s="114" t="n">
        <f aca="false">J104/$R$3</f>
        <v>0.69991</v>
      </c>
      <c r="T104" s="114" t="n">
        <f aca="false">L104/$R$3</f>
        <v>0</v>
      </c>
      <c r="U104" s="114" t="n">
        <f aca="false">I104/$R$3</f>
        <v>7.79028</v>
      </c>
      <c r="V104" s="114" t="n">
        <f aca="false">M104/$R$3</f>
        <v>7.79028</v>
      </c>
      <c r="W104" s="114" t="n">
        <f aca="false">N104/$R$3</f>
        <v>491.976945417803</v>
      </c>
    </row>
    <row r="105" customFormat="false" ht="12.75" hidden="true" customHeight="false" outlineLevel="0" collapsed="false">
      <c r="A105" s="108" t="n">
        <f aca="false">A104+1</f>
        <v>36991</v>
      </c>
      <c r="B105" s="119" t="str">
        <f aca="false">INDEX('Master Data'!$A$2:$B$8,MATCH(WEEKDAY('EZE Power Trading'!A105,3),'Master Data'!$A$2:$A$8,0),2)</f>
        <v>T</v>
      </c>
      <c r="D105" s="112" t="n">
        <v>-189822</v>
      </c>
      <c r="E105" s="112" t="n">
        <v>189822</v>
      </c>
      <c r="F105" s="112" t="n">
        <v>0</v>
      </c>
      <c r="G105" s="112" t="n">
        <v>8592.25</v>
      </c>
      <c r="I105" s="112" t="n">
        <f aca="false">IF(MONTH($A105)=MONTH($A104),IF(G105=0,I104,G105),G105)</f>
        <v>8592.25</v>
      </c>
      <c r="J105" s="112" t="n">
        <f aca="false">IF(MONTH($A105)=MONTH($A104),SUM(I105-I104),I105)</f>
        <v>801.97</v>
      </c>
      <c r="K105" s="112" t="n">
        <f aca="false">IF(WEEKDAY(A105,3)&gt;4,0,(IF(A105&lt;K$2,0,IF(A105&lt;=K$3,1,0))))</f>
        <v>0</v>
      </c>
      <c r="L105" s="112" t="n">
        <f aca="false">J105*K105</f>
        <v>0</v>
      </c>
      <c r="M105" s="112" t="n">
        <f aca="false">SUM(J$97:J105)</f>
        <v>8592.25</v>
      </c>
      <c r="N105" s="112" t="n">
        <f aca="false">SUM(J$6:J105)</f>
        <v>492778.915417803</v>
      </c>
      <c r="P105" s="112" t="n">
        <f aca="false">D105/P$3</f>
        <v>-0.189822</v>
      </c>
      <c r="Q105" s="112" t="n">
        <f aca="false">E105/P$3</f>
        <v>0.189822</v>
      </c>
      <c r="R105" s="112" t="n">
        <f aca="false">F105/R$3</f>
        <v>0</v>
      </c>
      <c r="S105" s="114" t="n">
        <f aca="false">J105/$R$3</f>
        <v>0.80197</v>
      </c>
      <c r="T105" s="114" t="n">
        <f aca="false">L105/$R$3</f>
        <v>0</v>
      </c>
      <c r="U105" s="114" t="n">
        <f aca="false">I105/$R$3</f>
        <v>8.59225</v>
      </c>
      <c r="V105" s="114" t="n">
        <f aca="false">M105/$R$3</f>
        <v>8.59225</v>
      </c>
      <c r="W105" s="114" t="n">
        <f aca="false">N105/$R$3</f>
        <v>492.778915417803</v>
      </c>
    </row>
    <row r="106" customFormat="false" ht="12.75" hidden="true" customHeight="false" outlineLevel="0" collapsed="false">
      <c r="A106" s="108" t="n">
        <f aca="false">A105+1</f>
        <v>36992</v>
      </c>
      <c r="B106" s="119" t="str">
        <f aca="false">INDEX('Master Data'!$A$2:$B$8,MATCH(WEEKDAY('EZE Power Trading'!A106,3),'Master Data'!$A$2:$A$8,0),2)</f>
        <v>W</v>
      </c>
      <c r="D106" s="112" t="n">
        <v>-188583</v>
      </c>
      <c r="E106" s="112" t="n">
        <v>188583</v>
      </c>
      <c r="F106" s="112" t="n">
        <v>0</v>
      </c>
      <c r="G106" s="112" t="n">
        <v>20143.61</v>
      </c>
      <c r="I106" s="112" t="n">
        <f aca="false">IF(MONTH($A106)=MONTH($A105),IF(G106=0,I105,G106),G106)</f>
        <v>20143.61</v>
      </c>
      <c r="J106" s="112" t="n">
        <f aca="false">IF(MONTH($A106)=MONTH($A105),SUM(I106-I105),I106)</f>
        <v>11551.36</v>
      </c>
      <c r="K106" s="112" t="n">
        <f aca="false">IF(WEEKDAY(A106,3)&gt;4,0,(IF(A106&lt;K$2,0,IF(A106&lt;=K$3,1,0))))</f>
        <v>0</v>
      </c>
      <c r="L106" s="112" t="n">
        <f aca="false">J106*K106</f>
        <v>0</v>
      </c>
      <c r="M106" s="112" t="n">
        <f aca="false">SUM(J$97:J106)</f>
        <v>20143.61</v>
      </c>
      <c r="N106" s="112" t="n">
        <f aca="false">SUM(J$6:J106)</f>
        <v>504330.275417803</v>
      </c>
      <c r="P106" s="112" t="n">
        <f aca="false">D106/P$3</f>
        <v>-0.188583</v>
      </c>
      <c r="Q106" s="112" t="n">
        <f aca="false">E106/P$3</f>
        <v>0.188583</v>
      </c>
      <c r="R106" s="112" t="n">
        <f aca="false">F106/R$3</f>
        <v>0</v>
      </c>
      <c r="S106" s="114" t="n">
        <f aca="false">J106/$R$3</f>
        <v>11.55136</v>
      </c>
      <c r="T106" s="114" t="n">
        <f aca="false">L106/$R$3</f>
        <v>0</v>
      </c>
      <c r="U106" s="114" t="n">
        <f aca="false">I106/$R$3</f>
        <v>20.14361</v>
      </c>
      <c r="V106" s="114" t="n">
        <f aca="false">M106/$R$3</f>
        <v>20.14361</v>
      </c>
      <c r="W106" s="114" t="n">
        <f aca="false">N106/$R$3</f>
        <v>504.330275417803</v>
      </c>
    </row>
    <row r="107" customFormat="false" ht="12.75" hidden="true" customHeight="false" outlineLevel="0" collapsed="false">
      <c r="A107" s="108" t="n">
        <f aca="false">A106+1</f>
        <v>36993</v>
      </c>
      <c r="B107" s="119" t="str">
        <f aca="false">INDEX('Master Data'!$A$2:$B$8,MATCH(WEEKDAY('EZE Power Trading'!A107,3),'Master Data'!$A$2:$A$8,0),2)</f>
        <v>Th</v>
      </c>
      <c r="D107" s="112" t="n">
        <v>-187943</v>
      </c>
      <c r="E107" s="112" t="n">
        <v>187943</v>
      </c>
      <c r="F107" s="112" t="n">
        <v>0</v>
      </c>
      <c r="G107" s="112" t="n">
        <v>20274.54</v>
      </c>
      <c r="I107" s="112" t="n">
        <f aca="false">IF(MONTH($A107)=MONTH($A106),IF(G107=0,I106,G107),G107)</f>
        <v>20274.54</v>
      </c>
      <c r="J107" s="112" t="n">
        <f aca="false">IF(MONTH($A107)=MONTH($A106),SUM(I107-I106),I107)</f>
        <v>130.93</v>
      </c>
      <c r="K107" s="112" t="n">
        <f aca="false">IF(WEEKDAY(A107,3)&gt;4,0,(IF(A107&lt;K$2,0,IF(A107&lt;=K$3,1,0))))</f>
        <v>0</v>
      </c>
      <c r="L107" s="112" t="n">
        <f aca="false">J107*K107</f>
        <v>0</v>
      </c>
      <c r="M107" s="112" t="n">
        <f aca="false">SUM(J$97:J107)</f>
        <v>20274.54</v>
      </c>
      <c r="N107" s="112" t="n">
        <f aca="false">SUM(J$6:J107)</f>
        <v>504461.205417804</v>
      </c>
      <c r="P107" s="112" t="n">
        <f aca="false">D107/P$3</f>
        <v>-0.187943</v>
      </c>
      <c r="Q107" s="112" t="n">
        <f aca="false">E107/P$3</f>
        <v>0.187943</v>
      </c>
      <c r="R107" s="112" t="n">
        <f aca="false">F107/R$3</f>
        <v>0</v>
      </c>
      <c r="S107" s="114" t="n">
        <f aca="false">J107/$R$3</f>
        <v>0.13093</v>
      </c>
      <c r="T107" s="114" t="n">
        <f aca="false">L107/$R$3</f>
        <v>0</v>
      </c>
      <c r="U107" s="114" t="n">
        <f aca="false">I107/$R$3</f>
        <v>20.27454</v>
      </c>
      <c r="V107" s="114" t="n">
        <f aca="false">M107/$R$3</f>
        <v>20.27454</v>
      </c>
      <c r="W107" s="114" t="n">
        <f aca="false">N107/$R$3</f>
        <v>504.461205417804</v>
      </c>
    </row>
    <row r="108" customFormat="false" ht="12.75" hidden="true" customHeight="false" outlineLevel="0" collapsed="false">
      <c r="A108" s="108" t="n">
        <f aca="false">A107+1</f>
        <v>36994</v>
      </c>
      <c r="B108" s="119" t="str">
        <f aca="false">INDEX('Master Data'!$A$2:$B$8,MATCH(WEEKDAY('EZE Power Trading'!A108,3),'Master Data'!$A$2:$A$8,0),2)</f>
        <v>F</v>
      </c>
      <c r="D108" s="112" t="n">
        <v>0</v>
      </c>
      <c r="E108" s="112" t="n">
        <v>0</v>
      </c>
      <c r="F108" s="112" t="n">
        <v>0</v>
      </c>
      <c r="G108" s="112" t="n">
        <v>0</v>
      </c>
      <c r="I108" s="112" t="n">
        <f aca="false">IF(MONTH($A108)=MONTH($A107),IF(G108=0,I107,G108),G108)</f>
        <v>20274.54</v>
      </c>
      <c r="J108" s="112" t="n">
        <f aca="false">IF(MONTH($A108)=MONTH($A107),SUM(I108-I107),I108)</f>
        <v>0</v>
      </c>
      <c r="K108" s="112" t="n">
        <f aca="false">IF(WEEKDAY(A108,3)&gt;4,0,(IF(A108&lt;K$2,0,IF(A108&lt;=K$3,1,0))))</f>
        <v>0</v>
      </c>
      <c r="L108" s="112" t="n">
        <f aca="false">J108*K108</f>
        <v>0</v>
      </c>
      <c r="M108" s="112" t="n">
        <f aca="false">SUM(J$97:J108)</f>
        <v>20274.54</v>
      </c>
      <c r="N108" s="112" t="n">
        <f aca="false">SUM(J$6:J108)</f>
        <v>504461.205417804</v>
      </c>
      <c r="P108" s="112" t="n">
        <f aca="false">D108/P$3</f>
        <v>0</v>
      </c>
      <c r="Q108" s="112" t="n">
        <f aca="false">E108/P$3</f>
        <v>0</v>
      </c>
      <c r="R108" s="112" t="n">
        <f aca="false">F108/R$3</f>
        <v>0</v>
      </c>
      <c r="S108" s="114" t="n">
        <f aca="false">J108/$R$3</f>
        <v>0</v>
      </c>
      <c r="T108" s="114" t="n">
        <f aca="false">L108/$R$3</f>
        <v>0</v>
      </c>
      <c r="U108" s="114" t="n">
        <f aca="false">I108/$R$3</f>
        <v>20.27454</v>
      </c>
      <c r="V108" s="114" t="n">
        <f aca="false">M108/$R$3</f>
        <v>20.27454</v>
      </c>
      <c r="W108" s="114" t="n">
        <f aca="false">N108/$R$3</f>
        <v>504.461205417804</v>
      </c>
    </row>
    <row r="109" customFormat="false" ht="12.75" hidden="true" customHeight="false" outlineLevel="0" collapsed="false">
      <c r="A109" s="108" t="n">
        <f aca="false">A108+1</f>
        <v>36995</v>
      </c>
      <c r="B109" s="119" t="str">
        <f aca="false">INDEX('Master Data'!$A$2:$B$8,MATCH(WEEKDAY('EZE Power Trading'!A109,3),'Master Data'!$A$2:$A$8,0),2)</f>
        <v>Sa</v>
      </c>
      <c r="D109" s="112" t="n">
        <v>0</v>
      </c>
      <c r="E109" s="112" t="n">
        <v>0</v>
      </c>
      <c r="F109" s="112" t="n">
        <v>0</v>
      </c>
      <c r="G109" s="112" t="n">
        <v>0</v>
      </c>
      <c r="I109" s="112" t="n">
        <f aca="false">IF(MONTH($A109)=MONTH($A108),IF(G109=0,I108,G109),G109)</f>
        <v>20274.54</v>
      </c>
      <c r="J109" s="112" t="n">
        <f aca="false">IF(MONTH($A109)=MONTH($A108),SUM(I109-I108),I109)</f>
        <v>0</v>
      </c>
      <c r="K109" s="112" t="n">
        <f aca="false">IF(WEEKDAY(A109,3)&gt;4,0,(IF(A109&lt;K$2,0,IF(A109&lt;=K$3,1,0))))</f>
        <v>0</v>
      </c>
      <c r="L109" s="112" t="n">
        <f aca="false">J109*K109</f>
        <v>0</v>
      </c>
      <c r="M109" s="112" t="n">
        <f aca="false">SUM(J$97:J109)</f>
        <v>20274.54</v>
      </c>
      <c r="N109" s="112" t="n">
        <f aca="false">SUM(J$6:J109)</f>
        <v>504461.205417804</v>
      </c>
      <c r="P109" s="112" t="n">
        <f aca="false">D109/P$3</f>
        <v>0</v>
      </c>
      <c r="Q109" s="112" t="n">
        <f aca="false">E109/P$3</f>
        <v>0</v>
      </c>
      <c r="R109" s="112" t="n">
        <f aca="false">F109/R$3</f>
        <v>0</v>
      </c>
      <c r="S109" s="114" t="n">
        <f aca="false">J109/$R$3</f>
        <v>0</v>
      </c>
      <c r="T109" s="114" t="n">
        <f aca="false">L109/$R$3</f>
        <v>0</v>
      </c>
      <c r="U109" s="114" t="n">
        <f aca="false">I109/$R$3</f>
        <v>20.27454</v>
      </c>
      <c r="V109" s="114" t="n">
        <f aca="false">M109/$R$3</f>
        <v>20.27454</v>
      </c>
      <c r="W109" s="114" t="n">
        <f aca="false">N109/$R$3</f>
        <v>504.461205417804</v>
      </c>
    </row>
    <row r="110" customFormat="false" ht="12.75" hidden="true" customHeight="false" outlineLevel="0" collapsed="false">
      <c r="A110" s="108" t="n">
        <f aca="false">A109+1</f>
        <v>36996</v>
      </c>
      <c r="B110" s="119" t="str">
        <f aca="false">INDEX('Master Data'!$A$2:$B$8,MATCH(WEEKDAY('EZE Power Trading'!A110,3),'Master Data'!$A$2:$A$8,0),2)</f>
        <v>Su</v>
      </c>
      <c r="D110" s="112" t="n">
        <v>0</v>
      </c>
      <c r="E110" s="112" t="n">
        <v>0</v>
      </c>
      <c r="F110" s="112" t="n">
        <v>0</v>
      </c>
      <c r="G110" s="112" t="n">
        <v>0</v>
      </c>
      <c r="I110" s="112" t="n">
        <f aca="false">IF(MONTH($A110)=MONTH($A109),IF(G110=0,I109,G110),G110)</f>
        <v>20274.54</v>
      </c>
      <c r="J110" s="112" t="n">
        <f aca="false">IF(MONTH($A110)=MONTH($A109),SUM(I110-I109),I110)</f>
        <v>0</v>
      </c>
      <c r="K110" s="112" t="n">
        <f aca="false">IF(WEEKDAY(A110,3)&gt;4,0,(IF(A110&lt;K$2,0,IF(A110&lt;=K$3,1,0))))</f>
        <v>0</v>
      </c>
      <c r="L110" s="112" t="n">
        <f aca="false">J110*K110</f>
        <v>0</v>
      </c>
      <c r="M110" s="112" t="n">
        <f aca="false">SUM(J$97:J110)</f>
        <v>20274.54</v>
      </c>
      <c r="N110" s="112" t="n">
        <f aca="false">SUM(J$6:J110)</f>
        <v>504461.205417804</v>
      </c>
      <c r="P110" s="112" t="n">
        <f aca="false">D110/P$3</f>
        <v>0</v>
      </c>
      <c r="Q110" s="112" t="n">
        <f aca="false">E110/P$3</f>
        <v>0</v>
      </c>
      <c r="R110" s="112" t="n">
        <f aca="false">F110/R$3</f>
        <v>0</v>
      </c>
      <c r="S110" s="114" t="n">
        <f aca="false">J110/$R$3</f>
        <v>0</v>
      </c>
      <c r="T110" s="114" t="n">
        <f aca="false">L110/$R$3</f>
        <v>0</v>
      </c>
      <c r="U110" s="114" t="n">
        <f aca="false">I110/$R$3</f>
        <v>20.27454</v>
      </c>
      <c r="V110" s="114" t="n">
        <f aca="false">M110/$R$3</f>
        <v>20.27454</v>
      </c>
      <c r="W110" s="114" t="n">
        <f aca="false">N110/$R$3</f>
        <v>504.461205417804</v>
      </c>
    </row>
    <row r="111" customFormat="false" ht="12.75" hidden="true" customHeight="false" outlineLevel="0" collapsed="false">
      <c r="A111" s="108" t="n">
        <f aca="false">A110+1</f>
        <v>36997</v>
      </c>
      <c r="B111" s="119" t="str">
        <f aca="false">INDEX('Master Data'!$A$2:$B$8,MATCH(WEEKDAY('EZE Power Trading'!A111,3),'Master Data'!$A$2:$A$8,0),2)</f>
        <v>M</v>
      </c>
      <c r="D111" s="112" t="n">
        <v>-185252</v>
      </c>
      <c r="E111" s="112" t="n">
        <v>185252</v>
      </c>
      <c r="F111" s="112" t="n">
        <v>0</v>
      </c>
      <c r="G111" s="112" t="n">
        <v>12619.19</v>
      </c>
      <c r="I111" s="112" t="n">
        <f aca="false">IF(MONTH($A111)=MONTH($A110),IF(G111=0,I110,G111),G111)</f>
        <v>12619.19</v>
      </c>
      <c r="J111" s="112" t="n">
        <f aca="false">IF(MONTH($A111)=MONTH($A110),SUM(I111-I110),I111)</f>
        <v>-7655.35</v>
      </c>
      <c r="K111" s="112" t="n">
        <f aca="false">IF(WEEKDAY(A111,3)&gt;4,0,(IF(A111&lt;K$2,0,IF(A111&lt;=K$3,1,0))))</f>
        <v>0</v>
      </c>
      <c r="L111" s="112" t="n">
        <f aca="false">J111*K111</f>
        <v>-0</v>
      </c>
      <c r="M111" s="112" t="n">
        <f aca="false">SUM(J$97:J111)</f>
        <v>12619.19</v>
      </c>
      <c r="N111" s="112" t="n">
        <f aca="false">SUM(J$6:J111)</f>
        <v>496805.855417804</v>
      </c>
      <c r="P111" s="112" t="n">
        <f aca="false">D111/P$3</f>
        <v>-0.185252</v>
      </c>
      <c r="Q111" s="112" t="n">
        <f aca="false">E111/P$3</f>
        <v>0.185252</v>
      </c>
      <c r="R111" s="112" t="n">
        <f aca="false">F111/R$3</f>
        <v>0</v>
      </c>
      <c r="S111" s="114" t="n">
        <f aca="false">J111/$R$3</f>
        <v>-7.65535</v>
      </c>
      <c r="T111" s="114" t="n">
        <f aca="false">L111/$R$3</f>
        <v>-0</v>
      </c>
      <c r="U111" s="114" t="n">
        <f aca="false">I111/$R$3</f>
        <v>12.61919</v>
      </c>
      <c r="V111" s="114" t="n">
        <f aca="false">M111/$R$3</f>
        <v>12.61919</v>
      </c>
      <c r="W111" s="114" t="n">
        <f aca="false">N111/$R$3</f>
        <v>496.805855417804</v>
      </c>
    </row>
    <row r="112" customFormat="false" ht="12.75" hidden="true" customHeight="false" outlineLevel="0" collapsed="false">
      <c r="A112" s="108" t="n">
        <f aca="false">A111+1</f>
        <v>36998</v>
      </c>
      <c r="B112" s="119" t="str">
        <f aca="false">INDEX('Master Data'!$A$2:$B$8,MATCH(WEEKDAY('EZE Power Trading'!A112,3),'Master Data'!$A$2:$A$8,0),2)</f>
        <v>T</v>
      </c>
      <c r="D112" s="112" t="n">
        <v>-184480</v>
      </c>
      <c r="E112" s="112" t="n">
        <v>184480</v>
      </c>
      <c r="F112" s="112" t="n">
        <v>0</v>
      </c>
      <c r="G112" s="112" t="n">
        <v>8574.17</v>
      </c>
      <c r="I112" s="112" t="n">
        <f aca="false">IF(MONTH($A112)=MONTH($A111),IF(G112=0,I111,G112),G112)</f>
        <v>8574.17</v>
      </c>
      <c r="J112" s="112" t="n">
        <f aca="false">IF(MONTH($A112)=MONTH($A111),SUM(I112-I111),I112)</f>
        <v>-4045.02</v>
      </c>
      <c r="K112" s="112" t="n">
        <f aca="false">IF(WEEKDAY(A112,3)&gt;4,0,(IF(A112&lt;K$2,0,IF(A112&lt;=K$3,1,0))))</f>
        <v>0</v>
      </c>
      <c r="L112" s="112" t="n">
        <f aca="false">J112*K112</f>
        <v>-0</v>
      </c>
      <c r="M112" s="112" t="n">
        <f aca="false">SUM(J$97:J112)</f>
        <v>8574.17</v>
      </c>
      <c r="N112" s="112" t="n">
        <f aca="false">SUM(J$6:J112)</f>
        <v>492760.835417803</v>
      </c>
      <c r="P112" s="112" t="n">
        <f aca="false">D112/P$3</f>
        <v>-0.18448</v>
      </c>
      <c r="Q112" s="112" t="n">
        <f aca="false">E112/P$3</f>
        <v>0.18448</v>
      </c>
      <c r="R112" s="112" t="n">
        <f aca="false">F112/R$3</f>
        <v>0</v>
      </c>
      <c r="S112" s="114" t="n">
        <f aca="false">J112/$R$3</f>
        <v>-4.04502</v>
      </c>
      <c r="T112" s="114" t="n">
        <f aca="false">L112/$R$3</f>
        <v>-0</v>
      </c>
      <c r="U112" s="114" t="n">
        <f aca="false">I112/$R$3</f>
        <v>8.57417</v>
      </c>
      <c r="V112" s="114" t="n">
        <f aca="false">M112/$R$3</f>
        <v>8.57417</v>
      </c>
      <c r="W112" s="114" t="n">
        <f aca="false">N112/$R$3</f>
        <v>492.760835417803</v>
      </c>
    </row>
    <row r="113" customFormat="false" ht="12.75" hidden="true" customHeight="false" outlineLevel="0" collapsed="false">
      <c r="A113" s="108" t="n">
        <f aca="false">A112+1</f>
        <v>36999</v>
      </c>
      <c r="B113" s="119" t="str">
        <f aca="false">INDEX('Master Data'!$A$2:$B$8,MATCH(WEEKDAY('EZE Power Trading'!A113,3),'Master Data'!$A$2:$A$8,0),2)</f>
        <v>W</v>
      </c>
      <c r="D113" s="112" t="n">
        <v>-183770</v>
      </c>
      <c r="E113" s="112" t="n">
        <v>183770</v>
      </c>
      <c r="F113" s="112" t="n">
        <v>0</v>
      </c>
      <c r="G113" s="112" t="n">
        <v>4963.91</v>
      </c>
      <c r="I113" s="112" t="n">
        <f aca="false">IF(MONTH($A113)=MONTH($A112),IF(G113=0,I112,G113),G113)</f>
        <v>4963.91</v>
      </c>
      <c r="J113" s="112" t="n">
        <f aca="false">IF(MONTH($A113)=MONTH($A112),SUM(I113-I112),I113)</f>
        <v>-3610.26</v>
      </c>
      <c r="K113" s="112" t="n">
        <f aca="false">IF(WEEKDAY(A113,3)&gt;4,0,(IF(A113&lt;K$2,0,IF(A113&lt;=K$3,1,0))))</f>
        <v>0</v>
      </c>
      <c r="L113" s="112" t="n">
        <f aca="false">J113*K113</f>
        <v>-0</v>
      </c>
      <c r="M113" s="112" t="n">
        <f aca="false">SUM(J$97:J113)</f>
        <v>4963.91</v>
      </c>
      <c r="N113" s="112" t="n">
        <f aca="false">SUM(J$6:J113)</f>
        <v>489150.575417804</v>
      </c>
      <c r="P113" s="112" t="n">
        <f aca="false">D113/P$3</f>
        <v>-0.18377</v>
      </c>
      <c r="Q113" s="112" t="n">
        <f aca="false">E113/P$3</f>
        <v>0.18377</v>
      </c>
      <c r="R113" s="112" t="n">
        <f aca="false">F113/R$3</f>
        <v>0</v>
      </c>
      <c r="S113" s="114" t="n">
        <f aca="false">J113/$R$3</f>
        <v>-3.61026</v>
      </c>
      <c r="T113" s="114" t="n">
        <f aca="false">L113/$R$3</f>
        <v>-0</v>
      </c>
      <c r="U113" s="114" t="n">
        <f aca="false">I113/$R$3</f>
        <v>4.96391</v>
      </c>
      <c r="V113" s="114" t="n">
        <f aca="false">M113/$R$3</f>
        <v>4.96391</v>
      </c>
      <c r="W113" s="114" t="n">
        <f aca="false">N113/$R$3</f>
        <v>489.150575417804</v>
      </c>
    </row>
    <row r="114" customFormat="false" ht="12.75" hidden="true" customHeight="false" outlineLevel="0" collapsed="false">
      <c r="A114" s="108" t="n">
        <f aca="false">A113+1</f>
        <v>37000</v>
      </c>
      <c r="B114" s="119" t="str">
        <f aca="false">INDEX('Master Data'!$A$2:$B$8,MATCH(WEEKDAY('EZE Power Trading'!A114,3),'Master Data'!$A$2:$A$8,0),2)</f>
        <v>Th</v>
      </c>
      <c r="D114" s="112" t="n">
        <v>-184312</v>
      </c>
      <c r="E114" s="112" t="n">
        <v>184312</v>
      </c>
      <c r="F114" s="112" t="n">
        <v>0</v>
      </c>
      <c r="G114" s="112" t="n">
        <v>1212.99</v>
      </c>
      <c r="I114" s="112" t="n">
        <f aca="false">IF(MONTH($A114)=MONTH($A113),IF(G114=0,I113,G114),G114)</f>
        <v>1212.99</v>
      </c>
      <c r="J114" s="112" t="n">
        <f aca="false">IF(MONTH($A114)=MONTH($A113),SUM(I114-I113),I114)</f>
        <v>-3750.92</v>
      </c>
      <c r="K114" s="112" t="n">
        <f aca="false">IF(WEEKDAY(A114,3)&gt;4,0,(IF(A114&lt;K$2,0,IF(A114&lt;=K$3,1,0))))</f>
        <v>0</v>
      </c>
      <c r="L114" s="112" t="n">
        <f aca="false">J114*K114</f>
        <v>-0</v>
      </c>
      <c r="M114" s="112" t="n">
        <f aca="false">SUM(J$97:J114)</f>
        <v>1212.99</v>
      </c>
      <c r="N114" s="112" t="n">
        <f aca="false">SUM(J$6:J114)</f>
        <v>485399.655417804</v>
      </c>
      <c r="P114" s="112" t="n">
        <f aca="false">D114/P$3</f>
        <v>-0.184312</v>
      </c>
      <c r="Q114" s="112" t="n">
        <f aca="false">E114/P$3</f>
        <v>0.184312</v>
      </c>
      <c r="R114" s="112" t="n">
        <f aca="false">F114/R$3</f>
        <v>0</v>
      </c>
      <c r="S114" s="114" t="n">
        <f aca="false">J114/$R$3</f>
        <v>-3.75092</v>
      </c>
      <c r="T114" s="114" t="n">
        <f aca="false">L114/$R$3</f>
        <v>-0</v>
      </c>
      <c r="U114" s="114" t="n">
        <f aca="false">I114/$R$3</f>
        <v>1.21299</v>
      </c>
      <c r="V114" s="114" t="n">
        <f aca="false">M114/$R$3</f>
        <v>1.21299</v>
      </c>
      <c r="W114" s="114" t="n">
        <f aca="false">N114/$R$3</f>
        <v>485.399655417804</v>
      </c>
    </row>
    <row r="115" customFormat="false" ht="12.75" hidden="true" customHeight="false" outlineLevel="0" collapsed="false">
      <c r="A115" s="108" t="n">
        <f aca="false">A114+1</f>
        <v>37001</v>
      </c>
      <c r="B115" s="119" t="str">
        <f aca="false">INDEX('Master Data'!$A$2:$B$8,MATCH(WEEKDAY('EZE Power Trading'!A115,3),'Master Data'!$A$2:$A$8,0),2)</f>
        <v>F</v>
      </c>
      <c r="D115" s="112" t="n">
        <v>-182588</v>
      </c>
      <c r="E115" s="112" t="n">
        <v>182588</v>
      </c>
      <c r="F115" s="112" t="n">
        <v>0</v>
      </c>
      <c r="G115" s="112" t="n">
        <v>-1474.91</v>
      </c>
      <c r="I115" s="112" t="n">
        <f aca="false">IF(MONTH($A115)=MONTH($A114),IF(G115=0,I114,G115),G115)</f>
        <v>-1474.91</v>
      </c>
      <c r="J115" s="112" t="n">
        <f aca="false">IF(MONTH($A115)=MONTH($A114),SUM(I115-I114),I115)</f>
        <v>-2687.9</v>
      </c>
      <c r="K115" s="112" t="n">
        <f aca="false">IF(WEEKDAY(A115,3)&gt;4,0,(IF(A115&lt;K$2,0,IF(A115&lt;=K$3,1,0))))</f>
        <v>0</v>
      </c>
      <c r="L115" s="112" t="n">
        <f aca="false">J115*K115</f>
        <v>-0</v>
      </c>
      <c r="M115" s="112" t="n">
        <f aca="false">SUM(J$97:J115)</f>
        <v>-1474.91</v>
      </c>
      <c r="N115" s="112" t="n">
        <f aca="false">SUM(J$6:J115)</f>
        <v>482711.755417803</v>
      </c>
      <c r="P115" s="112" t="n">
        <f aca="false">D115/P$3</f>
        <v>-0.182588</v>
      </c>
      <c r="Q115" s="112" t="n">
        <f aca="false">E115/P$3</f>
        <v>0.182588</v>
      </c>
      <c r="R115" s="112" t="n">
        <f aca="false">F115/R$3</f>
        <v>0</v>
      </c>
      <c r="S115" s="114" t="n">
        <f aca="false">J115/$R$3</f>
        <v>-2.6879</v>
      </c>
      <c r="T115" s="114" t="n">
        <f aca="false">L115/$R$3</f>
        <v>-0</v>
      </c>
      <c r="U115" s="114" t="n">
        <f aca="false">I115/$R$3</f>
        <v>-1.47491</v>
      </c>
      <c r="V115" s="114" t="n">
        <f aca="false">M115/$R$3</f>
        <v>-1.47491</v>
      </c>
      <c r="W115" s="114" t="n">
        <f aca="false">N115/$R$3</f>
        <v>482.711755417803</v>
      </c>
    </row>
    <row r="116" customFormat="false" ht="12.75" hidden="true" customHeight="false" outlineLevel="0" collapsed="false">
      <c r="A116" s="108" t="n">
        <f aca="false">A115+1</f>
        <v>37002</v>
      </c>
      <c r="B116" s="119" t="str">
        <f aca="false">INDEX('Master Data'!$A$2:$B$8,MATCH(WEEKDAY('EZE Power Trading'!A116,3),'Master Data'!$A$2:$A$8,0),2)</f>
        <v>Sa</v>
      </c>
      <c r="D116" s="112" t="n">
        <v>0</v>
      </c>
      <c r="E116" s="112" t="n">
        <v>0</v>
      </c>
      <c r="F116" s="112" t="n">
        <v>0</v>
      </c>
      <c r="G116" s="112" t="n">
        <v>0</v>
      </c>
      <c r="I116" s="112" t="n">
        <f aca="false">IF(MONTH($A116)=MONTH($A115),IF(G116=0,I115,G116),G116)</f>
        <v>-1474.91</v>
      </c>
      <c r="J116" s="112" t="n">
        <f aca="false">IF(MONTH($A116)=MONTH($A115),SUM(I116-I115),I116)</f>
        <v>0</v>
      </c>
      <c r="K116" s="112" t="n">
        <f aca="false">IF(WEEKDAY(A116,3)&gt;4,0,(IF(A116&lt;K$2,0,IF(A116&lt;=K$3,1,0))))</f>
        <v>0</v>
      </c>
      <c r="L116" s="112" t="n">
        <f aca="false">J116*K116</f>
        <v>0</v>
      </c>
      <c r="M116" s="112" t="n">
        <f aca="false">SUM(J$97:J116)</f>
        <v>-1474.91</v>
      </c>
      <c r="N116" s="112" t="n">
        <f aca="false">SUM(J$6:J116)</f>
        <v>482711.755417803</v>
      </c>
      <c r="P116" s="112" t="n">
        <f aca="false">D116/P$3</f>
        <v>0</v>
      </c>
      <c r="Q116" s="112" t="n">
        <f aca="false">E116/P$3</f>
        <v>0</v>
      </c>
      <c r="R116" s="112" t="n">
        <f aca="false">F116/R$3</f>
        <v>0</v>
      </c>
      <c r="S116" s="114" t="n">
        <f aca="false">J116/$R$3</f>
        <v>0</v>
      </c>
      <c r="T116" s="114" t="n">
        <f aca="false">L116/$R$3</f>
        <v>0</v>
      </c>
      <c r="U116" s="114" t="n">
        <f aca="false">I116/$R$3</f>
        <v>-1.47491</v>
      </c>
      <c r="V116" s="114" t="n">
        <f aca="false">M116/$R$3</f>
        <v>-1.47491</v>
      </c>
      <c r="W116" s="114" t="n">
        <f aca="false">N116/$R$3</f>
        <v>482.711755417803</v>
      </c>
    </row>
    <row r="117" customFormat="false" ht="12.75" hidden="true" customHeight="false" outlineLevel="0" collapsed="false">
      <c r="A117" s="108" t="n">
        <f aca="false">A116+1</f>
        <v>37003</v>
      </c>
      <c r="B117" s="119" t="str">
        <f aca="false">INDEX('Master Data'!$A$2:$B$8,MATCH(WEEKDAY('EZE Power Trading'!A117,3),'Master Data'!$A$2:$A$8,0),2)</f>
        <v>Su</v>
      </c>
      <c r="D117" s="112" t="n">
        <v>0</v>
      </c>
      <c r="E117" s="112" t="n">
        <v>0</v>
      </c>
      <c r="F117" s="112" t="n">
        <v>0</v>
      </c>
      <c r="G117" s="112" t="n">
        <v>0</v>
      </c>
      <c r="I117" s="112" t="n">
        <f aca="false">IF(MONTH($A117)=MONTH($A116),IF(G117=0,I116,G117),G117)</f>
        <v>-1474.91</v>
      </c>
      <c r="J117" s="112" t="n">
        <f aca="false">IF(MONTH($A117)=MONTH($A116),SUM(I117-I116),I117)</f>
        <v>0</v>
      </c>
      <c r="K117" s="112" t="n">
        <f aca="false">IF(WEEKDAY(A117,3)&gt;4,0,(IF(A117&lt;K$2,0,IF(A117&lt;=K$3,1,0))))</f>
        <v>0</v>
      </c>
      <c r="L117" s="112" t="n">
        <f aca="false">J117*K117</f>
        <v>0</v>
      </c>
      <c r="M117" s="112" t="n">
        <f aca="false">SUM(J$97:J117)</f>
        <v>-1474.91</v>
      </c>
      <c r="N117" s="112" t="n">
        <f aca="false">SUM(J$6:J117)</f>
        <v>482711.755417803</v>
      </c>
      <c r="P117" s="112" t="n">
        <f aca="false">D117/P$3</f>
        <v>0</v>
      </c>
      <c r="Q117" s="112" t="n">
        <f aca="false">E117/P$3</f>
        <v>0</v>
      </c>
      <c r="R117" s="112" t="n">
        <f aca="false">F117/R$3</f>
        <v>0</v>
      </c>
      <c r="S117" s="114" t="n">
        <f aca="false">J117/$R$3</f>
        <v>0</v>
      </c>
      <c r="T117" s="114" t="n">
        <f aca="false">L117/$R$3</f>
        <v>0</v>
      </c>
      <c r="U117" s="114" t="n">
        <f aca="false">I117/$R$3</f>
        <v>-1.47491</v>
      </c>
      <c r="V117" s="114" t="n">
        <f aca="false">M117/$R$3</f>
        <v>-1.47491</v>
      </c>
      <c r="W117" s="114" t="n">
        <f aca="false">N117/$R$3</f>
        <v>482.711755417803</v>
      </c>
    </row>
    <row r="118" customFormat="false" ht="12.75" hidden="true" customHeight="false" outlineLevel="0" collapsed="false">
      <c r="A118" s="108" t="n">
        <f aca="false">A117+1</f>
        <v>37004</v>
      </c>
      <c r="B118" s="119" t="str">
        <f aca="false">INDEX('Master Data'!$A$2:$B$8,MATCH(WEEKDAY('EZE Power Trading'!A118,3),'Master Data'!$A$2:$A$8,0),2)</f>
        <v>M</v>
      </c>
      <c r="D118" s="112" t="n">
        <v>-180574</v>
      </c>
      <c r="E118" s="112" t="n">
        <v>180574</v>
      </c>
      <c r="F118" s="112" t="n">
        <v>0</v>
      </c>
      <c r="G118" s="112" t="n">
        <v>-13020.08</v>
      </c>
      <c r="I118" s="112" t="n">
        <f aca="false">IF(MONTH($A118)=MONTH($A117),IF(G118=0,I117,G118),G118)</f>
        <v>-13020.08</v>
      </c>
      <c r="J118" s="112" t="n">
        <f aca="false">IF(MONTH($A118)=MONTH($A117),SUM(I118-I117),I118)</f>
        <v>-11545.17</v>
      </c>
      <c r="K118" s="112" t="n">
        <f aca="false">IF(WEEKDAY(A118,3)&gt;4,0,(IF(A118&lt;K$2,0,IF(A118&lt;=K$3,1,0))))</f>
        <v>0</v>
      </c>
      <c r="L118" s="112" t="n">
        <f aca="false">J118*K118</f>
        <v>-0</v>
      </c>
      <c r="M118" s="112" t="n">
        <f aca="false">SUM(J$97:J118)</f>
        <v>-13020.08</v>
      </c>
      <c r="N118" s="112" t="n">
        <f aca="false">SUM(J$6:J118)</f>
        <v>471166.585417804</v>
      </c>
      <c r="P118" s="112" t="n">
        <f aca="false">D118/P$3</f>
        <v>-0.180574</v>
      </c>
      <c r="Q118" s="112" t="n">
        <f aca="false">E118/P$3</f>
        <v>0.180574</v>
      </c>
      <c r="R118" s="112" t="n">
        <f aca="false">F118/R$3</f>
        <v>0</v>
      </c>
      <c r="S118" s="114" t="n">
        <f aca="false">J118/$R$3</f>
        <v>-11.54517</v>
      </c>
      <c r="T118" s="114" t="n">
        <f aca="false">L118/$R$3</f>
        <v>-0</v>
      </c>
      <c r="U118" s="114" t="n">
        <f aca="false">I118/$R$3</f>
        <v>-13.02008</v>
      </c>
      <c r="V118" s="114" t="n">
        <f aca="false">M118/$R$3</f>
        <v>-13.02008</v>
      </c>
      <c r="W118" s="114" t="n">
        <f aca="false">N118/$R$3</f>
        <v>471.166585417804</v>
      </c>
    </row>
    <row r="119" customFormat="false" ht="12.75" hidden="true" customHeight="false" outlineLevel="0" collapsed="false">
      <c r="A119" s="108" t="n">
        <f aca="false">A118+1</f>
        <v>37005</v>
      </c>
      <c r="B119" s="119" t="str">
        <f aca="false">INDEX('Master Data'!$A$2:$B$8,MATCH(WEEKDAY('EZE Power Trading'!A119,3),'Master Data'!$A$2:$A$8,0),2)</f>
        <v>T</v>
      </c>
      <c r="D119" s="112" t="n">
        <v>-179875</v>
      </c>
      <c r="E119" s="112" t="n">
        <v>179875</v>
      </c>
      <c r="F119" s="112" t="n">
        <v>0</v>
      </c>
      <c r="G119" s="112" t="n">
        <v>-12436.19</v>
      </c>
      <c r="I119" s="112" t="n">
        <f aca="false">IF(MONTH($A119)=MONTH($A118),IF(G119=0,I118,G119),G119)</f>
        <v>-12436.19</v>
      </c>
      <c r="J119" s="112" t="n">
        <f aca="false">IF(MONTH($A119)=MONTH($A118),SUM(I119-I118),I119)</f>
        <v>583.889999999999</v>
      </c>
      <c r="K119" s="112" t="n">
        <f aca="false">IF(WEEKDAY(A119,3)&gt;4,0,(IF(A119&lt;K$2,0,IF(A119&lt;=K$3,1,0))))</f>
        <v>0</v>
      </c>
      <c r="L119" s="112" t="n">
        <f aca="false">J119*K119</f>
        <v>0</v>
      </c>
      <c r="M119" s="112" t="n">
        <f aca="false">SUM(J$97:J119)</f>
        <v>-12436.19</v>
      </c>
      <c r="N119" s="112" t="n">
        <f aca="false">SUM(J$6:J119)</f>
        <v>471750.475417804</v>
      </c>
      <c r="P119" s="112" t="n">
        <f aca="false">D119/P$3</f>
        <v>-0.179875</v>
      </c>
      <c r="Q119" s="112" t="n">
        <f aca="false">E119/P$3</f>
        <v>0.179875</v>
      </c>
      <c r="R119" s="112" t="n">
        <f aca="false">F119/R$3</f>
        <v>0</v>
      </c>
      <c r="S119" s="114" t="n">
        <f aca="false">J119/$R$3</f>
        <v>0.58389</v>
      </c>
      <c r="T119" s="114" t="n">
        <f aca="false">L119/$R$3</f>
        <v>0</v>
      </c>
      <c r="U119" s="114" t="n">
        <f aca="false">I119/$R$3</f>
        <v>-12.43619</v>
      </c>
      <c r="V119" s="114" t="n">
        <f aca="false">M119/$R$3</f>
        <v>-12.43619</v>
      </c>
      <c r="W119" s="114" t="n">
        <f aca="false">N119/$R$3</f>
        <v>471.750475417804</v>
      </c>
    </row>
    <row r="120" customFormat="false" ht="12.75" hidden="true" customHeight="false" outlineLevel="0" collapsed="false">
      <c r="A120" s="108" t="n">
        <f aca="false">A119+1</f>
        <v>37006</v>
      </c>
      <c r="B120" s="119" t="str">
        <f aca="false">INDEX('Master Data'!$A$2:$B$8,MATCH(WEEKDAY('EZE Power Trading'!A120,3),'Master Data'!$A$2:$A$8,0),2)</f>
        <v>W</v>
      </c>
      <c r="D120" s="112" t="n">
        <v>-179146</v>
      </c>
      <c r="E120" s="112" t="n">
        <v>179146</v>
      </c>
      <c r="F120" s="112" t="n">
        <v>0</v>
      </c>
      <c r="G120" s="112" t="n">
        <v>-11028.85</v>
      </c>
      <c r="I120" s="112" t="n">
        <f aca="false">IF(MONTH($A120)=MONTH($A119),IF(G120=0,I119,G120),G120)</f>
        <v>-11028.85</v>
      </c>
      <c r="J120" s="112" t="n">
        <f aca="false">IF(MONTH($A120)=MONTH($A119),SUM(I120-I119),I120)</f>
        <v>1407.34</v>
      </c>
      <c r="K120" s="112" t="n">
        <f aca="false">IF(WEEKDAY(A120,3)&gt;4,0,(IF(A120&lt;K$2,0,IF(A120&lt;=K$3,1,0))))</f>
        <v>0</v>
      </c>
      <c r="L120" s="112" t="n">
        <f aca="false">J120*K120</f>
        <v>0</v>
      </c>
      <c r="M120" s="112" t="n">
        <f aca="false">SUM(J$97:J120)</f>
        <v>-11028.85</v>
      </c>
      <c r="N120" s="112" t="n">
        <f aca="false">SUM(J$6:J120)</f>
        <v>473157.815417804</v>
      </c>
      <c r="P120" s="112" t="n">
        <f aca="false">D120/P$3</f>
        <v>-0.179146</v>
      </c>
      <c r="Q120" s="112" t="n">
        <f aca="false">E120/P$3</f>
        <v>0.179146</v>
      </c>
      <c r="R120" s="112" t="n">
        <f aca="false">F120/R$3</f>
        <v>0</v>
      </c>
      <c r="S120" s="114" t="n">
        <f aca="false">J120/$R$3</f>
        <v>1.40734</v>
      </c>
      <c r="T120" s="114" t="n">
        <f aca="false">L120/$R$3</f>
        <v>0</v>
      </c>
      <c r="U120" s="114" t="n">
        <f aca="false">I120/$R$3</f>
        <v>-11.02885</v>
      </c>
      <c r="V120" s="114" t="n">
        <f aca="false">M120/$R$3</f>
        <v>-11.02885</v>
      </c>
      <c r="W120" s="114" t="n">
        <f aca="false">N120/$R$3</f>
        <v>473.157815417804</v>
      </c>
    </row>
    <row r="121" customFormat="false" ht="12.75" hidden="true" customHeight="false" outlineLevel="0" collapsed="false">
      <c r="A121" s="108" t="n">
        <f aca="false">A120+1</f>
        <v>37007</v>
      </c>
      <c r="B121" s="119" t="str">
        <f aca="false">INDEX('Master Data'!$A$2:$B$8,MATCH(WEEKDAY('EZE Power Trading'!A121,3),'Master Data'!$A$2:$A$8,0),2)</f>
        <v>Th</v>
      </c>
      <c r="D121" s="112" t="n">
        <v>-178399</v>
      </c>
      <c r="E121" s="112" t="n">
        <v>178399</v>
      </c>
      <c r="F121" s="112" t="n">
        <v>0</v>
      </c>
      <c r="G121" s="112" t="n">
        <v>-10023.11</v>
      </c>
      <c r="I121" s="112" t="n">
        <f aca="false">IF(MONTH($A121)=MONTH($A120),IF(G121=0,I120,G121),G121)</f>
        <v>-10023.11</v>
      </c>
      <c r="J121" s="112" t="n">
        <f aca="false">IF(MONTH($A121)=MONTH($A120),SUM(I121-I120),I121)</f>
        <v>1005.74</v>
      </c>
      <c r="K121" s="112" t="n">
        <f aca="false">IF(WEEKDAY(A121,3)&gt;4,0,(IF(A121&lt;K$2,0,IF(A121&lt;=K$3,1,0))))</f>
        <v>0</v>
      </c>
      <c r="L121" s="112" t="n">
        <f aca="false">J121*K121</f>
        <v>0</v>
      </c>
      <c r="M121" s="112" t="n">
        <f aca="false">SUM(J$97:J121)</f>
        <v>-10023.11</v>
      </c>
      <c r="N121" s="112" t="n">
        <f aca="false">SUM(J$6:J121)</f>
        <v>474163.555417803</v>
      </c>
      <c r="P121" s="112" t="n">
        <f aca="false">D121/P$3</f>
        <v>-0.178399</v>
      </c>
      <c r="Q121" s="112" t="n">
        <f aca="false">E121/P$3</f>
        <v>0.178399</v>
      </c>
      <c r="R121" s="112" t="n">
        <f aca="false">F121/R$3</f>
        <v>0</v>
      </c>
      <c r="S121" s="114" t="n">
        <f aca="false">J121/$R$3</f>
        <v>1.00574</v>
      </c>
      <c r="T121" s="114" t="n">
        <f aca="false">L121/$R$3</f>
        <v>0</v>
      </c>
      <c r="U121" s="114" t="n">
        <f aca="false">I121/$R$3</f>
        <v>-10.02311</v>
      </c>
      <c r="V121" s="114" t="n">
        <f aca="false">M121/$R$3</f>
        <v>-10.02311</v>
      </c>
      <c r="W121" s="114" t="n">
        <f aca="false">N121/$R$3</f>
        <v>474.163555417804</v>
      </c>
    </row>
    <row r="122" customFormat="false" ht="12.75" hidden="true" customHeight="false" outlineLevel="0" collapsed="false">
      <c r="A122" s="108" t="n">
        <f aca="false">A121+1</f>
        <v>37008</v>
      </c>
      <c r="B122" s="119" t="str">
        <f aca="false">INDEX('Master Data'!$A$2:$B$8,MATCH(WEEKDAY('EZE Power Trading'!A122,3),'Master Data'!$A$2:$A$8,0),2)</f>
        <v>F</v>
      </c>
      <c r="D122" s="112" t="n">
        <v>-177674</v>
      </c>
      <c r="E122" s="112" t="n">
        <v>177674</v>
      </c>
      <c r="F122" s="112" t="n">
        <v>0</v>
      </c>
      <c r="G122" s="112" t="n">
        <v>12450.48</v>
      </c>
      <c r="I122" s="112" t="n">
        <f aca="false">IF(MONTH($A122)=MONTH($A121),IF(G122=0,I121,G122),G122)</f>
        <v>12450.48</v>
      </c>
      <c r="J122" s="112" t="n">
        <f aca="false">IF(MONTH($A122)=MONTH($A121),SUM(I122-I121),I122)</f>
        <v>22473.59</v>
      </c>
      <c r="K122" s="112" t="n">
        <f aca="false">IF(WEEKDAY(A122,3)&gt;4,0,(IF(A122&lt;K$2,0,IF(A122&lt;=K$3,1,0))))</f>
        <v>0</v>
      </c>
      <c r="L122" s="112" t="n">
        <f aca="false">J122*K122</f>
        <v>0</v>
      </c>
      <c r="M122" s="112" t="n">
        <f aca="false">SUM(J$97:J122)</f>
        <v>12450.48</v>
      </c>
      <c r="N122" s="112" t="n">
        <f aca="false">SUM(J$6:J122)</f>
        <v>496637.145417804</v>
      </c>
      <c r="P122" s="112" t="n">
        <f aca="false">D122/P$3</f>
        <v>-0.177674</v>
      </c>
      <c r="Q122" s="112" t="n">
        <f aca="false">E122/P$3</f>
        <v>0.177674</v>
      </c>
      <c r="R122" s="112" t="n">
        <f aca="false">F122/R$3</f>
        <v>0</v>
      </c>
      <c r="S122" s="114" t="n">
        <f aca="false">J122/$R$3</f>
        <v>22.47359</v>
      </c>
      <c r="T122" s="114" t="n">
        <f aca="false">L122/$R$3</f>
        <v>0</v>
      </c>
      <c r="U122" s="114" t="n">
        <f aca="false">I122/$R$3</f>
        <v>12.45048</v>
      </c>
      <c r="V122" s="114" t="n">
        <f aca="false">M122/$R$3</f>
        <v>12.45048</v>
      </c>
      <c r="W122" s="114" t="n">
        <f aca="false">N122/$R$3</f>
        <v>496.637145417804</v>
      </c>
    </row>
    <row r="123" customFormat="false" ht="12.75" hidden="true" customHeight="false" outlineLevel="0" collapsed="false">
      <c r="A123" s="108" t="n">
        <f aca="false">A122+1</f>
        <v>37009</v>
      </c>
      <c r="B123" s="119" t="str">
        <f aca="false">INDEX('Master Data'!$A$2:$B$8,MATCH(WEEKDAY('EZE Power Trading'!A123,3),'Master Data'!$A$2:$A$8,0),2)</f>
        <v>Sa</v>
      </c>
      <c r="D123" s="112" t="n">
        <v>0</v>
      </c>
      <c r="E123" s="112" t="n">
        <v>0</v>
      </c>
      <c r="F123" s="112" t="n">
        <v>0</v>
      </c>
      <c r="G123" s="112" t="n">
        <v>0</v>
      </c>
      <c r="I123" s="112" t="n">
        <f aca="false">IF(MONTH($A123)=MONTH($A122),IF(G123=0,I122,G123),G123)</f>
        <v>12450.48</v>
      </c>
      <c r="J123" s="112" t="n">
        <f aca="false">IF(MONTH($A123)=MONTH($A122),SUM(I123-I122),I123)</f>
        <v>0</v>
      </c>
      <c r="K123" s="112" t="n">
        <f aca="false">IF(WEEKDAY(A123,3)&gt;4,0,(IF(A123&lt;K$2,0,IF(A123&lt;=K$3,1,0))))</f>
        <v>0</v>
      </c>
      <c r="L123" s="112" t="n">
        <f aca="false">J123*K123</f>
        <v>0</v>
      </c>
      <c r="M123" s="112" t="n">
        <f aca="false">SUM(J$97:J123)</f>
        <v>12450.48</v>
      </c>
      <c r="N123" s="112" t="n">
        <f aca="false">SUM(J$6:J123)</f>
        <v>496637.145417804</v>
      </c>
      <c r="P123" s="112" t="n">
        <f aca="false">D123/P$3</f>
        <v>0</v>
      </c>
      <c r="Q123" s="112" t="n">
        <f aca="false">E123/P$3</f>
        <v>0</v>
      </c>
      <c r="R123" s="112" t="n">
        <f aca="false">F123/R$3</f>
        <v>0</v>
      </c>
      <c r="S123" s="114" t="n">
        <f aca="false">J123/$R$3</f>
        <v>0</v>
      </c>
      <c r="T123" s="114" t="n">
        <f aca="false">L123/$R$3</f>
        <v>0</v>
      </c>
      <c r="U123" s="114" t="n">
        <f aca="false">I123/$R$3</f>
        <v>12.45048</v>
      </c>
      <c r="V123" s="114" t="n">
        <f aca="false">M123/$R$3</f>
        <v>12.45048</v>
      </c>
      <c r="W123" s="114" t="n">
        <f aca="false">N123/$R$3</f>
        <v>496.637145417804</v>
      </c>
    </row>
    <row r="124" customFormat="false" ht="12.75" hidden="true" customHeight="false" outlineLevel="0" collapsed="false">
      <c r="A124" s="108" t="n">
        <f aca="false">A123+1</f>
        <v>37010</v>
      </c>
      <c r="B124" s="119" t="str">
        <f aca="false">INDEX('Master Data'!$A$2:$B$8,MATCH(WEEKDAY('EZE Power Trading'!A124,3),'Master Data'!$A$2:$A$8,0),2)</f>
        <v>Su</v>
      </c>
      <c r="D124" s="112" t="n">
        <v>0</v>
      </c>
      <c r="E124" s="112" t="n">
        <v>0</v>
      </c>
      <c r="F124" s="112" t="n">
        <v>0</v>
      </c>
      <c r="G124" s="112" t="n">
        <v>0</v>
      </c>
      <c r="I124" s="112" t="n">
        <f aca="false">IF(MONTH($A124)=MONTH($A123),IF(G124=0,I123,G124),G124)</f>
        <v>12450.48</v>
      </c>
      <c r="J124" s="112" t="n">
        <f aca="false">IF(MONTH($A124)=MONTH($A123),SUM(I124-I123),I124)</f>
        <v>0</v>
      </c>
      <c r="K124" s="112" t="n">
        <f aca="false">IF(WEEKDAY(A124,3)&gt;4,0,(IF(A124&lt;K$2,0,IF(A124&lt;=K$3,1,0))))</f>
        <v>0</v>
      </c>
      <c r="L124" s="112" t="n">
        <f aca="false">J124*K124</f>
        <v>0</v>
      </c>
      <c r="M124" s="112" t="n">
        <f aca="false">SUM(J$97:J124)</f>
        <v>12450.48</v>
      </c>
      <c r="N124" s="112" t="n">
        <f aca="false">SUM(J$6:J124)</f>
        <v>496637.145417804</v>
      </c>
      <c r="P124" s="112" t="n">
        <f aca="false">D124/P$3</f>
        <v>0</v>
      </c>
      <c r="Q124" s="112" t="n">
        <f aca="false">E124/P$3</f>
        <v>0</v>
      </c>
      <c r="R124" s="112" t="n">
        <f aca="false">F124/R$3</f>
        <v>0</v>
      </c>
      <c r="S124" s="114" t="n">
        <f aca="false">J124/$R$3</f>
        <v>0</v>
      </c>
      <c r="T124" s="114" t="n">
        <f aca="false">L124/$R$3</f>
        <v>0</v>
      </c>
      <c r="U124" s="114" t="n">
        <f aca="false">I124/$R$3</f>
        <v>12.45048</v>
      </c>
      <c r="V124" s="114" t="n">
        <f aca="false">M124/$R$3</f>
        <v>12.45048</v>
      </c>
      <c r="W124" s="114" t="n">
        <f aca="false">N124/$R$3</f>
        <v>496.637145417804</v>
      </c>
    </row>
    <row r="125" customFormat="false" ht="12.75" hidden="false" customHeight="false" outlineLevel="0" collapsed="false">
      <c r="A125" s="108" t="n">
        <f aca="false">A124+1</f>
        <v>37011</v>
      </c>
      <c r="B125" s="119" t="str">
        <f aca="false">INDEX('Master Data'!$A$2:$B$8,MATCH(WEEKDAY('EZE Power Trading'!A125,3),'Master Data'!$A$2:$A$8,0),2)</f>
        <v>M</v>
      </c>
      <c r="D125" s="112" t="n">
        <v>-175610</v>
      </c>
      <c r="E125" s="112" t="n">
        <v>175610</v>
      </c>
      <c r="F125" s="112" t="n">
        <v>0</v>
      </c>
      <c r="G125" s="112" t="n">
        <f aca="false">966+1</f>
        <v>967</v>
      </c>
      <c r="I125" s="112" t="n">
        <f aca="false">IF(MONTH($A125)=MONTH($A124),IF(G125=0,I124,G125),G125)</f>
        <v>967</v>
      </c>
      <c r="J125" s="112" t="n">
        <f aca="false">IF(MONTH($A125)=MONTH($A124),SUM(I125-I124),I125)</f>
        <v>-11483.48</v>
      </c>
      <c r="K125" s="112" t="n">
        <f aca="false">IF(WEEKDAY(A125,3)&gt;4,0,(IF(A125&lt;K$2,0,IF(A125&lt;=K$3,1,0))))</f>
        <v>0</v>
      </c>
      <c r="L125" s="112" t="n">
        <f aca="false">J125*K125</f>
        <v>-0</v>
      </c>
      <c r="M125" s="112" t="n">
        <f aca="false">SUM(J$97:J125)</f>
        <v>967</v>
      </c>
      <c r="N125" s="112" t="n">
        <f aca="false">SUM(J$6:J125)</f>
        <v>485153.665417804</v>
      </c>
      <c r="P125" s="112" t="n">
        <f aca="false">D125/P$3</f>
        <v>-0.17561</v>
      </c>
      <c r="Q125" s="112" t="n">
        <f aca="false">E125/P$3</f>
        <v>0.17561</v>
      </c>
      <c r="R125" s="112" t="n">
        <f aca="false">F125/R$3</f>
        <v>0</v>
      </c>
      <c r="S125" s="114" t="n">
        <f aca="false">J125/$R$3</f>
        <v>-11.48348</v>
      </c>
      <c r="T125" s="114" t="n">
        <f aca="false">L125/$R$3</f>
        <v>-0</v>
      </c>
      <c r="U125" s="114" t="n">
        <f aca="false">I125/$R$3</f>
        <v>0.967</v>
      </c>
      <c r="V125" s="114" t="n">
        <f aca="false">M125/$R$3</f>
        <v>0.967</v>
      </c>
      <c r="W125" s="114" t="n">
        <f aca="false">N125/$R$3</f>
        <v>485.153665417804</v>
      </c>
    </row>
    <row r="126" customFormat="false" ht="12.75" hidden="true" customHeight="false" outlineLevel="0" collapsed="false">
      <c r="A126" s="108" t="n">
        <f aca="false">A125+1</f>
        <v>37012</v>
      </c>
      <c r="B126" s="119" t="str">
        <f aca="false">INDEX('Master Data'!$A$2:$B$8,MATCH(WEEKDAY('EZE Power Trading'!A126,3),'Master Data'!$A$2:$A$8,0),2)</f>
        <v>T</v>
      </c>
      <c r="D126" s="112" t="n">
        <v>-174983</v>
      </c>
      <c r="E126" s="112" t="n">
        <v>174983</v>
      </c>
      <c r="F126" s="112" t="n">
        <v>0</v>
      </c>
      <c r="G126" s="112" t="n">
        <v>5.85</v>
      </c>
      <c r="I126" s="112" t="n">
        <f aca="false">IF(MONTH($A126)=MONTH($A125),IF(G126=0,I125,G126),G126)</f>
        <v>5.85</v>
      </c>
      <c r="J126" s="112" t="n">
        <f aca="false">IF(MONTH($A126)=MONTH($A125),SUM(I126-I125),I126)</f>
        <v>5.85</v>
      </c>
      <c r="K126" s="112" t="n">
        <f aca="false">IF(WEEKDAY(A126,3)&gt;4,0,(IF(A126&lt;K$2,0,IF(A126&lt;=K$3,1,0))))</f>
        <v>0</v>
      </c>
      <c r="L126" s="112" t="n">
        <f aca="false">J126*K126</f>
        <v>0</v>
      </c>
      <c r="M126" s="112" t="n">
        <f aca="false">SUM(J$97:J126)</f>
        <v>972.849999999999</v>
      </c>
      <c r="N126" s="112" t="n">
        <f aca="false">SUM(J$6:J126)</f>
        <v>485159.515417803</v>
      </c>
      <c r="P126" s="112" t="n">
        <f aca="false">D126/P$3</f>
        <v>-0.174983</v>
      </c>
      <c r="Q126" s="112" t="n">
        <f aca="false">E126/P$3</f>
        <v>0.174983</v>
      </c>
      <c r="R126" s="112" t="n">
        <f aca="false">F126/R$3</f>
        <v>0</v>
      </c>
      <c r="S126" s="114" t="n">
        <f aca="false">J126/$R$3</f>
        <v>0.00585</v>
      </c>
      <c r="T126" s="114" t="n">
        <f aca="false">L126/$R$3</f>
        <v>0</v>
      </c>
      <c r="U126" s="114" t="n">
        <f aca="false">I126/$R$3</f>
        <v>0.00585</v>
      </c>
      <c r="V126" s="114" t="n">
        <f aca="false">M126/$R$3</f>
        <v>0.972849999999999</v>
      </c>
      <c r="W126" s="114" t="n">
        <f aca="false">N126/$R$3</f>
        <v>485.159515417803</v>
      </c>
    </row>
    <row r="127" customFormat="false" ht="12.75" hidden="true" customHeight="false" outlineLevel="0" collapsed="false">
      <c r="A127" s="108" t="n">
        <f aca="false">A126+1</f>
        <v>37013</v>
      </c>
      <c r="B127" s="119" t="str">
        <f aca="false">INDEX('Master Data'!$A$2:$B$8,MATCH(WEEKDAY('EZE Power Trading'!A127,3),'Master Data'!$A$2:$A$8,0),2)</f>
        <v>W</v>
      </c>
      <c r="D127" s="112" t="n">
        <v>-174382</v>
      </c>
      <c r="E127" s="112" t="n">
        <v>174382</v>
      </c>
      <c r="F127" s="112" t="n">
        <v>0</v>
      </c>
      <c r="G127" s="112" t="n">
        <v>18814.48</v>
      </c>
      <c r="I127" s="112" t="n">
        <f aca="false">IF(MONTH($A127)=MONTH($A126),IF(G127=0,I126,G127),G127)</f>
        <v>18814.48</v>
      </c>
      <c r="J127" s="112" t="n">
        <f aca="false">IF(MONTH($A127)=MONTH($A126),SUM(I127-I126),I127)</f>
        <v>18808.63</v>
      </c>
      <c r="K127" s="112" t="n">
        <f aca="false">IF(WEEKDAY(A127,3)&gt;4,0,(IF(A127&lt;K$2,0,IF(A127&lt;=K$3,1,0))))</f>
        <v>0</v>
      </c>
      <c r="L127" s="112" t="n">
        <f aca="false">J127*K127</f>
        <v>0</v>
      </c>
      <c r="M127" s="112" t="n">
        <f aca="false">SUM(J$97:J127)</f>
        <v>19781.48</v>
      </c>
      <c r="N127" s="112" t="n">
        <f aca="false">SUM(J$6:J127)</f>
        <v>503968.145417804</v>
      </c>
      <c r="P127" s="112" t="n">
        <f aca="false">D127/P$3</f>
        <v>-0.174382</v>
      </c>
      <c r="Q127" s="112" t="n">
        <f aca="false">E127/P$3</f>
        <v>0.174382</v>
      </c>
      <c r="R127" s="112" t="n">
        <f aca="false">F127/R$3</f>
        <v>0</v>
      </c>
      <c r="S127" s="114" t="n">
        <f aca="false">J127/$R$3</f>
        <v>18.80863</v>
      </c>
      <c r="T127" s="114" t="n">
        <f aca="false">L127/$R$3</f>
        <v>0</v>
      </c>
      <c r="U127" s="114" t="n">
        <f aca="false">I127/$R$3</f>
        <v>18.81448</v>
      </c>
      <c r="V127" s="114" t="n">
        <f aca="false">M127/$R$3</f>
        <v>19.78148</v>
      </c>
      <c r="W127" s="114" t="n">
        <f aca="false">N127/$R$3</f>
        <v>503.968145417804</v>
      </c>
    </row>
    <row r="128" customFormat="false" ht="12.75" hidden="true" customHeight="false" outlineLevel="0" collapsed="false">
      <c r="A128" s="108" t="n">
        <f aca="false">A127+1</f>
        <v>37014</v>
      </c>
      <c r="B128" s="119" t="str">
        <f aca="false">INDEX('Master Data'!$A$2:$B$8,MATCH(WEEKDAY('EZE Power Trading'!A128,3),'Master Data'!$A$2:$A$8,0),2)</f>
        <v>Th</v>
      </c>
      <c r="D128" s="112" t="n">
        <v>-496398</v>
      </c>
      <c r="E128" s="112" t="n">
        <v>496398</v>
      </c>
      <c r="F128" s="112" t="n">
        <v>0</v>
      </c>
      <c r="G128" s="112" t="n">
        <v>23700.12</v>
      </c>
      <c r="I128" s="112" t="n">
        <f aca="false">IF(MONTH($A128)=MONTH($A127),IF(G128=0,I127,G128),G128)</f>
        <v>23700.12</v>
      </c>
      <c r="J128" s="112" t="n">
        <f aca="false">IF(MONTH($A128)=MONTH($A127),SUM(I128-I127),I128)</f>
        <v>4885.64</v>
      </c>
      <c r="K128" s="112" t="n">
        <f aca="false">IF(WEEKDAY(A128,3)&gt;4,0,(IF(A128&lt;K$2,0,IF(A128&lt;=K$3,1,0))))</f>
        <v>0</v>
      </c>
      <c r="L128" s="112" t="n">
        <f aca="false">J128*K128</f>
        <v>0</v>
      </c>
      <c r="M128" s="112" t="n">
        <f aca="false">SUM(J$97:J128)</f>
        <v>24667.12</v>
      </c>
      <c r="N128" s="112" t="n">
        <f aca="false">SUM(J$6:J128)</f>
        <v>508853.785417804</v>
      </c>
      <c r="P128" s="112" t="n">
        <f aca="false">D128/P$3</f>
        <v>-0.496398</v>
      </c>
      <c r="Q128" s="112" t="n">
        <f aca="false">E128/P$3</f>
        <v>0.496398</v>
      </c>
      <c r="R128" s="112" t="n">
        <f aca="false">F128/R$3</f>
        <v>0</v>
      </c>
      <c r="S128" s="114" t="n">
        <f aca="false">J128/$R$3</f>
        <v>4.88564</v>
      </c>
      <c r="T128" s="114" t="n">
        <f aca="false">L128/$R$3</f>
        <v>0</v>
      </c>
      <c r="U128" s="114" t="n">
        <f aca="false">I128/$R$3</f>
        <v>23.70012</v>
      </c>
      <c r="V128" s="114" t="n">
        <f aca="false">M128/$R$3</f>
        <v>24.66712</v>
      </c>
      <c r="W128" s="114" t="n">
        <f aca="false">N128/$R$3</f>
        <v>508.853785417804</v>
      </c>
    </row>
    <row r="129" customFormat="false" ht="12.75" hidden="true" customHeight="false" outlineLevel="0" collapsed="false">
      <c r="A129" s="108" t="n">
        <f aca="false">A128+1</f>
        <v>37015</v>
      </c>
      <c r="B129" s="119" t="str">
        <f aca="false">INDEX('Master Data'!$A$2:$B$8,MATCH(WEEKDAY('EZE Power Trading'!A129,3),'Master Data'!$A$2:$A$8,0),2)</f>
        <v>F</v>
      </c>
      <c r="D129" s="112" t="n">
        <v>-495221</v>
      </c>
      <c r="E129" s="112" t="n">
        <v>495221</v>
      </c>
      <c r="F129" s="112" t="n">
        <v>0</v>
      </c>
      <c r="G129" s="112" t="n">
        <v>20646.7684862539</v>
      </c>
      <c r="I129" s="112" t="n">
        <f aca="false">IF(MONTH($A129)=MONTH($A128),IF(G129=0,I128,G129),G129)</f>
        <v>20646.7684862539</v>
      </c>
      <c r="J129" s="112" t="n">
        <f aca="false">IF(MONTH($A129)=MONTH($A128),SUM(I129-I128),I129)</f>
        <v>-3053.35151374605</v>
      </c>
      <c r="K129" s="112" t="n">
        <f aca="false">IF(WEEKDAY(A129,3)&gt;4,0,(IF(A129&lt;K$2,0,IF(A129&lt;=K$3,1,0))))</f>
        <v>0</v>
      </c>
      <c r="L129" s="112" t="n">
        <f aca="false">J129*K129</f>
        <v>-0</v>
      </c>
      <c r="M129" s="112" t="n">
        <f aca="false">SUM(J$97:J129)</f>
        <v>21613.7684862539</v>
      </c>
      <c r="N129" s="112" t="n">
        <f aca="false">SUM(J$6:J129)</f>
        <v>505800.433904057</v>
      </c>
      <c r="P129" s="112" t="n">
        <f aca="false">D129/P$3</f>
        <v>-0.495221</v>
      </c>
      <c r="Q129" s="112" t="n">
        <f aca="false">E129/P$3</f>
        <v>0.495221</v>
      </c>
      <c r="R129" s="112" t="n">
        <f aca="false">F129/R$3</f>
        <v>0</v>
      </c>
      <c r="S129" s="114" t="n">
        <f aca="false">J129/$R$3</f>
        <v>-3.05335151374605</v>
      </c>
      <c r="T129" s="114" t="n">
        <f aca="false">L129/$R$3</f>
        <v>-0</v>
      </c>
      <c r="U129" s="114" t="n">
        <f aca="false">I129/$R$3</f>
        <v>20.6467684862539</v>
      </c>
      <c r="V129" s="114" t="n">
        <f aca="false">M129/$R$3</f>
        <v>21.6137684862539</v>
      </c>
      <c r="W129" s="114" t="n">
        <f aca="false">N129/$R$3</f>
        <v>505.800433904057</v>
      </c>
    </row>
    <row r="130" customFormat="false" ht="12.75" hidden="true" customHeight="false" outlineLevel="0" collapsed="false">
      <c r="A130" s="108" t="n">
        <f aca="false">A129+1</f>
        <v>37016</v>
      </c>
      <c r="B130" s="119" t="str">
        <f aca="false">INDEX('Master Data'!$A$2:$B$8,MATCH(WEEKDAY('EZE Power Trading'!A130,3),'Master Data'!$A$2:$A$8,0),2)</f>
        <v>Sa</v>
      </c>
      <c r="D130" s="112" t="n">
        <v>0</v>
      </c>
      <c r="E130" s="112" t="n">
        <v>0</v>
      </c>
      <c r="F130" s="112" t="n">
        <v>0</v>
      </c>
      <c r="G130" s="112" t="n">
        <v>0</v>
      </c>
      <c r="I130" s="112" t="n">
        <f aca="false">IF(MONTH($A130)=MONTH($A129),IF(G130=0,I129,G130),G130)</f>
        <v>20646.7684862539</v>
      </c>
      <c r="J130" s="112" t="n">
        <f aca="false">IF(MONTH($A130)=MONTH($A129),SUM(I130-I129),I130)</f>
        <v>0</v>
      </c>
      <c r="K130" s="112" t="n">
        <f aca="false">IF(WEEKDAY(A130,3)&gt;4,0,(IF(A130&lt;K$2,0,IF(A130&lt;=K$3,1,0))))</f>
        <v>0</v>
      </c>
      <c r="L130" s="112" t="n">
        <f aca="false">J130*K130</f>
        <v>0</v>
      </c>
      <c r="M130" s="112" t="n">
        <f aca="false">SUM(J$97:J130)</f>
        <v>21613.7684862539</v>
      </c>
      <c r="N130" s="112" t="n">
        <f aca="false">SUM(J$6:J130)</f>
        <v>505800.433904057</v>
      </c>
      <c r="P130" s="112" t="n">
        <f aca="false">D130/P$3</f>
        <v>0</v>
      </c>
      <c r="Q130" s="112" t="n">
        <f aca="false">E130/P$3</f>
        <v>0</v>
      </c>
      <c r="R130" s="112" t="n">
        <f aca="false">F130/R$3</f>
        <v>0</v>
      </c>
      <c r="S130" s="114" t="n">
        <f aca="false">J130/$R$3</f>
        <v>0</v>
      </c>
      <c r="T130" s="114" t="n">
        <f aca="false">L130/$R$3</f>
        <v>0</v>
      </c>
      <c r="U130" s="114" t="n">
        <f aca="false">I130/$R$3</f>
        <v>20.6467684862539</v>
      </c>
      <c r="V130" s="114" t="n">
        <f aca="false">M130/$R$3</f>
        <v>21.6137684862539</v>
      </c>
      <c r="W130" s="114" t="n">
        <f aca="false">N130/$R$3</f>
        <v>505.800433904057</v>
      </c>
    </row>
    <row r="131" customFormat="false" ht="12.75" hidden="true" customHeight="false" outlineLevel="0" collapsed="false">
      <c r="A131" s="108" t="n">
        <f aca="false">A130+1</f>
        <v>37017</v>
      </c>
      <c r="B131" s="119" t="str">
        <f aca="false">INDEX('Master Data'!$A$2:$B$8,MATCH(WEEKDAY('EZE Power Trading'!A131,3),'Master Data'!$A$2:$A$8,0),2)</f>
        <v>Su</v>
      </c>
      <c r="D131" s="112" t="n">
        <v>0</v>
      </c>
      <c r="E131" s="112" t="n">
        <v>0</v>
      </c>
      <c r="F131" s="112" t="n">
        <v>0</v>
      </c>
      <c r="G131" s="112" t="n">
        <v>0</v>
      </c>
      <c r="I131" s="112" t="n">
        <f aca="false">IF(MONTH($A131)=MONTH($A130),IF(G131=0,I130,G131),G131)</f>
        <v>20646.7684862539</v>
      </c>
      <c r="J131" s="112" t="n">
        <f aca="false">IF(MONTH($A131)=MONTH($A130),SUM(I131-I130),I131)</f>
        <v>0</v>
      </c>
      <c r="K131" s="112" t="n">
        <f aca="false">IF(WEEKDAY(A131,3)&gt;4,0,(IF(A131&lt;K$2,0,IF(A131&lt;=K$3,1,0))))</f>
        <v>0</v>
      </c>
      <c r="L131" s="112" t="n">
        <f aca="false">J131*K131</f>
        <v>0</v>
      </c>
      <c r="M131" s="112" t="n">
        <f aca="false">SUM(J$97:J131)</f>
        <v>21613.7684862539</v>
      </c>
      <c r="N131" s="112" t="n">
        <f aca="false">SUM(J$6:J131)</f>
        <v>505800.433904057</v>
      </c>
      <c r="P131" s="112" t="n">
        <f aca="false">D131/P$3</f>
        <v>0</v>
      </c>
      <c r="Q131" s="112" t="n">
        <f aca="false">E131/P$3</f>
        <v>0</v>
      </c>
      <c r="R131" s="112" t="n">
        <f aca="false">F131/R$3</f>
        <v>0</v>
      </c>
      <c r="S131" s="114" t="n">
        <f aca="false">J131/$R$3</f>
        <v>0</v>
      </c>
      <c r="T131" s="114" t="n">
        <f aca="false">L131/$R$3</f>
        <v>0</v>
      </c>
      <c r="U131" s="114" t="n">
        <f aca="false">I131/$R$3</f>
        <v>20.6467684862539</v>
      </c>
      <c r="V131" s="114" t="n">
        <f aca="false">M131/$R$3</f>
        <v>21.6137684862539</v>
      </c>
      <c r="W131" s="114" t="n">
        <f aca="false">N131/$R$3</f>
        <v>505.800433904057</v>
      </c>
    </row>
    <row r="132" customFormat="false" ht="12.75" hidden="true" customHeight="false" outlineLevel="0" collapsed="false">
      <c r="A132" s="108" t="n">
        <f aca="false">A131+1</f>
        <v>37018</v>
      </c>
      <c r="B132" s="119" t="str">
        <f aca="false">INDEX('Master Data'!$A$2:$B$8,MATCH(WEEKDAY('EZE Power Trading'!A132,3),'Master Data'!$A$2:$A$8,0),2)</f>
        <v>M</v>
      </c>
      <c r="D132" s="112" t="n">
        <v>-491578</v>
      </c>
      <c r="E132" s="112" t="n">
        <v>491578</v>
      </c>
      <c r="F132" s="112"/>
      <c r="G132" s="112" t="n">
        <f aca="false">16874.17</f>
        <v>16874.17</v>
      </c>
      <c r="I132" s="112" t="n">
        <f aca="false">IF(MONTH($A132)=MONTH($A131),IF(G132=0,I131,G132),G132)</f>
        <v>16874.17</v>
      </c>
      <c r="J132" s="112" t="n">
        <f aca="false">IF(MONTH($A132)=MONTH($A131),SUM(I132-I131),I132)</f>
        <v>-3772.59848625395</v>
      </c>
      <c r="K132" s="112" t="n">
        <f aca="false">IF(WEEKDAY(A132,3)&gt;4,0,(IF(A132&lt;K$2,0,IF(A132&lt;=K$3,1,0))))</f>
        <v>0</v>
      </c>
      <c r="L132" s="112" t="n">
        <f aca="false">J132*K132</f>
        <v>-0</v>
      </c>
      <c r="M132" s="112" t="n">
        <f aca="false">SUM(J$97:J132)</f>
        <v>17841.17</v>
      </c>
      <c r="N132" s="112" t="n">
        <f aca="false">SUM(J$6:J132)</f>
        <v>502027.835417804</v>
      </c>
      <c r="P132" s="112" t="n">
        <f aca="false">D132/P$3</f>
        <v>-0.491578</v>
      </c>
      <c r="Q132" s="112" t="n">
        <f aca="false">E132/P$3</f>
        <v>0.491578</v>
      </c>
      <c r="R132" s="112" t="n">
        <f aca="false">F132/R$3</f>
        <v>0</v>
      </c>
      <c r="S132" s="114" t="n">
        <f aca="false">J132/$R$3</f>
        <v>-3.77259848625395</v>
      </c>
      <c r="T132" s="114" t="n">
        <f aca="false">L132/$R$3</f>
        <v>-0</v>
      </c>
      <c r="U132" s="114" t="n">
        <f aca="false">I132/$R$3</f>
        <v>16.87417</v>
      </c>
      <c r="V132" s="114" t="n">
        <f aca="false">M132/$R$3</f>
        <v>17.84117</v>
      </c>
      <c r="W132" s="114" t="n">
        <f aca="false">N132/$R$3</f>
        <v>502.027835417804</v>
      </c>
    </row>
    <row r="133" customFormat="false" ht="12.75" hidden="true" customHeight="false" outlineLevel="0" collapsed="false">
      <c r="A133" s="108" t="n">
        <f aca="false">A132+1</f>
        <v>37019</v>
      </c>
      <c r="B133" s="119" t="str">
        <f aca="false">INDEX('Master Data'!$A$2:$B$8,MATCH(WEEKDAY('EZE Power Trading'!A133,3),'Master Data'!$A$2:$A$8,0),2)</f>
        <v>T</v>
      </c>
      <c r="D133" s="112" t="n">
        <v>-502964</v>
      </c>
      <c r="E133" s="112" t="n">
        <v>502964</v>
      </c>
      <c r="F133" s="112" t="n">
        <v>0</v>
      </c>
      <c r="G133" s="112" t="n">
        <v>22612.4833636776</v>
      </c>
      <c r="I133" s="112" t="n">
        <f aca="false">IF(MONTH($A133)=MONTH($A132),IF(G133=0,I132,G133),G133)</f>
        <v>22612.4833636776</v>
      </c>
      <c r="J133" s="112" t="n">
        <f aca="false">IF(MONTH($A133)=MONTH($A132),SUM(I133-I132),I133)</f>
        <v>5738.31336367762</v>
      </c>
      <c r="K133" s="112" t="n">
        <f aca="false">IF(WEEKDAY(A133,3)&gt;4,0,(IF(A133&lt;K$2,0,IF(A133&lt;=K$3,1,0))))</f>
        <v>0</v>
      </c>
      <c r="L133" s="112" t="n">
        <f aca="false">J133*K133</f>
        <v>0</v>
      </c>
      <c r="M133" s="112" t="n">
        <f aca="false">SUM(J$97:J133)</f>
        <v>23579.4833636776</v>
      </c>
      <c r="N133" s="112" t="n">
        <f aca="false">SUM(J$6:J133)</f>
        <v>507766.148781481</v>
      </c>
      <c r="P133" s="112" t="n">
        <f aca="false">D133/P$3</f>
        <v>-0.502964</v>
      </c>
      <c r="Q133" s="112" t="n">
        <f aca="false">E133/P$3</f>
        <v>0.502964</v>
      </c>
      <c r="R133" s="112" t="n">
        <f aca="false">F133/R$3</f>
        <v>0</v>
      </c>
      <c r="S133" s="114" t="n">
        <f aca="false">J133/$R$3</f>
        <v>5.73831336367762</v>
      </c>
      <c r="T133" s="114" t="n">
        <f aca="false">L133/$R$3</f>
        <v>0</v>
      </c>
      <c r="U133" s="114" t="n">
        <f aca="false">I133/$R$3</f>
        <v>22.6124833636776</v>
      </c>
      <c r="V133" s="114" t="n">
        <f aca="false">M133/$R$3</f>
        <v>23.5794833636776</v>
      </c>
      <c r="W133" s="114" t="n">
        <f aca="false">N133/$R$3</f>
        <v>507.766148781481</v>
      </c>
    </row>
    <row r="134" customFormat="false" ht="12.75" hidden="true" customHeight="false" outlineLevel="0" collapsed="false">
      <c r="A134" s="108" t="n">
        <f aca="false">A133+1</f>
        <v>37020</v>
      </c>
      <c r="B134" s="119" t="str">
        <f aca="false">INDEX('Master Data'!$A$2:$B$8,MATCH(WEEKDAY('EZE Power Trading'!A134,3),'Master Data'!$A$2:$A$8,0),2)</f>
        <v>W</v>
      </c>
      <c r="D134" s="112" t="n">
        <v>-315593</v>
      </c>
      <c r="E134" s="112" t="n">
        <v>315593</v>
      </c>
      <c r="F134" s="112" t="n">
        <v>0</v>
      </c>
      <c r="G134" s="135" t="n">
        <f aca="false">22612-7729</f>
        <v>14883</v>
      </c>
      <c r="I134" s="112" t="n">
        <f aca="false">IF(MONTH($A134)=MONTH($A133),IF(G134=0,I133,G134),G134)</f>
        <v>14883</v>
      </c>
      <c r="J134" s="112" t="n">
        <f aca="false">IF(MONTH($A134)=MONTH($A133),SUM(I134-I133),I134)</f>
        <v>-7729.48336367762</v>
      </c>
      <c r="K134" s="112" t="n">
        <f aca="false">IF(WEEKDAY(A134,3)&gt;4,0,(IF(A134&lt;K$2,0,IF(A134&lt;=K$3,1,0))))</f>
        <v>0</v>
      </c>
      <c r="L134" s="112" t="n">
        <f aca="false">J134*K134</f>
        <v>-0</v>
      </c>
      <c r="M134" s="112" t="n">
        <f aca="false">SUM(J$97:J134)</f>
        <v>15850</v>
      </c>
      <c r="N134" s="112" t="n">
        <f aca="false">SUM(J$6:J134)</f>
        <v>500036.665417803</v>
      </c>
      <c r="P134" s="112" t="n">
        <f aca="false">D134/P$3</f>
        <v>-0.315593</v>
      </c>
      <c r="Q134" s="112" t="n">
        <f aca="false">E134/P$3</f>
        <v>0.315593</v>
      </c>
      <c r="R134" s="112" t="n">
        <f aca="false">F134/R$3</f>
        <v>0</v>
      </c>
      <c r="S134" s="114" t="n">
        <f aca="false">J134/$R$3</f>
        <v>-7.72948336367762</v>
      </c>
      <c r="T134" s="114" t="n">
        <f aca="false">L134/$R$3</f>
        <v>-0</v>
      </c>
      <c r="U134" s="114" t="n">
        <f aca="false">I134/$R$3</f>
        <v>14.883</v>
      </c>
      <c r="V134" s="114" t="n">
        <f aca="false">M134/$R$3</f>
        <v>15.85</v>
      </c>
      <c r="W134" s="114" t="n">
        <f aca="false">N134/$R$3</f>
        <v>500.036665417804</v>
      </c>
    </row>
    <row r="135" customFormat="false" ht="12.75" hidden="true" customHeight="false" outlineLevel="0" collapsed="false">
      <c r="A135" s="108" t="n">
        <f aca="false">A134+1</f>
        <v>37021</v>
      </c>
      <c r="B135" s="119" t="str">
        <f aca="false">INDEX('Master Data'!$A$2:$B$8,MATCH(WEEKDAY('EZE Power Trading'!A135,3),'Master Data'!$A$2:$A$8,0),2)</f>
        <v>Th</v>
      </c>
      <c r="D135" s="112" t="n">
        <v>-501514</v>
      </c>
      <c r="E135" s="112" t="n">
        <v>501514</v>
      </c>
      <c r="F135" s="112" t="n">
        <v>0</v>
      </c>
      <c r="G135" s="112" t="n">
        <v>49759</v>
      </c>
      <c r="I135" s="112" t="n">
        <f aca="false">IF(MONTH($A135)=MONTH($A134),IF(G135=0,I134,G135),G135)</f>
        <v>49759</v>
      </c>
      <c r="J135" s="112" t="n">
        <f aca="false">IF(MONTH($A135)=MONTH($A134),SUM(I135-I134),I135)</f>
        <v>34876</v>
      </c>
      <c r="K135" s="112" t="n">
        <f aca="false">IF(WEEKDAY(A135,3)&gt;4,0,(IF(A135&lt;K$2,0,IF(A135&lt;=K$3,1,0))))</f>
        <v>0</v>
      </c>
      <c r="L135" s="112" t="n">
        <f aca="false">J135*K135</f>
        <v>0</v>
      </c>
      <c r="M135" s="112" t="n">
        <f aca="false">SUM(J$97:J135)</f>
        <v>50726</v>
      </c>
      <c r="N135" s="112" t="n">
        <f aca="false">SUM(J$6:J135)</f>
        <v>534912.665417804</v>
      </c>
      <c r="P135" s="112" t="n">
        <f aca="false">D135/P$3</f>
        <v>-0.501514</v>
      </c>
      <c r="Q135" s="112" t="n">
        <f aca="false">E135/P$3</f>
        <v>0.501514</v>
      </c>
      <c r="R135" s="112" t="n">
        <f aca="false">F135/R$3</f>
        <v>0</v>
      </c>
      <c r="S135" s="114" t="n">
        <f aca="false">J135/$R$3</f>
        <v>34.876</v>
      </c>
      <c r="T135" s="114" t="n">
        <f aca="false">L135/$R$3</f>
        <v>0</v>
      </c>
      <c r="U135" s="114" t="n">
        <f aca="false">I135/$R$3</f>
        <v>49.759</v>
      </c>
      <c r="V135" s="114" t="n">
        <f aca="false">M135/$R$3</f>
        <v>50.726</v>
      </c>
      <c r="W135" s="114" t="n">
        <f aca="false">N135/$R$3</f>
        <v>534.912665417803</v>
      </c>
    </row>
    <row r="136" customFormat="false" ht="12.75" hidden="true" customHeight="false" outlineLevel="0" collapsed="false">
      <c r="A136" s="108" t="n">
        <f aca="false">A135+1</f>
        <v>37022</v>
      </c>
      <c r="B136" s="119" t="str">
        <f aca="false">INDEX('Master Data'!$A$2:$B$8,MATCH(WEEKDAY('EZE Power Trading'!A136,3),'Master Data'!$A$2:$A$8,0),2)</f>
        <v>F</v>
      </c>
      <c r="D136" s="112" t="n">
        <v>-493707</v>
      </c>
      <c r="E136" s="112" t="n">
        <v>493707</v>
      </c>
      <c r="F136" s="112" t="n">
        <v>0</v>
      </c>
      <c r="G136" s="112" t="n">
        <v>40353</v>
      </c>
      <c r="I136" s="112" t="n">
        <f aca="false">IF(MONTH($A136)=MONTH($A135),IF(G136=0,I135,G136),G136)</f>
        <v>40353</v>
      </c>
      <c r="J136" s="112" t="n">
        <f aca="false">IF(MONTH($A136)=MONTH($A135),SUM(I136-I135),I136)</f>
        <v>-9406</v>
      </c>
      <c r="K136" s="112" t="n">
        <f aca="false">IF(WEEKDAY(A136,3)&gt;4,0,(IF(A136&lt;K$2,0,IF(A136&lt;=K$3,1,0))))</f>
        <v>0</v>
      </c>
      <c r="L136" s="112" t="n">
        <f aca="false">J136*K136</f>
        <v>-0</v>
      </c>
      <c r="M136" s="112" t="n">
        <f aca="false">SUM(J$97:J136)</f>
        <v>41320</v>
      </c>
      <c r="N136" s="112" t="n">
        <f aca="false">SUM(J$6:J136)</f>
        <v>525506.665417804</v>
      </c>
      <c r="P136" s="112" t="n">
        <f aca="false">D136/P$3</f>
        <v>-0.493707</v>
      </c>
      <c r="Q136" s="112" t="n">
        <f aca="false">E136/P$3</f>
        <v>0.493707</v>
      </c>
      <c r="R136" s="112" t="n">
        <f aca="false">F136/R$3</f>
        <v>0</v>
      </c>
      <c r="S136" s="114" t="n">
        <f aca="false">J136/$R$3</f>
        <v>-9.406</v>
      </c>
      <c r="T136" s="114" t="n">
        <f aca="false">L136/$R$3</f>
        <v>-0</v>
      </c>
      <c r="U136" s="114" t="n">
        <f aca="false">I136/$R$3</f>
        <v>40.353</v>
      </c>
      <c r="V136" s="114" t="n">
        <f aca="false">M136/$R$3</f>
        <v>41.32</v>
      </c>
      <c r="W136" s="114" t="n">
        <f aca="false">N136/$R$3</f>
        <v>525.506665417803</v>
      </c>
    </row>
    <row r="137" customFormat="false" ht="12.75" hidden="true" customHeight="false" outlineLevel="0" collapsed="false">
      <c r="A137" s="108" t="n">
        <f aca="false">A136+1</f>
        <v>37023</v>
      </c>
      <c r="B137" s="119" t="str">
        <f aca="false">INDEX('Master Data'!$A$2:$B$8,MATCH(WEEKDAY('EZE Power Trading'!A137,3),'Master Data'!$A$2:$A$8,0),2)</f>
        <v>Sa</v>
      </c>
      <c r="D137" s="112" t="n">
        <v>0</v>
      </c>
      <c r="E137" s="112" t="n">
        <v>0</v>
      </c>
      <c r="F137" s="112" t="n">
        <v>0</v>
      </c>
      <c r="G137" s="112" t="n">
        <v>0</v>
      </c>
      <c r="I137" s="112" t="n">
        <f aca="false">IF(MONTH($A137)=MONTH($A136),IF(G137=0,I136,G137),G137)</f>
        <v>40353</v>
      </c>
      <c r="J137" s="112" t="n">
        <f aca="false">IF(MONTH($A137)=MONTH($A136),SUM(I137-I136),I137)</f>
        <v>0</v>
      </c>
      <c r="K137" s="112" t="n">
        <f aca="false">IF(WEEKDAY(A137,3)&gt;4,0,(IF(A137&lt;K$2,0,IF(A137&lt;=K$3,1,0))))</f>
        <v>0</v>
      </c>
      <c r="L137" s="112" t="n">
        <f aca="false">J137*K137</f>
        <v>0</v>
      </c>
      <c r="M137" s="112" t="n">
        <f aca="false">SUM(J$97:J137)</f>
        <v>41320</v>
      </c>
      <c r="N137" s="112" t="n">
        <f aca="false">SUM(J$6:J137)</f>
        <v>525506.665417804</v>
      </c>
      <c r="P137" s="112" t="n">
        <f aca="false">D137/P$3</f>
        <v>0</v>
      </c>
      <c r="Q137" s="112" t="n">
        <f aca="false">E137/P$3</f>
        <v>0</v>
      </c>
      <c r="R137" s="112" t="n">
        <f aca="false">F137/R$3</f>
        <v>0</v>
      </c>
      <c r="S137" s="114" t="n">
        <f aca="false">J137/$R$3</f>
        <v>0</v>
      </c>
      <c r="T137" s="114" t="n">
        <f aca="false">L137/$R$3</f>
        <v>0</v>
      </c>
      <c r="U137" s="114" t="n">
        <f aca="false">I137/$R$3</f>
        <v>40.353</v>
      </c>
      <c r="V137" s="114" t="n">
        <f aca="false">M137/$R$3</f>
        <v>41.32</v>
      </c>
      <c r="W137" s="114" t="n">
        <f aca="false">N137/$R$3</f>
        <v>525.506665417803</v>
      </c>
    </row>
    <row r="138" customFormat="false" ht="12.75" hidden="true" customHeight="false" outlineLevel="0" collapsed="false">
      <c r="A138" s="108" t="n">
        <f aca="false">A137+1</f>
        <v>37024</v>
      </c>
      <c r="B138" s="119" t="str">
        <f aca="false">INDEX('Master Data'!$A$2:$B$8,MATCH(WEEKDAY('EZE Power Trading'!A138,3),'Master Data'!$A$2:$A$8,0),2)</f>
        <v>Su</v>
      </c>
      <c r="D138" s="112" t="n">
        <v>0</v>
      </c>
      <c r="E138" s="112" t="n">
        <v>0</v>
      </c>
      <c r="F138" s="112" t="n">
        <v>0</v>
      </c>
      <c r="G138" s="112" t="n">
        <v>0</v>
      </c>
      <c r="I138" s="112" t="n">
        <f aca="false">IF(MONTH($A138)=MONTH($A137),IF(G138=0,I137,G138),G138)</f>
        <v>40353</v>
      </c>
      <c r="J138" s="112" t="n">
        <f aca="false">IF(MONTH($A138)=MONTH($A137),SUM(I138-I137),I138)</f>
        <v>0</v>
      </c>
      <c r="K138" s="112" t="n">
        <f aca="false">IF(WEEKDAY(A138,3)&gt;4,0,(IF(A138&lt;K$2,0,IF(A138&lt;=K$3,1,0))))</f>
        <v>0</v>
      </c>
      <c r="L138" s="112" t="n">
        <f aca="false">J138*K138</f>
        <v>0</v>
      </c>
      <c r="M138" s="112" t="n">
        <f aca="false">SUM(J$97:J138)</f>
        <v>41320</v>
      </c>
      <c r="N138" s="112" t="n">
        <f aca="false">SUM(J$6:J138)</f>
        <v>525506.665417804</v>
      </c>
      <c r="P138" s="112" t="n">
        <f aca="false">D138/P$3</f>
        <v>0</v>
      </c>
      <c r="Q138" s="112" t="n">
        <f aca="false">E138/P$3</f>
        <v>0</v>
      </c>
      <c r="R138" s="112" t="n">
        <f aca="false">F138/R$3</f>
        <v>0</v>
      </c>
      <c r="S138" s="114" t="n">
        <f aca="false">J138/$R$3</f>
        <v>0</v>
      </c>
      <c r="T138" s="114" t="n">
        <f aca="false">L138/$R$3</f>
        <v>0</v>
      </c>
      <c r="U138" s="114" t="n">
        <f aca="false">I138/$R$3</f>
        <v>40.353</v>
      </c>
      <c r="V138" s="114" t="n">
        <f aca="false">M138/$R$3</f>
        <v>41.32</v>
      </c>
      <c r="W138" s="114" t="n">
        <f aca="false">N138/$R$3</f>
        <v>525.506665417803</v>
      </c>
    </row>
    <row r="139" customFormat="false" ht="12.75" hidden="true" customHeight="false" outlineLevel="0" collapsed="false">
      <c r="A139" s="108" t="n">
        <f aca="false">A138+1</f>
        <v>37025</v>
      </c>
      <c r="B139" s="119" t="str">
        <f aca="false">INDEX('Master Data'!$A$2:$B$8,MATCH(WEEKDAY('EZE Power Trading'!A139,3),'Master Data'!$A$2:$A$8,0),2)</f>
        <v>M</v>
      </c>
      <c r="D139" s="112" t="n">
        <v>-481801</v>
      </c>
      <c r="E139" s="112" t="n">
        <v>489161</v>
      </c>
      <c r="F139" s="112" t="n">
        <v>0</v>
      </c>
      <c r="G139" s="112" t="n">
        <v>31645</v>
      </c>
      <c r="I139" s="112" t="n">
        <f aca="false">IF(MONTH($A139)=MONTH($A138),IF(G139=0,I138,G139),G139)</f>
        <v>31645</v>
      </c>
      <c r="J139" s="112" t="n">
        <f aca="false">IF(MONTH($A139)=MONTH($A138),SUM(I139-I138),I139)</f>
        <v>-8708</v>
      </c>
      <c r="K139" s="112" t="n">
        <f aca="false">IF(WEEKDAY(A139,3)&gt;4,0,(IF(A139&lt;K$2,0,IF(A139&lt;=K$3,1,0))))</f>
        <v>0</v>
      </c>
      <c r="L139" s="112" t="n">
        <f aca="false">J139*K139</f>
        <v>-0</v>
      </c>
      <c r="M139" s="112" t="n">
        <f aca="false">SUM(J$97:J139)</f>
        <v>32612</v>
      </c>
      <c r="N139" s="112" t="n">
        <f aca="false">SUM(J$6:J139)</f>
        <v>516798.665417803</v>
      </c>
      <c r="P139" s="112" t="n">
        <f aca="false">D139/P$3</f>
        <v>-0.481801</v>
      </c>
      <c r="Q139" s="112" t="n">
        <f aca="false">E139/P$3</f>
        <v>0.489161</v>
      </c>
      <c r="R139" s="112" t="n">
        <f aca="false">F139/R$3</f>
        <v>0</v>
      </c>
      <c r="S139" s="114" t="n">
        <f aca="false">J139/$R$3</f>
        <v>-8.708</v>
      </c>
      <c r="T139" s="114" t="n">
        <f aca="false">L139/$R$3</f>
        <v>-0</v>
      </c>
      <c r="U139" s="114" t="n">
        <f aca="false">I139/$R$3</f>
        <v>31.645</v>
      </c>
      <c r="V139" s="114" t="n">
        <f aca="false">M139/$R$3</f>
        <v>32.612</v>
      </c>
      <c r="W139" s="114" t="n">
        <f aca="false">N139/$R$3</f>
        <v>516.798665417804</v>
      </c>
    </row>
    <row r="140" customFormat="false" ht="12.75" hidden="true" customHeight="false" outlineLevel="0" collapsed="false">
      <c r="A140" s="108" t="n">
        <f aca="false">A139+1</f>
        <v>37026</v>
      </c>
      <c r="B140" s="119" t="str">
        <f aca="false">INDEX('Master Data'!$A$2:$B$8,MATCH(WEEKDAY('EZE Power Trading'!A140,3),'Master Data'!$A$2:$A$8,0),2)</f>
        <v>T</v>
      </c>
      <c r="D140" s="112" t="n">
        <v>-480631</v>
      </c>
      <c r="E140" s="112" t="n">
        <v>487972</v>
      </c>
      <c r="F140" s="112" t="n">
        <v>0</v>
      </c>
      <c r="G140" s="112" t="n">
        <v>6678</v>
      </c>
      <c r="I140" s="112" t="n">
        <f aca="false">IF(MONTH($A140)=MONTH($A139),IF(G140=0,I139,G140),G140)</f>
        <v>6678</v>
      </c>
      <c r="J140" s="112" t="n">
        <f aca="false">IF(MONTH($A140)=MONTH($A139),SUM(I140-I139),I140)</f>
        <v>-24967</v>
      </c>
      <c r="K140" s="112" t="n">
        <f aca="false">IF(WEEKDAY(A140,3)&gt;4,0,(IF(A140&lt;K$2,0,IF(A140&lt;=K$3,1,0))))</f>
        <v>0</v>
      </c>
      <c r="L140" s="112" t="n">
        <f aca="false">J140*K140</f>
        <v>-0</v>
      </c>
      <c r="M140" s="112" t="n">
        <f aca="false">SUM(J$97:J140)</f>
        <v>7645</v>
      </c>
      <c r="N140" s="112" t="n">
        <f aca="false">SUM(J$6:J140)</f>
        <v>491831.665417803</v>
      </c>
      <c r="P140" s="112" t="n">
        <f aca="false">D140/P$3</f>
        <v>-0.480631</v>
      </c>
      <c r="Q140" s="112" t="n">
        <f aca="false">E140/P$3</f>
        <v>0.487972</v>
      </c>
      <c r="R140" s="112" t="n">
        <f aca="false">F140/R$3</f>
        <v>0</v>
      </c>
      <c r="S140" s="114" t="n">
        <f aca="false">J140/$R$3</f>
        <v>-24.967</v>
      </c>
      <c r="T140" s="114" t="n">
        <f aca="false">L140/$R$3</f>
        <v>-0</v>
      </c>
      <c r="U140" s="114" t="n">
        <f aca="false">I140/$R$3</f>
        <v>6.678</v>
      </c>
      <c r="V140" s="114" t="n">
        <f aca="false">M140/$R$3</f>
        <v>7.645</v>
      </c>
      <c r="W140" s="114" t="n">
        <f aca="false">N140/$R$3</f>
        <v>491.831665417803</v>
      </c>
    </row>
    <row r="141" customFormat="false" ht="12.75" hidden="true" customHeight="false" outlineLevel="0" collapsed="false">
      <c r="A141" s="108" t="n">
        <f aca="false">A140+1</f>
        <v>37027</v>
      </c>
      <c r="B141" s="119" t="str">
        <f aca="false">INDEX('Master Data'!$A$2:$B$8,MATCH(WEEKDAY('EZE Power Trading'!A141,3),'Master Data'!$A$2:$A$8,0),2)</f>
        <v>W</v>
      </c>
      <c r="D141" s="112" t="n">
        <v>-479482</v>
      </c>
      <c r="E141" s="112" t="n">
        <v>1325411</v>
      </c>
      <c r="F141" s="112" t="n">
        <v>0</v>
      </c>
      <c r="G141" s="112" t="n">
        <v>-12510</v>
      </c>
      <c r="I141" s="112" t="n">
        <f aca="false">IF(MONTH($A141)=MONTH($A140),IF(G141=0,I140,G141),G141)</f>
        <v>-12510</v>
      </c>
      <c r="J141" s="112" t="n">
        <f aca="false">IF(MONTH($A141)=MONTH($A140),SUM(I141-I140),I141)</f>
        <v>-19188</v>
      </c>
      <c r="K141" s="112" t="n">
        <f aca="false">IF(WEEKDAY(A141,3)&gt;4,0,(IF(A141&lt;K$2,0,IF(A141&lt;=K$3,1,0))))</f>
        <v>0</v>
      </c>
      <c r="L141" s="112" t="n">
        <f aca="false">J141*K141</f>
        <v>-0</v>
      </c>
      <c r="M141" s="112" t="n">
        <f aca="false">SUM(J$97:J141)</f>
        <v>-11543</v>
      </c>
      <c r="N141" s="112" t="n">
        <f aca="false">SUM(J$6:J141)</f>
        <v>472643.665417803</v>
      </c>
      <c r="P141" s="112" t="n">
        <f aca="false">D141/P$3</f>
        <v>-0.479482</v>
      </c>
      <c r="Q141" s="112" t="n">
        <f aca="false">E141/P$3</f>
        <v>1.325411</v>
      </c>
      <c r="R141" s="112" t="n">
        <f aca="false">F141/R$3</f>
        <v>0</v>
      </c>
      <c r="S141" s="114" t="n">
        <f aca="false">J141/$R$3</f>
        <v>-19.188</v>
      </c>
      <c r="T141" s="114" t="n">
        <f aca="false">L141/$R$3</f>
        <v>-0</v>
      </c>
      <c r="U141" s="114" t="n">
        <f aca="false">I141/$R$3</f>
        <v>-12.51</v>
      </c>
      <c r="V141" s="114" t="n">
        <f aca="false">M141/$R$3</f>
        <v>-11.543</v>
      </c>
      <c r="W141" s="114" t="n">
        <f aca="false">N141/$R$3</f>
        <v>472.643665417803</v>
      </c>
    </row>
    <row r="142" customFormat="false" ht="12.75" hidden="true" customHeight="false" outlineLevel="0" collapsed="false">
      <c r="A142" s="108" t="n">
        <f aca="false">A141+1</f>
        <v>37028</v>
      </c>
      <c r="B142" s="119" t="str">
        <f aca="false">INDEX('Master Data'!$A$2:$B$8,MATCH(WEEKDAY('EZE Power Trading'!A142,3),'Master Data'!$A$2:$A$8,0),2)</f>
        <v>Th</v>
      </c>
      <c r="D142" s="112" t="n">
        <v>-325293</v>
      </c>
      <c r="E142" s="112" t="n">
        <v>1478380.0119661</v>
      </c>
      <c r="F142" s="112" t="n">
        <v>0</v>
      </c>
      <c r="G142" s="112" t="n">
        <v>-258988</v>
      </c>
      <c r="I142" s="112" t="n">
        <f aca="false">IF(MONTH($A142)=MONTH($A141),IF(G142=0,I141,G142),G142)</f>
        <v>-258988</v>
      </c>
      <c r="J142" s="112" t="n">
        <f aca="false">IF(MONTH($A142)=MONTH($A141),SUM(I142-I141),I142)</f>
        <v>-246478</v>
      </c>
      <c r="K142" s="112" t="n">
        <f aca="false">IF(WEEKDAY(A142,3)&gt;4,0,(IF(A142&lt;K$2,0,IF(A142&lt;=K$3,1,0))))</f>
        <v>0</v>
      </c>
      <c r="L142" s="112" t="n">
        <f aca="false">J142*K142</f>
        <v>-0</v>
      </c>
      <c r="M142" s="112" t="n">
        <f aca="false">SUM(J$97:J142)</f>
        <v>-258021</v>
      </c>
      <c r="N142" s="112" t="n">
        <f aca="false">SUM(J$6:J142)</f>
        <v>226165.665417803</v>
      </c>
      <c r="P142" s="112" t="n">
        <f aca="false">D142/P$3</f>
        <v>-0.325293</v>
      </c>
      <c r="Q142" s="112" t="n">
        <f aca="false">E142/P$3</f>
        <v>1.4783800119661</v>
      </c>
      <c r="R142" s="112" t="n">
        <f aca="false">F142/R$3</f>
        <v>0</v>
      </c>
      <c r="S142" s="114" t="n">
        <f aca="false">J142/$R$3</f>
        <v>-246.478</v>
      </c>
      <c r="T142" s="114" t="n">
        <f aca="false">L142/$R$3</f>
        <v>-0</v>
      </c>
      <c r="U142" s="114" t="n">
        <f aca="false">I142/$R$3</f>
        <v>-258.988</v>
      </c>
      <c r="V142" s="114" t="n">
        <f aca="false">M142/$R$3</f>
        <v>-258.021</v>
      </c>
      <c r="W142" s="114" t="n">
        <f aca="false">N142/$R$3</f>
        <v>226.165665417803</v>
      </c>
    </row>
    <row r="143" customFormat="false" ht="12.75" hidden="true" customHeight="false" outlineLevel="0" collapsed="false">
      <c r="A143" s="108" t="n">
        <f aca="false">A142+1</f>
        <v>37029</v>
      </c>
      <c r="B143" s="119" t="str">
        <f aca="false">INDEX('Master Data'!$A$2:$B$8,MATCH(WEEKDAY('EZE Power Trading'!A143,3),'Master Data'!$A$2:$A$8,0),2)</f>
        <v>F</v>
      </c>
      <c r="D143" s="112" t="n">
        <v>-324325</v>
      </c>
      <c r="E143" s="112" t="n">
        <v>1476872.2505077</v>
      </c>
      <c r="F143" s="112" t="n">
        <v>0</v>
      </c>
      <c r="G143" s="112" t="n">
        <v>-271145</v>
      </c>
      <c r="I143" s="112" t="n">
        <f aca="false">IF(MONTH($A143)=MONTH($A142),IF(G143=0,I142,G143),G143)</f>
        <v>-271145</v>
      </c>
      <c r="J143" s="112" t="n">
        <f aca="false">IF(MONTH($A143)=MONTH($A142),SUM(I143-I142),I143)</f>
        <v>-12157</v>
      </c>
      <c r="K143" s="112" t="n">
        <f aca="false">IF(WEEKDAY(A143,3)&gt;4,0,(IF(A143&lt;K$2,0,IF(A143&lt;=K$3,1,0))))</f>
        <v>0</v>
      </c>
      <c r="L143" s="112" t="n">
        <f aca="false">J143*K143</f>
        <v>-0</v>
      </c>
      <c r="M143" s="112" t="n">
        <f aca="false">SUM(J$97:J143)</f>
        <v>-270178</v>
      </c>
      <c r="N143" s="112" t="n">
        <f aca="false">SUM(J$6:J143)</f>
        <v>214008.665417803</v>
      </c>
      <c r="P143" s="112" t="n">
        <f aca="false">D143/P$3</f>
        <v>-0.324325</v>
      </c>
      <c r="Q143" s="112" t="n">
        <f aca="false">E143/P$3</f>
        <v>1.4768722505077</v>
      </c>
      <c r="R143" s="112" t="n">
        <f aca="false">F143/R$3</f>
        <v>0</v>
      </c>
      <c r="S143" s="114" t="n">
        <f aca="false">J143/$R$3</f>
        <v>-12.157</v>
      </c>
      <c r="T143" s="114" t="n">
        <f aca="false">L143/$R$3</f>
        <v>-0</v>
      </c>
      <c r="U143" s="114" t="n">
        <f aca="false">I143/$R$3</f>
        <v>-271.145</v>
      </c>
      <c r="V143" s="114" t="n">
        <f aca="false">M143/$R$3</f>
        <v>-270.178</v>
      </c>
      <c r="W143" s="114" t="n">
        <f aca="false">N143/$R$3</f>
        <v>214.008665417803</v>
      </c>
    </row>
    <row r="144" customFormat="false" ht="12.75" hidden="true" customHeight="false" outlineLevel="0" collapsed="false">
      <c r="A144" s="108" t="n">
        <f aca="false">A143+1</f>
        <v>37030</v>
      </c>
      <c r="B144" s="119" t="str">
        <f aca="false">INDEX('Master Data'!$A$2:$B$8,MATCH(WEEKDAY('EZE Power Trading'!A144,3),'Master Data'!$A$2:$A$8,0),2)</f>
        <v>Sa</v>
      </c>
      <c r="D144" s="112" t="n">
        <v>0</v>
      </c>
      <c r="E144" s="112" t="n">
        <v>0</v>
      </c>
      <c r="F144" s="112" t="n">
        <v>0</v>
      </c>
      <c r="G144" s="112" t="n">
        <v>0</v>
      </c>
      <c r="I144" s="112" t="n">
        <f aca="false">IF(MONTH($A144)=MONTH($A143),IF(G144=0,I143,G144),G144)</f>
        <v>-271145</v>
      </c>
      <c r="J144" s="112" t="n">
        <f aca="false">IF(MONTH($A144)=MONTH($A143),SUM(I144-I143),I144)</f>
        <v>0</v>
      </c>
      <c r="K144" s="112" t="n">
        <f aca="false">IF(WEEKDAY(A144,3)&gt;4,0,(IF(A144&lt;K$2,0,IF(A144&lt;=K$3,1,0))))</f>
        <v>0</v>
      </c>
      <c r="L144" s="112" t="n">
        <f aca="false">J144*K144</f>
        <v>0</v>
      </c>
      <c r="M144" s="112" t="n">
        <f aca="false">SUM(J$97:J144)</f>
        <v>-270178</v>
      </c>
      <c r="N144" s="112" t="n">
        <f aca="false">SUM(J$6:J144)</f>
        <v>214008.665417803</v>
      </c>
      <c r="P144" s="112" t="n">
        <f aca="false">D144/P$3</f>
        <v>0</v>
      </c>
      <c r="Q144" s="112" t="n">
        <f aca="false">E144/P$3</f>
        <v>0</v>
      </c>
      <c r="R144" s="112" t="n">
        <f aca="false">F144/R$3</f>
        <v>0</v>
      </c>
      <c r="S144" s="114" t="n">
        <f aca="false">J144/$R$3</f>
        <v>0</v>
      </c>
      <c r="T144" s="114" t="n">
        <f aca="false">L144/$R$3</f>
        <v>0</v>
      </c>
      <c r="U144" s="114" t="n">
        <f aca="false">I144/$R$3</f>
        <v>-271.145</v>
      </c>
      <c r="V144" s="114" t="n">
        <f aca="false">M144/$R$3</f>
        <v>-270.178</v>
      </c>
      <c r="W144" s="114" t="n">
        <f aca="false">N144/$R$3</f>
        <v>214.008665417803</v>
      </c>
    </row>
    <row r="145" customFormat="false" ht="12.75" hidden="true" customHeight="false" outlineLevel="0" collapsed="false">
      <c r="A145" s="108" t="n">
        <f aca="false">A144+1</f>
        <v>37031</v>
      </c>
      <c r="B145" s="119" t="str">
        <f aca="false">INDEX('Master Data'!$A$2:$B$8,MATCH(WEEKDAY('EZE Power Trading'!A145,3),'Master Data'!$A$2:$A$8,0),2)</f>
        <v>Su</v>
      </c>
      <c r="D145" s="112" t="n">
        <v>0</v>
      </c>
      <c r="E145" s="112" t="n">
        <v>0</v>
      </c>
      <c r="F145" s="112" t="n">
        <v>0</v>
      </c>
      <c r="G145" s="112" t="n">
        <v>0</v>
      </c>
      <c r="I145" s="112" t="n">
        <f aca="false">IF(MONTH($A145)=MONTH($A144),IF(G145=0,I144,G145),G145)</f>
        <v>-271145</v>
      </c>
      <c r="J145" s="112" t="n">
        <f aca="false">IF(MONTH($A145)=MONTH($A144),SUM(I145-I144),I145)</f>
        <v>0</v>
      </c>
      <c r="K145" s="112" t="n">
        <f aca="false">IF(WEEKDAY(A145,3)&gt;4,0,(IF(A145&lt;K$2,0,IF(A145&lt;=K$3,1,0))))</f>
        <v>0</v>
      </c>
      <c r="L145" s="112" t="n">
        <f aca="false">J145*K145</f>
        <v>0</v>
      </c>
      <c r="M145" s="112" t="n">
        <f aca="false">SUM(J$97:J145)</f>
        <v>-270178</v>
      </c>
      <c r="N145" s="112" t="n">
        <f aca="false">SUM(J$6:J145)</f>
        <v>214008.665417803</v>
      </c>
      <c r="P145" s="112" t="n">
        <f aca="false">D145/P$3</f>
        <v>0</v>
      </c>
      <c r="Q145" s="112" t="n">
        <f aca="false">E145/P$3</f>
        <v>0</v>
      </c>
      <c r="R145" s="112" t="n">
        <f aca="false">F145/R$3</f>
        <v>0</v>
      </c>
      <c r="S145" s="114" t="n">
        <f aca="false">J145/$R$3</f>
        <v>0</v>
      </c>
      <c r="T145" s="114" t="n">
        <f aca="false">L145/$R$3</f>
        <v>0</v>
      </c>
      <c r="U145" s="114" t="n">
        <f aca="false">I145/$R$3</f>
        <v>-271.145</v>
      </c>
      <c r="V145" s="114" t="n">
        <f aca="false">M145/$R$3</f>
        <v>-270.178</v>
      </c>
      <c r="W145" s="114" t="n">
        <f aca="false">N145/$R$3</f>
        <v>214.008665417803</v>
      </c>
    </row>
    <row r="146" customFormat="false" ht="12.75" hidden="true" customHeight="false" outlineLevel="0" collapsed="false">
      <c r="A146" s="108" t="n">
        <f aca="false">A145+1</f>
        <v>37032</v>
      </c>
      <c r="B146" s="119" t="str">
        <f aca="false">INDEX('Master Data'!$A$2:$B$8,MATCH(WEEKDAY('EZE Power Trading'!A146,3),'Master Data'!$A$2:$A$8,0),2)</f>
        <v>M</v>
      </c>
      <c r="D146" s="112" t="n">
        <v>-321953</v>
      </c>
      <c r="E146" s="112" t="n">
        <v>1478704.58581826</v>
      </c>
      <c r="F146" s="112" t="n">
        <v>0</v>
      </c>
      <c r="G146" s="112" t="n">
        <v>-283411</v>
      </c>
      <c r="I146" s="112" t="n">
        <f aca="false">IF(MONTH($A146)=MONTH($A145),IF(G146=0,I145,G146),G146)</f>
        <v>-283411</v>
      </c>
      <c r="J146" s="112" t="n">
        <f aca="false">IF(MONTH($A146)=MONTH($A145),SUM(I146-I145),I146)</f>
        <v>-12266</v>
      </c>
      <c r="K146" s="112" t="n">
        <f aca="false">IF(WEEKDAY(A146,3)&gt;4,0,(IF(A146&lt;K$2,0,IF(A146&lt;=K$3,1,0))))</f>
        <v>0</v>
      </c>
      <c r="L146" s="112" t="n">
        <f aca="false">J146*K146</f>
        <v>-0</v>
      </c>
      <c r="M146" s="112" t="n">
        <f aca="false">SUM(J$97:J146)</f>
        <v>-282444</v>
      </c>
      <c r="N146" s="112" t="n">
        <f aca="false">SUM(J$6:J146)</f>
        <v>201742.665417803</v>
      </c>
      <c r="P146" s="112" t="n">
        <f aca="false">D146/P$3</f>
        <v>-0.321953</v>
      </c>
      <c r="Q146" s="112" t="n">
        <f aca="false">E146/P$3</f>
        <v>1.47870458581826</v>
      </c>
      <c r="R146" s="112" t="n">
        <f aca="false">F146/R$3</f>
        <v>0</v>
      </c>
      <c r="S146" s="114" t="n">
        <f aca="false">J146/$R$3</f>
        <v>-12.266</v>
      </c>
      <c r="T146" s="114" t="n">
        <f aca="false">L146/$R$3</f>
        <v>-0</v>
      </c>
      <c r="U146" s="114" t="n">
        <f aca="false">I146/$R$3</f>
        <v>-283.411</v>
      </c>
      <c r="V146" s="114" t="n">
        <f aca="false">M146/$R$3</f>
        <v>-282.444</v>
      </c>
      <c r="W146" s="114" t="n">
        <f aca="false">N146/$R$3</f>
        <v>201.742665417804</v>
      </c>
    </row>
    <row r="147" customFormat="false" ht="12.75" hidden="true" customHeight="false" outlineLevel="0" collapsed="false">
      <c r="A147" s="108" t="n">
        <f aca="false">A146+1</f>
        <v>37033</v>
      </c>
      <c r="B147" s="119" t="str">
        <f aca="false">INDEX('Master Data'!$A$2:$B$8,MATCH(WEEKDAY('EZE Power Trading'!A147,3),'Master Data'!$A$2:$A$8,0),2)</f>
        <v>T</v>
      </c>
      <c r="D147" s="112" t="n">
        <v>-321142.51</v>
      </c>
      <c r="E147" s="112" t="n">
        <v>1479290.28696374</v>
      </c>
      <c r="F147" s="112" t="n">
        <v>0</v>
      </c>
      <c r="G147" s="112" t="n">
        <v>-295871</v>
      </c>
      <c r="I147" s="112" t="n">
        <f aca="false">IF(MONTH($A147)=MONTH($A146),IF(G147=0,I146,G147),G147)</f>
        <v>-295871</v>
      </c>
      <c r="J147" s="112" t="n">
        <f aca="false">IF(MONTH($A147)=MONTH($A146),SUM(I147-I146),I147)</f>
        <v>-12460</v>
      </c>
      <c r="K147" s="112" t="n">
        <f aca="false">IF(WEEKDAY(A147,3)&gt;4,0,(IF(A147&lt;K$2,0,IF(A147&lt;=K$3,1,0))))</f>
        <v>0</v>
      </c>
      <c r="L147" s="112" t="n">
        <f aca="false">J147*K147</f>
        <v>-0</v>
      </c>
      <c r="M147" s="112" t="n">
        <f aca="false">SUM(J$97:J147)</f>
        <v>-294904</v>
      </c>
      <c r="N147" s="112" t="n">
        <f aca="false">SUM(J$6:J147)</f>
        <v>189282.665417803</v>
      </c>
      <c r="P147" s="112" t="n">
        <f aca="false">D147/P$3</f>
        <v>-0.32114251</v>
      </c>
      <c r="Q147" s="112" t="n">
        <f aca="false">E147/P$3</f>
        <v>1.47929028696374</v>
      </c>
      <c r="R147" s="112" t="n">
        <f aca="false">F147/R$3</f>
        <v>0</v>
      </c>
      <c r="S147" s="114" t="n">
        <f aca="false">J147/$R$3</f>
        <v>-12.46</v>
      </c>
      <c r="T147" s="114" t="n">
        <f aca="false">L147/$R$3</f>
        <v>-0</v>
      </c>
      <c r="U147" s="114" t="n">
        <f aca="false">I147/$R$3</f>
        <v>-295.871</v>
      </c>
      <c r="V147" s="114" t="n">
        <f aca="false">M147/$R$3</f>
        <v>-294.904</v>
      </c>
      <c r="W147" s="114" t="n">
        <f aca="false">N147/$R$3</f>
        <v>189.282665417803</v>
      </c>
    </row>
    <row r="148" customFormat="false" ht="12.75" hidden="true" customHeight="false" outlineLevel="0" collapsed="false">
      <c r="A148" s="108" t="n">
        <f aca="false">A147+1</f>
        <v>37034</v>
      </c>
      <c r="B148" s="119" t="str">
        <f aca="false">INDEX('Master Data'!$A$2:$B$8,MATCH(WEEKDAY('EZE Power Trading'!A148,3),'Master Data'!$A$2:$A$8,0),2)</f>
        <v>W</v>
      </c>
      <c r="D148" s="112" t="n">
        <v>-171050</v>
      </c>
      <c r="E148" s="112" t="n">
        <v>352177.56696502</v>
      </c>
      <c r="F148" s="112" t="n">
        <v>0</v>
      </c>
      <c r="G148" s="112" t="n">
        <f aca="false">-59694+24031</f>
        <v>-35663</v>
      </c>
      <c r="I148" s="112" t="n">
        <f aca="false">IF(MONTH($A148)=MONTH($A147),IF(G148=0,I147,G148),G148)</f>
        <v>-35663</v>
      </c>
      <c r="J148" s="112" t="n">
        <f aca="false">IF(MONTH($A148)=MONTH($A147),SUM(I148-I147),I148)</f>
        <v>260208</v>
      </c>
      <c r="K148" s="112" t="n">
        <f aca="false">IF(WEEKDAY(A148,3)&gt;4,0,(IF(A148&lt;K$2,0,IF(A148&lt;=K$3,1,0))))</f>
        <v>0</v>
      </c>
      <c r="L148" s="112" t="n">
        <f aca="false">J148*K148</f>
        <v>0</v>
      </c>
      <c r="M148" s="112" t="n">
        <f aca="false">SUM(J$97:J148)</f>
        <v>-34696</v>
      </c>
      <c r="N148" s="112" t="n">
        <f aca="false">SUM(J$6:J148)</f>
        <v>449490.665417803</v>
      </c>
      <c r="P148" s="112" t="n">
        <f aca="false">D148/P$3</f>
        <v>-0.17105</v>
      </c>
      <c r="Q148" s="112" t="n">
        <f aca="false">E148/P$3</f>
        <v>0.35217756696502</v>
      </c>
      <c r="R148" s="112" t="n">
        <f aca="false">F148/R$3</f>
        <v>0</v>
      </c>
      <c r="S148" s="114" t="n">
        <f aca="false">J148/$R$3</f>
        <v>260.208</v>
      </c>
      <c r="T148" s="114" t="n">
        <f aca="false">L148/$R$3</f>
        <v>0</v>
      </c>
      <c r="U148" s="114" t="n">
        <f aca="false">I148/$R$3</f>
        <v>-35.663</v>
      </c>
      <c r="V148" s="114" t="n">
        <f aca="false">M148/$R$3</f>
        <v>-34.696</v>
      </c>
      <c r="W148" s="114" t="n">
        <f aca="false">N148/$R$3</f>
        <v>449.490665417803</v>
      </c>
    </row>
    <row r="149" customFormat="false" ht="12.75" hidden="true" customHeight="false" outlineLevel="0" collapsed="false">
      <c r="A149" s="108" t="n">
        <f aca="false">A148+1</f>
        <v>37035</v>
      </c>
      <c r="B149" s="119" t="str">
        <f aca="false">INDEX('Master Data'!$A$2:$B$8,MATCH(WEEKDAY('EZE Power Trading'!A149,3),'Master Data'!$A$2:$A$8,0),2)</f>
        <v>Th</v>
      </c>
      <c r="D149" s="112" t="n">
        <v>-170941</v>
      </c>
      <c r="E149" s="112" t="n">
        <v>352177.56696502</v>
      </c>
      <c r="F149" s="112" t="n">
        <v>0</v>
      </c>
      <c r="G149" s="112" t="n">
        <f aca="false">-64472+31146</f>
        <v>-33326</v>
      </c>
      <c r="I149" s="112" t="n">
        <f aca="false">IF(MONTH($A149)=MONTH($A148),IF(G149=0,I148,G149),G149)</f>
        <v>-33326</v>
      </c>
      <c r="J149" s="112" t="n">
        <f aca="false">IF(MONTH($A149)=MONTH($A148),SUM(I149-I148),I149)</f>
        <v>2337</v>
      </c>
      <c r="K149" s="112" t="n">
        <f aca="false">IF(WEEKDAY(A149,3)&gt;4,0,(IF(A149&lt;K$2,0,IF(A149&lt;=K$3,1,0))))</f>
        <v>0</v>
      </c>
      <c r="L149" s="112" t="n">
        <f aca="false">J149*K149</f>
        <v>0</v>
      </c>
      <c r="M149" s="112" t="n">
        <f aca="false">SUM(J$97:J149)</f>
        <v>-32359</v>
      </c>
      <c r="N149" s="112" t="n">
        <f aca="false">SUM(J$6:J149)</f>
        <v>451827.665417803</v>
      </c>
      <c r="P149" s="112" t="n">
        <f aca="false">D149/P$3</f>
        <v>-0.170941</v>
      </c>
      <c r="Q149" s="112" t="n">
        <f aca="false">E149/P$3</f>
        <v>0.35217756696502</v>
      </c>
      <c r="R149" s="112" t="n">
        <f aca="false">F149/R$3</f>
        <v>0</v>
      </c>
      <c r="S149" s="114" t="n">
        <f aca="false">J149/$R$3</f>
        <v>2.337</v>
      </c>
      <c r="T149" s="114" t="n">
        <f aca="false">L149/$R$3</f>
        <v>0</v>
      </c>
      <c r="U149" s="114" t="n">
        <f aca="false">I149/$R$3</f>
        <v>-33.326</v>
      </c>
      <c r="V149" s="114" t="n">
        <f aca="false">M149/$R$3</f>
        <v>-32.359</v>
      </c>
      <c r="W149" s="114" t="n">
        <f aca="false">N149/$R$3</f>
        <v>451.827665417804</v>
      </c>
    </row>
    <row r="150" customFormat="false" ht="12.75" hidden="true" customHeight="false" outlineLevel="0" collapsed="false">
      <c r="A150" s="108" t="n">
        <f aca="false">A149+1</f>
        <v>37036</v>
      </c>
      <c r="B150" s="119" t="str">
        <f aca="false">INDEX('Master Data'!$A$2:$B$8,MATCH(WEEKDAY('EZE Power Trading'!A150,3),'Master Data'!$A$2:$A$8,0),2)</f>
        <v>F</v>
      </c>
      <c r="D150" s="112" t="n">
        <v>-170693</v>
      </c>
      <c r="E150" s="112" t="n">
        <v>352177.56696502</v>
      </c>
      <c r="F150" s="112" t="n">
        <v>0</v>
      </c>
      <c r="G150" s="112" t="n">
        <f aca="false">-63989+35805</f>
        <v>-28184</v>
      </c>
      <c r="I150" s="112" t="n">
        <f aca="false">IF(MONTH($A150)=MONTH($A149),IF(G150=0,I149,G150),G150)</f>
        <v>-28184</v>
      </c>
      <c r="J150" s="112" t="n">
        <f aca="false">IF(MONTH($A150)=MONTH($A149),SUM(I150-I149),I150)</f>
        <v>5142</v>
      </c>
      <c r="K150" s="112" t="n">
        <f aca="false">IF(WEEKDAY(A150,3)&gt;4,0,(IF(A150&lt;K$2,0,IF(A150&lt;=K$3,1,0))))</f>
        <v>0</v>
      </c>
      <c r="L150" s="112" t="n">
        <f aca="false">J150*K150</f>
        <v>0</v>
      </c>
      <c r="M150" s="112" t="n">
        <f aca="false">SUM(J$97:J150)</f>
        <v>-27217</v>
      </c>
      <c r="N150" s="112" t="n">
        <f aca="false">SUM(J$6:J150)</f>
        <v>456969.665417803</v>
      </c>
      <c r="P150" s="112" t="n">
        <f aca="false">D150/P$3</f>
        <v>-0.170693</v>
      </c>
      <c r="Q150" s="112" t="n">
        <f aca="false">E150/P$3</f>
        <v>0.35217756696502</v>
      </c>
      <c r="R150" s="112" t="n">
        <f aca="false">F150/R$3</f>
        <v>0</v>
      </c>
      <c r="S150" s="114" t="n">
        <f aca="false">J150/$R$3</f>
        <v>5.142</v>
      </c>
      <c r="T150" s="114" t="n">
        <f aca="false">L150/$R$3</f>
        <v>0</v>
      </c>
      <c r="U150" s="114" t="n">
        <f aca="false">I150/$R$3</f>
        <v>-28.184</v>
      </c>
      <c r="V150" s="114" t="n">
        <f aca="false">M150/$R$3</f>
        <v>-27.217</v>
      </c>
      <c r="W150" s="114" t="n">
        <f aca="false">N150/$R$3</f>
        <v>456.969665417803</v>
      </c>
    </row>
    <row r="151" customFormat="false" ht="12.75" hidden="true" customHeight="false" outlineLevel="0" collapsed="false">
      <c r="A151" s="108" t="n">
        <f aca="false">A150+1</f>
        <v>37037</v>
      </c>
      <c r="B151" s="119" t="str">
        <f aca="false">INDEX('Master Data'!$A$2:$B$8,MATCH(WEEKDAY('EZE Power Trading'!A151,3),'Master Data'!$A$2:$A$8,0),2)</f>
        <v>Sa</v>
      </c>
      <c r="D151" s="112" t="n">
        <v>0</v>
      </c>
      <c r="E151" s="112" t="n">
        <v>0</v>
      </c>
      <c r="F151" s="112" t="n">
        <v>0</v>
      </c>
      <c r="G151" s="112" t="n">
        <v>0</v>
      </c>
      <c r="I151" s="112" t="n">
        <f aca="false">IF(MONTH($A151)=MONTH($A150),IF(G151=0,I150,G151),G151)</f>
        <v>-28184</v>
      </c>
      <c r="J151" s="112" t="n">
        <f aca="false">IF(MONTH($A151)=MONTH($A150),SUM(I151-I150),I151)</f>
        <v>0</v>
      </c>
      <c r="K151" s="112" t="n">
        <f aca="false">IF(WEEKDAY(A151,3)&gt;4,0,(IF(A151&lt;K$2,0,IF(A151&lt;=K$3,1,0))))</f>
        <v>0</v>
      </c>
      <c r="L151" s="112" t="n">
        <f aca="false">J151*K151</f>
        <v>0</v>
      </c>
      <c r="M151" s="112" t="n">
        <f aca="false">SUM(J$97:J151)</f>
        <v>-27217</v>
      </c>
      <c r="N151" s="112" t="n">
        <f aca="false">SUM(J$6:J151)</f>
        <v>456969.665417803</v>
      </c>
      <c r="P151" s="112" t="n">
        <f aca="false">D151/P$3</f>
        <v>0</v>
      </c>
      <c r="Q151" s="112" t="n">
        <f aca="false">E151/P$3</f>
        <v>0</v>
      </c>
      <c r="R151" s="112" t="n">
        <f aca="false">F151/R$3</f>
        <v>0</v>
      </c>
      <c r="S151" s="114" t="n">
        <f aca="false">J151/$R$3</f>
        <v>0</v>
      </c>
      <c r="T151" s="114" t="n">
        <f aca="false">L151/$R$3</f>
        <v>0</v>
      </c>
      <c r="U151" s="114" t="n">
        <f aca="false">I151/$R$3</f>
        <v>-28.184</v>
      </c>
      <c r="V151" s="114" t="n">
        <f aca="false">M151/$R$3</f>
        <v>-27.217</v>
      </c>
      <c r="W151" s="114" t="n">
        <f aca="false">N151/$R$3</f>
        <v>456.969665417803</v>
      </c>
    </row>
    <row r="152" customFormat="false" ht="12.75" hidden="true" customHeight="false" outlineLevel="0" collapsed="false">
      <c r="A152" s="108" t="n">
        <f aca="false">A151+1</f>
        <v>37038</v>
      </c>
      <c r="B152" s="119" t="str">
        <f aca="false">INDEX('Master Data'!$A$2:$B$8,MATCH(WEEKDAY('EZE Power Trading'!A152,3),'Master Data'!$A$2:$A$8,0),2)</f>
        <v>Su</v>
      </c>
      <c r="D152" s="112" t="n">
        <v>0</v>
      </c>
      <c r="E152" s="112" t="n">
        <v>0</v>
      </c>
      <c r="F152" s="112" t="n">
        <v>0</v>
      </c>
      <c r="G152" s="112" t="n">
        <v>0</v>
      </c>
      <c r="I152" s="112" t="n">
        <f aca="false">IF(MONTH($A152)=MONTH($A151),IF(G152=0,I151,G152),G152)</f>
        <v>-28184</v>
      </c>
      <c r="J152" s="112" t="n">
        <f aca="false">IF(MONTH($A152)=MONTH($A151),SUM(I152-I151),I152)</f>
        <v>0</v>
      </c>
      <c r="K152" s="112" t="n">
        <f aca="false">IF(WEEKDAY(A152,3)&gt;4,0,(IF(A152&lt;K$2,0,IF(A152&lt;=K$3,1,0))))</f>
        <v>0</v>
      </c>
      <c r="L152" s="112" t="n">
        <f aca="false">J152*K152</f>
        <v>0</v>
      </c>
      <c r="M152" s="112" t="n">
        <f aca="false">SUM(J$97:J152)</f>
        <v>-27217</v>
      </c>
      <c r="N152" s="112" t="n">
        <f aca="false">SUM(J$6:J152)</f>
        <v>456969.665417803</v>
      </c>
      <c r="P152" s="112" t="n">
        <f aca="false">D152/P$3</f>
        <v>0</v>
      </c>
      <c r="Q152" s="112" t="n">
        <f aca="false">E152/P$3</f>
        <v>0</v>
      </c>
      <c r="R152" s="112" t="n">
        <f aca="false">F152/R$3</f>
        <v>0</v>
      </c>
      <c r="S152" s="114" t="n">
        <f aca="false">J152/$R$3</f>
        <v>0</v>
      </c>
      <c r="T152" s="114" t="n">
        <f aca="false">L152/$R$3</f>
        <v>0</v>
      </c>
      <c r="U152" s="114" t="n">
        <f aca="false">I152/$R$3</f>
        <v>-28.184</v>
      </c>
      <c r="V152" s="114" t="n">
        <f aca="false">M152/$R$3</f>
        <v>-27.217</v>
      </c>
      <c r="W152" s="114" t="n">
        <f aca="false">N152/$R$3</f>
        <v>456.969665417803</v>
      </c>
    </row>
    <row r="153" customFormat="false" ht="12.75" hidden="true" customHeight="false" outlineLevel="0" collapsed="false">
      <c r="A153" s="108" t="n">
        <f aca="false">A152+1</f>
        <v>37039</v>
      </c>
      <c r="B153" s="119" t="str">
        <f aca="false">INDEX('Master Data'!$A$2:$B$8,MATCH(WEEKDAY('EZE Power Trading'!A153,3),'Master Data'!$A$2:$A$8,0),2)</f>
        <v>M</v>
      </c>
      <c r="D153" s="112" t="n">
        <v>0</v>
      </c>
      <c r="E153" s="112" t="n">
        <v>0</v>
      </c>
      <c r="F153" s="112" t="n">
        <v>0</v>
      </c>
      <c r="G153" s="112" t="n">
        <v>0</v>
      </c>
      <c r="I153" s="112" t="n">
        <f aca="false">IF(MONTH($A153)=MONTH($A152),IF(G153=0,I152,G153),G153)</f>
        <v>-28184</v>
      </c>
      <c r="J153" s="112" t="n">
        <f aca="false">IF(MONTH($A153)=MONTH($A152),SUM(I153-I152),I153)</f>
        <v>0</v>
      </c>
      <c r="K153" s="112" t="n">
        <f aca="false">IF(WEEKDAY(A153,3)&gt;4,0,(IF(A153&lt;K$2,0,IF(A153&lt;=K$3,1,0))))</f>
        <v>0</v>
      </c>
      <c r="L153" s="112" t="n">
        <f aca="false">J153*K153</f>
        <v>0</v>
      </c>
      <c r="M153" s="112" t="n">
        <f aca="false">SUM(J$97:J153)</f>
        <v>-27217</v>
      </c>
      <c r="N153" s="112" t="n">
        <f aca="false">SUM(J$6:J153)</f>
        <v>456969.665417803</v>
      </c>
      <c r="P153" s="112" t="n">
        <f aca="false">D153/P$3</f>
        <v>0</v>
      </c>
      <c r="Q153" s="112" t="n">
        <f aca="false">E153/P$3</f>
        <v>0</v>
      </c>
      <c r="R153" s="112" t="n">
        <f aca="false">F153/R$3</f>
        <v>0</v>
      </c>
      <c r="S153" s="114" t="n">
        <f aca="false">J153/$R$3</f>
        <v>0</v>
      </c>
      <c r="T153" s="114" t="n">
        <f aca="false">L153/$R$3</f>
        <v>0</v>
      </c>
      <c r="U153" s="114" t="n">
        <f aca="false">I153/$R$3</f>
        <v>-28.184</v>
      </c>
      <c r="V153" s="114" t="n">
        <f aca="false">M153/$R$3</f>
        <v>-27.217</v>
      </c>
      <c r="W153" s="114" t="n">
        <f aca="false">N153/$R$3</f>
        <v>456.969665417803</v>
      </c>
    </row>
    <row r="154" customFormat="false" ht="12.75" hidden="true" customHeight="false" outlineLevel="0" collapsed="false">
      <c r="A154" s="108" t="n">
        <f aca="false">A153+1</f>
        <v>37040</v>
      </c>
      <c r="B154" s="119" t="str">
        <f aca="false">INDEX('Master Data'!$A$2:$B$8,MATCH(WEEKDAY('EZE Power Trading'!A154,3),'Master Data'!$A$2:$A$8,0),2)</f>
        <v>T</v>
      </c>
      <c r="D154" s="112" t="n">
        <v>-170051.131543463</v>
      </c>
      <c r="E154" s="112" t="n">
        <v>396297.627692461</v>
      </c>
      <c r="F154" s="112" t="n">
        <v>0</v>
      </c>
      <c r="G154" s="112" t="n">
        <f aca="false">-28415+5535</f>
        <v>-22880</v>
      </c>
      <c r="I154" s="112" t="n">
        <f aca="false">IF(MONTH($A154)=MONTH($A153),IF(G154=0,I153,G154),G154)</f>
        <v>-22880</v>
      </c>
      <c r="J154" s="112" t="n">
        <f aca="false">IF(MONTH($A154)=MONTH($A153),SUM(I154-I153),I154)</f>
        <v>5304</v>
      </c>
      <c r="K154" s="112" t="n">
        <f aca="false">IF(WEEKDAY(A154,3)&gt;4,0,(IF(A154&lt;K$2,0,IF(A154&lt;=K$3,1,0))))</f>
        <v>0</v>
      </c>
      <c r="L154" s="112" t="n">
        <f aca="false">J154*K154</f>
        <v>0</v>
      </c>
      <c r="M154" s="112" t="n">
        <f aca="false">SUM(J$97:J154)</f>
        <v>-21913</v>
      </c>
      <c r="N154" s="112" t="n">
        <f aca="false">SUM(J$6:J154)</f>
        <v>462273.665417803</v>
      </c>
      <c r="P154" s="112" t="n">
        <f aca="false">D154/P$3</f>
        <v>-0.170051131543463</v>
      </c>
      <c r="Q154" s="112" t="n">
        <f aca="false">E154/P$3</f>
        <v>0.396297627692461</v>
      </c>
      <c r="R154" s="112" t="n">
        <f aca="false">F154/R$3</f>
        <v>0</v>
      </c>
      <c r="S154" s="114" t="n">
        <f aca="false">J154/$R$3</f>
        <v>5.304</v>
      </c>
      <c r="T154" s="114" t="n">
        <f aca="false">L154/$R$3</f>
        <v>0</v>
      </c>
      <c r="U154" s="114" t="n">
        <f aca="false">I154/$R$3</f>
        <v>-22.88</v>
      </c>
      <c r="V154" s="114" t="n">
        <f aca="false">M154/$R$3</f>
        <v>-21.913</v>
      </c>
      <c r="W154" s="114" t="n">
        <f aca="false">N154/$R$3</f>
        <v>462.273665417803</v>
      </c>
    </row>
    <row r="155" customFormat="false" ht="12.75" hidden="true" customHeight="false" outlineLevel="0" collapsed="false">
      <c r="A155" s="108" t="n">
        <f aca="false">A154+1</f>
        <v>37041</v>
      </c>
      <c r="B155" s="119" t="str">
        <f aca="false">INDEX('Master Data'!$A$2:$B$8,MATCH(WEEKDAY('EZE Power Trading'!A155,3),'Master Data'!$A$2:$A$8,0),2)</f>
        <v>W</v>
      </c>
      <c r="D155" s="112" t="n">
        <v>-169845.913071363</v>
      </c>
      <c r="E155" s="112" t="n">
        <v>396711.858848078</v>
      </c>
      <c r="F155" s="112" t="n">
        <v>0</v>
      </c>
      <c r="G155" s="112" t="n">
        <f aca="false">-19984-1506</f>
        <v>-21490</v>
      </c>
      <c r="I155" s="112" t="n">
        <f aca="false">IF(MONTH($A155)=MONTH($A154),IF(G155=0,I154,G155),G155)</f>
        <v>-21490</v>
      </c>
      <c r="J155" s="112" t="n">
        <f aca="false">IF(MONTH($A155)=MONTH($A154),SUM(I155-I154),I155)</f>
        <v>1390</v>
      </c>
      <c r="K155" s="112" t="n">
        <f aca="false">IF(WEEKDAY(A155,3)&gt;4,0,(IF(A155&lt;K$2,0,IF(A155&lt;=K$3,1,0))))</f>
        <v>0</v>
      </c>
      <c r="L155" s="112" t="n">
        <f aca="false">J155*K155</f>
        <v>0</v>
      </c>
      <c r="M155" s="112" t="n">
        <f aca="false">SUM(J$97:J155)</f>
        <v>-20523</v>
      </c>
      <c r="N155" s="112" t="n">
        <f aca="false">SUM(J$6:J155)</f>
        <v>463663.665417803</v>
      </c>
      <c r="P155" s="112" t="n">
        <f aca="false">D155/P$3</f>
        <v>-0.169845913071363</v>
      </c>
      <c r="Q155" s="112" t="n">
        <f aca="false">E155/P$3</f>
        <v>0.396711858848078</v>
      </c>
      <c r="R155" s="112" t="n">
        <f aca="false">F155/R$3</f>
        <v>0</v>
      </c>
      <c r="S155" s="114" t="n">
        <f aca="false">J155/$R$3</f>
        <v>1.39</v>
      </c>
      <c r="T155" s="114" t="n">
        <f aca="false">L155/$R$3</f>
        <v>0</v>
      </c>
      <c r="U155" s="114" t="n">
        <f aca="false">I155/$R$3</f>
        <v>-21.49</v>
      </c>
      <c r="V155" s="114" t="n">
        <f aca="false">M155/$R$3</f>
        <v>-20.523</v>
      </c>
      <c r="W155" s="114" t="n">
        <f aca="false">N155/$R$3</f>
        <v>463.663665417803</v>
      </c>
    </row>
    <row r="156" customFormat="false" ht="12.75" hidden="false" customHeight="false" outlineLevel="0" collapsed="false">
      <c r="A156" s="108" t="n">
        <f aca="false">A155+1</f>
        <v>37042</v>
      </c>
      <c r="B156" s="119" t="str">
        <f aca="false">INDEX('Master Data'!$A$2:$B$8,MATCH(WEEKDAY('EZE Power Trading'!A156,3),'Master Data'!$A$2:$A$8,0),2)</f>
        <v>Th</v>
      </c>
      <c r="D156" s="112" t="n">
        <v>-169655.099746664</v>
      </c>
      <c r="E156" s="112" t="n">
        <v>396683.048311769</v>
      </c>
      <c r="F156" s="112" t="n">
        <v>0</v>
      </c>
      <c r="G156" s="112" t="n">
        <f aca="false">-12425-7835</f>
        <v>-20260</v>
      </c>
      <c r="I156" s="112" t="n">
        <f aca="false">IF(MONTH($A156)=MONTH($A155),IF(G156=0,I155,G156),G156)</f>
        <v>-20260</v>
      </c>
      <c r="J156" s="112" t="n">
        <f aca="false">IF(MONTH($A156)=MONTH($A155),SUM(I156-I155),I156)</f>
        <v>1230</v>
      </c>
      <c r="K156" s="112" t="n">
        <f aca="false">IF(WEEKDAY(A156,3)&gt;4,0,(IF(A156&lt;K$2,0,IF(A156&lt;=K$3,1,0))))</f>
        <v>0</v>
      </c>
      <c r="L156" s="112" t="n">
        <f aca="false">J156*K156</f>
        <v>0</v>
      </c>
      <c r="M156" s="112" t="n">
        <f aca="false">SUM(J$97:J156)</f>
        <v>-19293</v>
      </c>
      <c r="N156" s="112" t="n">
        <f aca="false">SUM(J$6:J156)</f>
        <v>464893.665417803</v>
      </c>
      <c r="P156" s="112" t="n">
        <f aca="false">D156/P$3</f>
        <v>-0.169655099746664</v>
      </c>
      <c r="Q156" s="112" t="n">
        <f aca="false">E156/P$3</f>
        <v>0.396683048311769</v>
      </c>
      <c r="R156" s="112" t="n">
        <f aca="false">F156/R$3</f>
        <v>0</v>
      </c>
      <c r="S156" s="114" t="n">
        <f aca="false">J156/$R$3</f>
        <v>1.23</v>
      </c>
      <c r="T156" s="114" t="n">
        <f aca="false">L156/$R$3</f>
        <v>0</v>
      </c>
      <c r="U156" s="114" t="n">
        <f aca="false">I156/$R$3</f>
        <v>-20.26</v>
      </c>
      <c r="V156" s="114" t="n">
        <f aca="false">M156/$R$3</f>
        <v>-19.293</v>
      </c>
      <c r="W156" s="114" t="n">
        <f aca="false">N156/$R$3</f>
        <v>464.893665417803</v>
      </c>
    </row>
    <row r="157" customFormat="false" ht="12.75" hidden="true" customHeight="false" outlineLevel="0" collapsed="false">
      <c r="A157" s="108" t="n">
        <f aca="false">A156+1</f>
        <v>37043</v>
      </c>
      <c r="B157" s="119" t="str">
        <f aca="false">INDEX('Master Data'!$A$2:$B$8,MATCH(WEEKDAY('EZE Power Trading'!A157,3),'Master Data'!$A$2:$A$8,0),2)</f>
        <v>F</v>
      </c>
      <c r="D157" s="112" t="n">
        <v>-169863.346977534</v>
      </c>
      <c r="E157" s="112" t="n">
        <v>399406.678824777</v>
      </c>
      <c r="F157" s="112" t="n">
        <v>0</v>
      </c>
      <c r="G157" s="112" t="n">
        <f aca="false">5748-756</f>
        <v>4992</v>
      </c>
      <c r="I157" s="112" t="n">
        <f aca="false">IF(MONTH($A157)=MONTH($A156),IF(G157=0,I156,G157),G157)</f>
        <v>4992</v>
      </c>
      <c r="J157" s="112" t="n">
        <f aca="false">IF(MONTH($A157)=MONTH($A156),SUM(I157-I156),I157)</f>
        <v>4992</v>
      </c>
      <c r="K157" s="112" t="n">
        <f aca="false">IF(WEEKDAY(A157,3)&gt;4,0,(IF(A157&lt;K$2,0,IF(A157&lt;=K$3,1,0))))</f>
        <v>0</v>
      </c>
      <c r="L157" s="112" t="n">
        <f aca="false">J157*K157</f>
        <v>0</v>
      </c>
      <c r="M157" s="112" t="n">
        <f aca="false">SUM(J$97:J157)</f>
        <v>-14301</v>
      </c>
      <c r="N157" s="112" t="n">
        <f aca="false">SUM(J$6:J157)</f>
        <v>469885.665417803</v>
      </c>
      <c r="P157" s="112" t="n">
        <f aca="false">D157/P$3</f>
        <v>-0.169863346977534</v>
      </c>
      <c r="Q157" s="112" t="n">
        <f aca="false">E157/P$3</f>
        <v>0.399406678824777</v>
      </c>
      <c r="R157" s="112" t="n">
        <f aca="false">F157/R$3</f>
        <v>0</v>
      </c>
      <c r="S157" s="114" t="n">
        <f aca="false">J157/$R$3</f>
        <v>4.992</v>
      </c>
      <c r="T157" s="114" t="n">
        <f aca="false">L157/$R$3</f>
        <v>0</v>
      </c>
      <c r="U157" s="114" t="n">
        <f aca="false">I157/$R$3</f>
        <v>4.992</v>
      </c>
      <c r="V157" s="114" t="n">
        <f aca="false">M157/$R$3</f>
        <v>-14.301</v>
      </c>
      <c r="W157" s="114" t="n">
        <f aca="false">N157/$R$3</f>
        <v>469.885665417803</v>
      </c>
    </row>
    <row r="158" customFormat="false" ht="12.75" hidden="true" customHeight="false" outlineLevel="0" collapsed="false">
      <c r="A158" s="108" t="n">
        <f aca="false">A157+1</f>
        <v>37044</v>
      </c>
      <c r="B158" s="119" t="str">
        <f aca="false">INDEX('Master Data'!$A$2:$B$8,MATCH(WEEKDAY('EZE Power Trading'!A158,3),'Master Data'!$A$2:$A$8,0),2)</f>
        <v>Sa</v>
      </c>
      <c r="D158" s="112" t="n">
        <v>0</v>
      </c>
      <c r="E158" s="112" t="n">
        <v>0</v>
      </c>
      <c r="F158" s="112" t="n">
        <v>0</v>
      </c>
      <c r="G158" s="112" t="n">
        <v>0</v>
      </c>
      <c r="I158" s="112" t="n">
        <f aca="false">IF(MONTH($A158)=MONTH($A157),IF(G158=0,I157,G158),G158)</f>
        <v>4992</v>
      </c>
      <c r="J158" s="112" t="n">
        <f aca="false">IF(MONTH($A158)=MONTH($A157),SUM(I158-I157),I158)</f>
        <v>0</v>
      </c>
      <c r="K158" s="112" t="n">
        <f aca="false">IF(WEEKDAY(A158,3)&gt;4,0,(IF(A158&lt;K$2,0,IF(A158&lt;=K$3,1,0))))</f>
        <v>0</v>
      </c>
      <c r="L158" s="112" t="n">
        <f aca="false">J158*K158</f>
        <v>0</v>
      </c>
      <c r="M158" s="112" t="n">
        <f aca="false">SUM(J$97:J158)</f>
        <v>-14301</v>
      </c>
      <c r="N158" s="112" t="n">
        <f aca="false">SUM(J$6:J158)</f>
        <v>469885.665417803</v>
      </c>
      <c r="P158" s="112" t="n">
        <f aca="false">D158/P$3</f>
        <v>0</v>
      </c>
      <c r="Q158" s="112" t="n">
        <f aca="false">E158/P$3</f>
        <v>0</v>
      </c>
      <c r="R158" s="112" t="n">
        <f aca="false">F158/R$3</f>
        <v>0</v>
      </c>
      <c r="S158" s="114" t="n">
        <f aca="false">J158/$R$3</f>
        <v>0</v>
      </c>
      <c r="T158" s="114" t="n">
        <f aca="false">L158/$R$3</f>
        <v>0</v>
      </c>
      <c r="U158" s="114" t="n">
        <f aca="false">I158/$R$3</f>
        <v>4.992</v>
      </c>
      <c r="V158" s="114" t="n">
        <f aca="false">M158/$R$3</f>
        <v>-14.301</v>
      </c>
      <c r="W158" s="114" t="n">
        <f aca="false">N158/$R$3</f>
        <v>469.885665417803</v>
      </c>
    </row>
    <row r="159" customFormat="false" ht="12.75" hidden="true" customHeight="false" outlineLevel="0" collapsed="false">
      <c r="A159" s="108" t="n">
        <f aca="false">A158+1</f>
        <v>37045</v>
      </c>
      <c r="B159" s="119" t="str">
        <f aca="false">INDEX('Master Data'!$A$2:$B$8,MATCH(WEEKDAY('EZE Power Trading'!A159,3),'Master Data'!$A$2:$A$8,0),2)</f>
        <v>Su</v>
      </c>
      <c r="D159" s="112" t="n">
        <v>0</v>
      </c>
      <c r="E159" s="112" t="n">
        <v>0</v>
      </c>
      <c r="F159" s="112" t="n">
        <v>0</v>
      </c>
      <c r="G159" s="112" t="n">
        <v>0</v>
      </c>
      <c r="I159" s="112" t="n">
        <f aca="false">IF(MONTH($A159)=MONTH($A158),IF(G159=0,I158,G159),G159)</f>
        <v>4992</v>
      </c>
      <c r="J159" s="112" t="n">
        <f aca="false">IF(MONTH($A159)=MONTH($A158),SUM(I159-I158),I159)</f>
        <v>0</v>
      </c>
      <c r="K159" s="112" t="n">
        <f aca="false">IF(WEEKDAY(A159,3)&gt;4,0,(IF(A159&lt;K$2,0,IF(A159&lt;=K$3,1,0))))</f>
        <v>0</v>
      </c>
      <c r="L159" s="112" t="n">
        <f aca="false">J159*K159</f>
        <v>0</v>
      </c>
      <c r="M159" s="112" t="n">
        <f aca="false">SUM(J$97:J159)</f>
        <v>-14301</v>
      </c>
      <c r="N159" s="112" t="n">
        <f aca="false">SUM(J$6:J159)</f>
        <v>469885.665417803</v>
      </c>
      <c r="P159" s="112" t="n">
        <f aca="false">D159/P$3</f>
        <v>0</v>
      </c>
      <c r="Q159" s="112" t="n">
        <f aca="false">E159/P$3</f>
        <v>0</v>
      </c>
      <c r="R159" s="112" t="n">
        <f aca="false">F159/R$3</f>
        <v>0</v>
      </c>
      <c r="S159" s="114" t="n">
        <f aca="false">J159/$R$3</f>
        <v>0</v>
      </c>
      <c r="T159" s="114" t="n">
        <f aca="false">L159/$R$3</f>
        <v>0</v>
      </c>
      <c r="U159" s="114" t="n">
        <f aca="false">I159/$R$3</f>
        <v>4.992</v>
      </c>
      <c r="V159" s="114" t="n">
        <f aca="false">M159/$R$3</f>
        <v>-14.301</v>
      </c>
      <c r="W159" s="114" t="n">
        <f aca="false">N159/$R$3</f>
        <v>469.885665417803</v>
      </c>
    </row>
    <row r="160" customFormat="false" ht="12.75" hidden="true" customHeight="false" outlineLevel="0" collapsed="false">
      <c r="A160" s="108" t="n">
        <f aca="false">A159+1</f>
        <v>37046</v>
      </c>
      <c r="B160" s="119" t="str">
        <f aca="false">INDEX('Master Data'!$A$2:$B$8,MATCH(WEEKDAY('EZE Power Trading'!A160,3),'Master Data'!$A$2:$A$8,0),2)</f>
        <v>M</v>
      </c>
      <c r="D160" s="112" t="n">
        <v>-169124.672197913</v>
      </c>
      <c r="E160" s="112" t="n">
        <v>398539.325987179</v>
      </c>
      <c r="F160" s="112" t="n">
        <v>0</v>
      </c>
      <c r="G160" s="112" t="n">
        <f aca="false">34215-23114</f>
        <v>11101</v>
      </c>
      <c r="I160" s="112" t="n">
        <f aca="false">IF(MONTH($A160)=MONTH($A159),IF(G160=0,I159,G160),G160)</f>
        <v>11101</v>
      </c>
      <c r="J160" s="112" t="n">
        <f aca="false">IF(MONTH($A160)=MONTH($A159),SUM(I160-I159),I160)</f>
        <v>6109</v>
      </c>
      <c r="K160" s="112" t="n">
        <f aca="false">IF(WEEKDAY(A160,3)&gt;4,0,(IF(A160&lt;K$2,0,IF(A160&lt;=K$3,1,0))))</f>
        <v>0</v>
      </c>
      <c r="L160" s="112" t="n">
        <f aca="false">J160*K160</f>
        <v>0</v>
      </c>
      <c r="M160" s="112" t="n">
        <f aca="false">SUM(J$97:J160)</f>
        <v>-8192</v>
      </c>
      <c r="N160" s="112" t="n">
        <f aca="false">SUM(J$6:J160)</f>
        <v>475994.665417803</v>
      </c>
      <c r="P160" s="112" t="n">
        <f aca="false">D160/P$3</f>
        <v>-0.169124672197913</v>
      </c>
      <c r="Q160" s="112" t="n">
        <f aca="false">E160/P$3</f>
        <v>0.398539325987179</v>
      </c>
      <c r="R160" s="112" t="n">
        <f aca="false">F160/R$3</f>
        <v>0</v>
      </c>
      <c r="S160" s="114" t="n">
        <f aca="false">J160/$R$3</f>
        <v>6.109</v>
      </c>
      <c r="T160" s="114" t="n">
        <f aca="false">L160/$R$3</f>
        <v>0</v>
      </c>
      <c r="U160" s="114" t="n">
        <f aca="false">I160/$R$3</f>
        <v>11.101</v>
      </c>
      <c r="V160" s="114" t="n">
        <f aca="false">M160/$R$3</f>
        <v>-8.192</v>
      </c>
      <c r="W160" s="114" t="n">
        <f aca="false">N160/$R$3</f>
        <v>475.994665417803</v>
      </c>
    </row>
    <row r="161" customFormat="false" ht="12.75" hidden="true" customHeight="false" outlineLevel="0" collapsed="false">
      <c r="A161" s="108" t="n">
        <f aca="false">A160+1</f>
        <v>37047</v>
      </c>
      <c r="B161" s="119" t="str">
        <f aca="false">INDEX('Master Data'!$A$2:$B$8,MATCH(WEEKDAY('EZE Power Trading'!A161,3),'Master Data'!$A$2:$A$8,0),2)</f>
        <v>T</v>
      </c>
      <c r="D161" s="112" t="n">
        <v>-168940.359046232</v>
      </c>
      <c r="E161" s="112" t="n">
        <v>398675.723989861</v>
      </c>
      <c r="F161" s="112" t="n">
        <v>0</v>
      </c>
      <c r="G161" s="112" t="n">
        <f aca="false">60781-46780</f>
        <v>14001</v>
      </c>
      <c r="I161" s="112" t="n">
        <f aca="false">IF(MONTH($A161)=MONTH($A160),IF(G161=0,I160,G161),G161)</f>
        <v>14001</v>
      </c>
      <c r="J161" s="112" t="n">
        <f aca="false">IF(MONTH($A161)=MONTH($A160),SUM(I161-I160),I161)</f>
        <v>2900</v>
      </c>
      <c r="K161" s="112" t="n">
        <f aca="false">IF(WEEKDAY(A161,3)&gt;4,0,(IF(A161&lt;K$2,0,IF(A161&lt;=K$3,1,0))))</f>
        <v>0</v>
      </c>
      <c r="L161" s="112" t="n">
        <f aca="false">J161*K161</f>
        <v>0</v>
      </c>
      <c r="M161" s="112" t="n">
        <f aca="false">SUM(J$97:J161)</f>
        <v>-5292</v>
      </c>
      <c r="N161" s="112" t="n">
        <f aca="false">SUM(J$6:J161)</f>
        <v>478894.665417803</v>
      </c>
      <c r="P161" s="112" t="n">
        <f aca="false">D161/P$3</f>
        <v>-0.168940359046232</v>
      </c>
      <c r="Q161" s="112" t="n">
        <f aca="false">E161/P$3</f>
        <v>0.398675723989861</v>
      </c>
      <c r="R161" s="112" t="n">
        <f aca="false">F161/R$3</f>
        <v>0</v>
      </c>
      <c r="S161" s="114" t="n">
        <f aca="false">J161/$R$3</f>
        <v>2.9</v>
      </c>
      <c r="T161" s="114" t="n">
        <f aca="false">L161/$R$3</f>
        <v>0</v>
      </c>
      <c r="U161" s="114" t="n">
        <f aca="false">I161/$R$3</f>
        <v>14.001</v>
      </c>
      <c r="V161" s="114" t="n">
        <f aca="false">M161/$R$3</f>
        <v>-5.292</v>
      </c>
      <c r="W161" s="114" t="n">
        <f aca="false">N161/$R$3</f>
        <v>478.894665417803</v>
      </c>
    </row>
    <row r="162" customFormat="false" ht="12.75" hidden="true" customHeight="false" outlineLevel="0" collapsed="false">
      <c r="A162" s="108" t="n">
        <f aca="false">A161+1</f>
        <v>37048</v>
      </c>
      <c r="B162" s="119" t="str">
        <f aca="false">INDEX('Master Data'!$A$2:$B$8,MATCH(WEEKDAY('EZE Power Trading'!A162,3),'Master Data'!$A$2:$A$8,0),2)</f>
        <v>W</v>
      </c>
      <c r="D162" s="112" t="n">
        <v>-168855.318316916</v>
      </c>
      <c r="E162" s="112" t="n">
        <v>399545.695036812</v>
      </c>
      <c r="F162" s="112" t="n">
        <v>0</v>
      </c>
      <c r="G162" s="112" t="n">
        <v>17556</v>
      </c>
      <c r="I162" s="112" t="n">
        <f aca="false">IF(MONTH($A162)=MONTH($A161),IF(G162=0,I161,G162),G162)</f>
        <v>17556</v>
      </c>
      <c r="J162" s="112" t="n">
        <f aca="false">IF(MONTH($A162)=MONTH($A161),SUM(I162-I161),I162)</f>
        <v>3555</v>
      </c>
      <c r="K162" s="112" t="n">
        <f aca="false">IF(WEEKDAY(A162,3)&gt;4,0,(IF(A162&lt;K$2,0,IF(A162&lt;=K$3,1,0))))</f>
        <v>0</v>
      </c>
      <c r="L162" s="112" t="n">
        <f aca="false">J162*K162</f>
        <v>0</v>
      </c>
      <c r="M162" s="112" t="n">
        <f aca="false">SUM(J$97:J162)</f>
        <v>-1737</v>
      </c>
      <c r="N162" s="112" t="n">
        <f aca="false">SUM(J$6:J162)</f>
        <v>482449.665417803</v>
      </c>
      <c r="P162" s="112" t="n">
        <f aca="false">D162/P$3</f>
        <v>-0.168855318316916</v>
      </c>
      <c r="Q162" s="112" t="n">
        <f aca="false">E162/P$3</f>
        <v>0.399545695036812</v>
      </c>
      <c r="R162" s="112" t="n">
        <f aca="false">F162/R$3</f>
        <v>0</v>
      </c>
      <c r="S162" s="114" t="n">
        <f aca="false">J162/$R$3</f>
        <v>3.555</v>
      </c>
      <c r="T162" s="114" t="n">
        <f aca="false">L162/$R$3</f>
        <v>0</v>
      </c>
      <c r="U162" s="114" t="n">
        <f aca="false">I162/$R$3</f>
        <v>17.556</v>
      </c>
      <c r="V162" s="114" t="n">
        <f aca="false">M162/$R$3</f>
        <v>-1.737</v>
      </c>
      <c r="W162" s="114" t="n">
        <f aca="false">N162/$R$3</f>
        <v>482.449665417803</v>
      </c>
    </row>
    <row r="163" customFormat="false" ht="12.75" hidden="true" customHeight="false" outlineLevel="0" collapsed="false">
      <c r="A163" s="108" t="n">
        <f aca="false">A162+1</f>
        <v>37049</v>
      </c>
      <c r="B163" s="119" t="str">
        <f aca="false">INDEX('Master Data'!$A$2:$B$8,MATCH(WEEKDAY('EZE Power Trading'!A163,3),'Master Data'!$A$2:$A$8,0),2)</f>
        <v>Th</v>
      </c>
      <c r="D163" s="112" t="n">
        <v>-168676.591269939</v>
      </c>
      <c r="E163" s="112" t="n">
        <v>399724.13624399</v>
      </c>
      <c r="F163" s="112" t="n">
        <v>0</v>
      </c>
      <c r="G163" s="112" t="n">
        <v>21082</v>
      </c>
      <c r="I163" s="112" t="n">
        <f aca="false">IF(MONTH($A163)=MONTH($A162),IF(G163=0,I162,G163),G163)</f>
        <v>21082</v>
      </c>
      <c r="J163" s="112" t="n">
        <f aca="false">IF(MONTH($A163)=MONTH($A162),SUM(I163-I162),I163)</f>
        <v>3526</v>
      </c>
      <c r="K163" s="112" t="n">
        <f aca="false">IF(WEEKDAY(A163,3)&gt;4,0,(IF(A163&lt;K$2,0,IF(A163&lt;=K$3,1,0))))</f>
        <v>0</v>
      </c>
      <c r="L163" s="112" t="n">
        <f aca="false">J163*K163</f>
        <v>0</v>
      </c>
      <c r="M163" s="112" t="n">
        <f aca="false">SUM(J$97:J163)</f>
        <v>1789</v>
      </c>
      <c r="N163" s="112" t="n">
        <f aca="false">SUM(J$6:J163)</f>
        <v>485975.665417803</v>
      </c>
      <c r="P163" s="112" t="n">
        <f aca="false">D163/P$3</f>
        <v>-0.168676591269939</v>
      </c>
      <c r="Q163" s="112" t="n">
        <f aca="false">E163/P$3</f>
        <v>0.39972413624399</v>
      </c>
      <c r="R163" s="112" t="n">
        <f aca="false">F163/R$3</f>
        <v>0</v>
      </c>
      <c r="S163" s="114" t="n">
        <f aca="false">J163/$R$3</f>
        <v>3.526</v>
      </c>
      <c r="T163" s="114" t="n">
        <f aca="false">L163/$R$3</f>
        <v>0</v>
      </c>
      <c r="U163" s="114" t="n">
        <f aca="false">I163/$R$3</f>
        <v>21.082</v>
      </c>
      <c r="V163" s="114" t="n">
        <f aca="false">M163/$R$3</f>
        <v>1.789</v>
      </c>
      <c r="W163" s="114" t="n">
        <f aca="false">N163/$R$3</f>
        <v>485.975665417803</v>
      </c>
    </row>
    <row r="164" customFormat="false" ht="12.75" hidden="true" customHeight="false" outlineLevel="0" collapsed="false">
      <c r="A164" s="108" t="n">
        <f aca="false">A163+1</f>
        <v>37050</v>
      </c>
      <c r="B164" s="119" t="str">
        <f aca="false">INDEX('Master Data'!$A$2:$B$8,MATCH(WEEKDAY('EZE Power Trading'!A164,3),'Master Data'!$A$2:$A$8,0),2)</f>
        <v>F</v>
      </c>
      <c r="D164" s="112" t="n">
        <v>-168480.536723023</v>
      </c>
      <c r="E164" s="112" t="n">
        <v>399710.21384716</v>
      </c>
      <c r="F164" s="112" t="n">
        <v>0</v>
      </c>
      <c r="G164" s="112" t="n">
        <v>45328</v>
      </c>
      <c r="I164" s="112" t="n">
        <f aca="false">IF(MONTH($A164)=MONTH($A163),IF(G164=0,I163,G164),G164)</f>
        <v>45328</v>
      </c>
      <c r="J164" s="112" t="n">
        <f aca="false">IF(MONTH($A164)=MONTH($A163),SUM(I164-I163),I164)</f>
        <v>24246</v>
      </c>
      <c r="K164" s="112" t="n">
        <f aca="false">IF(WEEKDAY(A164,3)&gt;4,0,(IF(A164&lt;K$2,0,IF(A164&lt;=K$3,1,0))))</f>
        <v>0</v>
      </c>
      <c r="L164" s="112" t="n">
        <f aca="false">J164*K164</f>
        <v>0</v>
      </c>
      <c r="M164" s="112" t="n">
        <f aca="false">SUM(J$97:J164)</f>
        <v>26035</v>
      </c>
      <c r="N164" s="112" t="n">
        <f aca="false">SUM(J$6:J164)</f>
        <v>510221.665417803</v>
      </c>
      <c r="P164" s="112" t="n">
        <f aca="false">D164/P$3</f>
        <v>-0.168480536723023</v>
      </c>
      <c r="Q164" s="112" t="n">
        <f aca="false">E164/P$3</f>
        <v>0.39971021384716</v>
      </c>
      <c r="R164" s="112" t="n">
        <f aca="false">F164/R$3</f>
        <v>0</v>
      </c>
      <c r="S164" s="114" t="n">
        <f aca="false">J164/$R$3</f>
        <v>24.246</v>
      </c>
      <c r="T164" s="114" t="n">
        <f aca="false">L164/$R$3</f>
        <v>0</v>
      </c>
      <c r="U164" s="114" t="n">
        <f aca="false">I164/$R$3</f>
        <v>45.328</v>
      </c>
      <c r="V164" s="114" t="n">
        <f aca="false">M164/$R$3</f>
        <v>26.035</v>
      </c>
      <c r="W164" s="114" t="n">
        <f aca="false">N164/$R$3</f>
        <v>510.221665417804</v>
      </c>
    </row>
    <row r="165" customFormat="false" ht="12.75" hidden="true" customHeight="false" outlineLevel="0" collapsed="false">
      <c r="A165" s="108" t="n">
        <f aca="false">A164+1</f>
        <v>37051</v>
      </c>
      <c r="B165" s="119" t="str">
        <f aca="false">INDEX('Master Data'!$A$2:$B$8,MATCH(WEEKDAY('EZE Power Trading'!A165,3),'Master Data'!$A$2:$A$8,0),2)</f>
        <v>Sa</v>
      </c>
      <c r="D165" s="112" t="n">
        <v>0</v>
      </c>
      <c r="E165" s="112" t="n">
        <v>0</v>
      </c>
      <c r="F165" s="112" t="n">
        <v>0</v>
      </c>
      <c r="G165" s="112" t="n">
        <v>0</v>
      </c>
      <c r="I165" s="112" t="n">
        <f aca="false">IF(MONTH($A165)=MONTH($A164),IF(G165=0,I164,G165),G165)</f>
        <v>45328</v>
      </c>
      <c r="J165" s="112" t="n">
        <f aca="false">IF(MONTH($A165)=MONTH($A164),SUM(I165-I164),I165)</f>
        <v>0</v>
      </c>
      <c r="K165" s="112" t="n">
        <f aca="false">IF(WEEKDAY(A165,3)&gt;4,0,(IF(A165&lt;K$2,0,IF(A165&lt;=K$3,1,0))))</f>
        <v>0</v>
      </c>
      <c r="L165" s="112" t="n">
        <f aca="false">J165*K165</f>
        <v>0</v>
      </c>
      <c r="M165" s="112" t="n">
        <f aca="false">SUM(J$97:J165)</f>
        <v>26035</v>
      </c>
      <c r="N165" s="112" t="n">
        <f aca="false">SUM(J$6:J165)</f>
        <v>510221.665417803</v>
      </c>
      <c r="P165" s="112" t="n">
        <f aca="false">D165/P$3</f>
        <v>0</v>
      </c>
      <c r="Q165" s="112" t="n">
        <f aca="false">E165/P$3</f>
        <v>0</v>
      </c>
      <c r="R165" s="112" t="n">
        <f aca="false">F165/R$3</f>
        <v>0</v>
      </c>
      <c r="S165" s="114" t="n">
        <f aca="false">J165/$R$3</f>
        <v>0</v>
      </c>
      <c r="T165" s="114" t="n">
        <f aca="false">L165/$R$3</f>
        <v>0</v>
      </c>
      <c r="U165" s="114" t="n">
        <f aca="false">I165/$R$3</f>
        <v>45.328</v>
      </c>
      <c r="V165" s="114" t="n">
        <f aca="false">M165/$R$3</f>
        <v>26.035</v>
      </c>
      <c r="W165" s="114" t="n">
        <f aca="false">N165/$R$3</f>
        <v>510.221665417804</v>
      </c>
    </row>
    <row r="166" customFormat="false" ht="12.75" hidden="true" customHeight="false" outlineLevel="0" collapsed="false">
      <c r="A166" s="108" t="n">
        <f aca="false">A165+1</f>
        <v>37052</v>
      </c>
      <c r="B166" s="119" t="str">
        <f aca="false">INDEX('Master Data'!$A$2:$B$8,MATCH(WEEKDAY('EZE Power Trading'!A166,3),'Master Data'!$A$2:$A$8,0),2)</f>
        <v>Su</v>
      </c>
      <c r="D166" s="112" t="n">
        <v>0</v>
      </c>
      <c r="E166" s="112" t="n">
        <v>0</v>
      </c>
      <c r="F166" s="112" t="n">
        <v>0</v>
      </c>
      <c r="G166" s="112" t="n">
        <v>0</v>
      </c>
      <c r="I166" s="112" t="n">
        <f aca="false">IF(MONTH($A166)=MONTH($A165),IF(G166=0,I165,G166),G166)</f>
        <v>45328</v>
      </c>
      <c r="J166" s="112" t="n">
        <f aca="false">IF(MONTH($A166)=MONTH($A165),SUM(I166-I165),I166)</f>
        <v>0</v>
      </c>
      <c r="K166" s="112" t="n">
        <f aca="false">IF(WEEKDAY(A166,3)&gt;4,0,(IF(A166&lt;K$2,0,IF(A166&lt;=K$3,1,0))))</f>
        <v>0</v>
      </c>
      <c r="L166" s="112" t="n">
        <f aca="false">J166*K166</f>
        <v>0</v>
      </c>
      <c r="M166" s="112" t="n">
        <f aca="false">SUM(J$97:J166)</f>
        <v>26035</v>
      </c>
      <c r="N166" s="112" t="n">
        <f aca="false">SUM(J$6:J166)</f>
        <v>510221.665417803</v>
      </c>
      <c r="P166" s="112" t="n">
        <f aca="false">D166/P$3</f>
        <v>0</v>
      </c>
      <c r="Q166" s="112" t="n">
        <f aca="false">E166/P$3</f>
        <v>0</v>
      </c>
      <c r="R166" s="112" t="n">
        <f aca="false">F166/R$3</f>
        <v>0</v>
      </c>
      <c r="S166" s="114" t="n">
        <f aca="false">J166/$R$3</f>
        <v>0</v>
      </c>
      <c r="T166" s="114" t="n">
        <f aca="false">L166/$R$3</f>
        <v>0</v>
      </c>
      <c r="U166" s="114" t="n">
        <f aca="false">I166/$R$3</f>
        <v>45.328</v>
      </c>
      <c r="V166" s="114" t="n">
        <f aca="false">M166/$R$3</f>
        <v>26.035</v>
      </c>
      <c r="W166" s="114" t="n">
        <f aca="false">N166/$R$3</f>
        <v>510.221665417804</v>
      </c>
    </row>
    <row r="167" customFormat="false" ht="12.75" hidden="true" customHeight="false" outlineLevel="0" collapsed="false">
      <c r="A167" s="108" t="n">
        <f aca="false">A166+1</f>
        <v>37053</v>
      </c>
      <c r="B167" s="119" t="str">
        <f aca="false">INDEX('Master Data'!$A$2:$B$8,MATCH(WEEKDAY('EZE Power Trading'!A167,3),'Master Data'!$A$2:$A$8,0),2)</f>
        <v>M</v>
      </c>
      <c r="D167" s="112" t="n">
        <v>-167761.816976484</v>
      </c>
      <c r="E167" s="112" t="n">
        <v>398703.609514624</v>
      </c>
      <c r="F167" s="112" t="n">
        <v>0</v>
      </c>
      <c r="G167" s="112" t="n">
        <v>51172</v>
      </c>
      <c r="I167" s="112" t="n">
        <f aca="false">IF(MONTH($A167)=MONTH($A166),IF(G167=0,I166,G167),G167)</f>
        <v>51172</v>
      </c>
      <c r="J167" s="112" t="n">
        <f aca="false">IF(MONTH($A167)=MONTH($A166),SUM(I167-I166),I167)</f>
        <v>5844</v>
      </c>
      <c r="K167" s="112" t="n">
        <f aca="false">IF(WEEKDAY(A167,3)&gt;4,0,(IF(A167&lt;K$2,0,IF(A167&lt;=K$3,1,0))))</f>
        <v>0</v>
      </c>
      <c r="L167" s="112" t="n">
        <f aca="false">J167*K167</f>
        <v>0</v>
      </c>
      <c r="M167" s="112" t="n">
        <f aca="false">SUM(J$97:J167)</f>
        <v>31879</v>
      </c>
      <c r="N167" s="112" t="n">
        <f aca="false">SUM(J$6:J167)</f>
        <v>516065.665417803</v>
      </c>
      <c r="P167" s="112" t="n">
        <f aca="false">D167/P$3</f>
        <v>-0.167761816976484</v>
      </c>
      <c r="Q167" s="112" t="n">
        <f aca="false">E167/P$3</f>
        <v>0.398703609514624</v>
      </c>
      <c r="R167" s="112" t="n">
        <f aca="false">F167/R$3</f>
        <v>0</v>
      </c>
      <c r="S167" s="114" t="n">
        <f aca="false">J167/$R$3</f>
        <v>5.844</v>
      </c>
      <c r="T167" s="114" t="n">
        <f aca="false">L167/$R$3</f>
        <v>0</v>
      </c>
      <c r="U167" s="114" t="n">
        <f aca="false">I167/$R$3</f>
        <v>51.172</v>
      </c>
      <c r="V167" s="114" t="n">
        <f aca="false">M167/$R$3</f>
        <v>31.879</v>
      </c>
      <c r="W167" s="114" t="n">
        <f aca="false">N167/$R$3</f>
        <v>516.065665417803</v>
      </c>
    </row>
    <row r="168" customFormat="false" ht="12.75" hidden="true" customHeight="false" outlineLevel="0" collapsed="false">
      <c r="A168" s="108" t="n">
        <f aca="false">A167+1</f>
        <v>37054</v>
      </c>
      <c r="B168" s="119" t="str">
        <f aca="false">INDEX('Master Data'!$A$2:$B$8,MATCH(WEEKDAY('EZE Power Trading'!A168,3),'Master Data'!$A$2:$A$8,0),2)</f>
        <v>T</v>
      </c>
      <c r="D168" s="112" t="n">
        <v>-167732.910501684</v>
      </c>
      <c r="E168" s="112" t="n">
        <v>399900.211473078</v>
      </c>
      <c r="F168" s="112" t="n">
        <v>0</v>
      </c>
      <c r="G168" s="112" t="n">
        <v>53084</v>
      </c>
      <c r="I168" s="112" t="n">
        <f aca="false">IF(MONTH($A168)=MONTH($A167),IF(G168=0,I167,G168),G168)</f>
        <v>53084</v>
      </c>
      <c r="J168" s="112" t="n">
        <f aca="false">IF(MONTH($A168)=MONTH($A167),SUM(I168-I167),I168)</f>
        <v>1912</v>
      </c>
      <c r="K168" s="112" t="n">
        <f aca="false">IF(WEEKDAY(A168,3)&gt;4,0,(IF(A168&lt;K$2,0,IF(A168&lt;=K$3,1,0))))</f>
        <v>0</v>
      </c>
      <c r="L168" s="112" t="n">
        <f aca="false">J168*K168</f>
        <v>0</v>
      </c>
      <c r="M168" s="112" t="n">
        <f aca="false">SUM(J$97:J168)</f>
        <v>33791</v>
      </c>
      <c r="N168" s="112" t="n">
        <f aca="false">SUM(J$6:J168)</f>
        <v>517977.665417803</v>
      </c>
      <c r="P168" s="112" t="n">
        <f aca="false">D168/P$3</f>
        <v>-0.167732910501684</v>
      </c>
      <c r="Q168" s="112" t="n">
        <f aca="false">E168/P$3</f>
        <v>0.399900211473078</v>
      </c>
      <c r="R168" s="112" t="n">
        <f aca="false">F168/R$3</f>
        <v>0</v>
      </c>
      <c r="S168" s="114" t="n">
        <f aca="false">J168/$R$3</f>
        <v>1.912</v>
      </c>
      <c r="T168" s="114" t="n">
        <f aca="false">L168/$R$3</f>
        <v>0</v>
      </c>
      <c r="U168" s="114" t="n">
        <f aca="false">I168/$R$3</f>
        <v>53.084</v>
      </c>
      <c r="V168" s="114" t="n">
        <f aca="false">M168/$R$3</f>
        <v>33.791</v>
      </c>
      <c r="W168" s="114" t="n">
        <f aca="false">N168/$R$3</f>
        <v>517.977665417804</v>
      </c>
    </row>
    <row r="169" customFormat="false" ht="12.75" hidden="true" customHeight="false" outlineLevel="0" collapsed="false">
      <c r="A169" s="108" t="n">
        <f aca="false">A168+1</f>
        <v>37055</v>
      </c>
      <c r="B169" s="119" t="str">
        <f aca="false">INDEX('Master Data'!$A$2:$B$8,MATCH(WEEKDAY('EZE Power Trading'!A169,3),'Master Data'!$A$2:$A$8,0),2)</f>
        <v>W</v>
      </c>
      <c r="D169" s="112" t="n">
        <v>-167624.431454021</v>
      </c>
      <c r="E169" s="112" t="n">
        <v>400633.422834504</v>
      </c>
      <c r="F169" s="112" t="n">
        <v>0</v>
      </c>
      <c r="G169" s="112" t="n">
        <f aca="false">56164+506</f>
        <v>56670</v>
      </c>
      <c r="I169" s="112" t="n">
        <f aca="false">IF(MONTH($A169)=MONTH($A168),IF(G169=0,I168,G169),G169)</f>
        <v>56670</v>
      </c>
      <c r="J169" s="112" t="n">
        <f aca="false">IF(MONTH($A169)=MONTH($A168),SUM(I169-I168),I169)</f>
        <v>3586</v>
      </c>
      <c r="K169" s="112" t="n">
        <f aca="false">IF(WEEKDAY(A169,3)&gt;4,0,(IF(A169&lt;K$2,0,IF(A169&lt;=K$3,1,0))))</f>
        <v>0</v>
      </c>
      <c r="L169" s="112" t="n">
        <f aca="false">J169*K169</f>
        <v>0</v>
      </c>
      <c r="M169" s="112" t="n">
        <f aca="false">SUM(J$97:J169)</f>
        <v>37377</v>
      </c>
      <c r="N169" s="112" t="n">
        <f aca="false">SUM(J$6:J169)</f>
        <v>521563.665417803</v>
      </c>
      <c r="P169" s="112" t="n">
        <f aca="false">D169/P$3</f>
        <v>-0.167624431454021</v>
      </c>
      <c r="Q169" s="112" t="n">
        <f aca="false">E169/P$3</f>
        <v>0.400633422834504</v>
      </c>
      <c r="R169" s="112" t="n">
        <f aca="false">F169/R$3</f>
        <v>0</v>
      </c>
      <c r="S169" s="114" t="n">
        <f aca="false">J169/$R$3</f>
        <v>3.586</v>
      </c>
      <c r="T169" s="114" t="n">
        <f aca="false">L169/$R$3</f>
        <v>0</v>
      </c>
      <c r="U169" s="114" t="n">
        <f aca="false">I169/$R$3</f>
        <v>56.67</v>
      </c>
      <c r="V169" s="114" t="n">
        <f aca="false">M169/$R$3</f>
        <v>37.377</v>
      </c>
      <c r="W169" s="114" t="n">
        <f aca="false">N169/$R$3</f>
        <v>521.563665417804</v>
      </c>
    </row>
    <row r="170" customFormat="false" ht="12.75" hidden="true" customHeight="false" outlineLevel="0" collapsed="false">
      <c r="A170" s="108" t="n">
        <f aca="false">A169+1</f>
        <v>37056</v>
      </c>
      <c r="B170" s="119" t="str">
        <f aca="false">INDEX('Master Data'!$A$2:$B$8,MATCH(WEEKDAY('EZE Power Trading'!A170,3),'Master Data'!$A$2:$A$8,0),2)</f>
        <v>Th</v>
      </c>
      <c r="D170" s="112" t="n">
        <v>-167461.332829613</v>
      </c>
      <c r="E170" s="112" t="n">
        <v>400883.244741443</v>
      </c>
      <c r="F170" s="112" t="n">
        <v>0</v>
      </c>
      <c r="G170" s="112" t="n">
        <f aca="false">58844+506</f>
        <v>59350</v>
      </c>
      <c r="I170" s="112" t="n">
        <f aca="false">IF(MONTH($A170)=MONTH($A169),IF(G170=0,I169,G170),G170)</f>
        <v>59350</v>
      </c>
      <c r="J170" s="112" t="n">
        <f aca="false">IF(MONTH($A170)=MONTH($A169),SUM(I170-I169),I170)</f>
        <v>2680</v>
      </c>
      <c r="K170" s="112" t="n">
        <f aca="false">IF(WEEKDAY(A170,3)&gt;4,0,(IF(A170&lt;K$2,0,IF(A170&lt;=K$3,1,0))))</f>
        <v>0</v>
      </c>
      <c r="L170" s="112" t="n">
        <f aca="false">J170*K170</f>
        <v>0</v>
      </c>
      <c r="M170" s="112" t="n">
        <f aca="false">SUM(J$97:J170)</f>
        <v>40057</v>
      </c>
      <c r="N170" s="112" t="n">
        <f aca="false">SUM(J$6:J170)</f>
        <v>524243.665417803</v>
      </c>
      <c r="P170" s="112" t="n">
        <f aca="false">D170/P$3</f>
        <v>-0.167461332829613</v>
      </c>
      <c r="Q170" s="112" t="n">
        <f aca="false">E170/P$3</f>
        <v>0.400883244741443</v>
      </c>
      <c r="R170" s="112" t="n">
        <f aca="false">F170/R$3</f>
        <v>0</v>
      </c>
      <c r="S170" s="114" t="n">
        <f aca="false">J170/$R$3</f>
        <v>2.68</v>
      </c>
      <c r="T170" s="114" t="n">
        <f aca="false">L170/$R$3</f>
        <v>0</v>
      </c>
      <c r="U170" s="114" t="n">
        <f aca="false">I170/$R$3</f>
        <v>59.35</v>
      </c>
      <c r="V170" s="114" t="n">
        <f aca="false">M170/$R$3</f>
        <v>40.057</v>
      </c>
      <c r="W170" s="114" t="n">
        <f aca="false">N170/$R$3</f>
        <v>524.243665417803</v>
      </c>
    </row>
    <row r="171" customFormat="false" ht="12.75" hidden="true" customHeight="false" outlineLevel="0" collapsed="false">
      <c r="A171" s="108" t="n">
        <f aca="false">A170+1</f>
        <v>37057</v>
      </c>
      <c r="B171" s="119" t="str">
        <f aca="false">INDEX('Master Data'!$A$2:$B$8,MATCH(WEEKDAY('EZE Power Trading'!A171,3),'Master Data'!$A$2:$A$8,0),2)</f>
        <v>F</v>
      </c>
      <c r="D171" s="112" t="n">
        <v>-167346.931849915</v>
      </c>
      <c r="E171" s="112" t="n">
        <v>401508.924912944</v>
      </c>
      <c r="F171" s="112" t="n">
        <v>0</v>
      </c>
      <c r="G171" s="112" t="n">
        <f aca="false">63268+506</f>
        <v>63774</v>
      </c>
      <c r="I171" s="112" t="n">
        <f aca="false">IF(MONTH($A171)=MONTH($A170),IF(G171=0,I170,G171),G171)</f>
        <v>63774</v>
      </c>
      <c r="J171" s="112" t="n">
        <f aca="false">IF(MONTH($A171)=MONTH($A170),SUM(I171-I170),I171)</f>
        <v>4424</v>
      </c>
      <c r="K171" s="112" t="n">
        <f aca="false">IF(WEEKDAY(A171,3)&gt;4,0,(IF(A171&lt;K$2,0,IF(A171&lt;=K$3,1,0))))</f>
        <v>0</v>
      </c>
      <c r="L171" s="112" t="n">
        <f aca="false">J171*K171</f>
        <v>0</v>
      </c>
      <c r="M171" s="112" t="n">
        <f aca="false">SUM(J$97:J171)</f>
        <v>44481</v>
      </c>
      <c r="N171" s="112" t="n">
        <f aca="false">SUM(J$6:J171)</f>
        <v>528667.665417804</v>
      </c>
      <c r="P171" s="112" t="n">
        <f aca="false">D171/P$3</f>
        <v>-0.167346931849915</v>
      </c>
      <c r="Q171" s="112" t="n">
        <f aca="false">E171/P$3</f>
        <v>0.401508924912944</v>
      </c>
      <c r="R171" s="112" t="n">
        <f aca="false">F171/R$3</f>
        <v>0</v>
      </c>
      <c r="S171" s="114" t="n">
        <f aca="false">J171/$R$3</f>
        <v>4.424</v>
      </c>
      <c r="T171" s="114" t="n">
        <f aca="false">L171/$R$3</f>
        <v>0</v>
      </c>
      <c r="U171" s="114" t="n">
        <f aca="false">I171/$R$3</f>
        <v>63.774</v>
      </c>
      <c r="V171" s="114" t="n">
        <f aca="false">M171/$R$3</f>
        <v>44.481</v>
      </c>
      <c r="W171" s="114" t="n">
        <f aca="false">N171/$R$3</f>
        <v>528.667665417804</v>
      </c>
    </row>
    <row r="172" customFormat="false" ht="12.75" hidden="true" customHeight="false" outlineLevel="0" collapsed="false">
      <c r="A172" s="108" t="n">
        <f aca="false">A171+1</f>
        <v>37058</v>
      </c>
      <c r="B172" s="119" t="str">
        <f aca="false">INDEX('Master Data'!$A$2:$B$8,MATCH(WEEKDAY('EZE Power Trading'!A172,3),'Master Data'!$A$2:$A$8,0),2)</f>
        <v>Sa</v>
      </c>
      <c r="D172" s="112" t="n">
        <v>0</v>
      </c>
      <c r="E172" s="112" t="n">
        <v>0</v>
      </c>
      <c r="F172" s="112" t="n">
        <v>0</v>
      </c>
      <c r="G172" s="112" t="n">
        <v>0</v>
      </c>
      <c r="I172" s="112" t="n">
        <f aca="false">IF(MONTH($A172)=MONTH($A171),IF(G172=0,I171,G172),G172)</f>
        <v>63774</v>
      </c>
      <c r="J172" s="112" t="n">
        <f aca="false">IF(MONTH($A172)=MONTH($A171),SUM(I172-I171),I172)</f>
        <v>0</v>
      </c>
      <c r="K172" s="112" t="n">
        <f aca="false">IF(WEEKDAY(A172,3)&gt;4,0,(IF(A172&lt;K$2,0,IF(A172&lt;=K$3,1,0))))</f>
        <v>0</v>
      </c>
      <c r="L172" s="112" t="n">
        <f aca="false">J172*K172</f>
        <v>0</v>
      </c>
      <c r="M172" s="112" t="n">
        <f aca="false">SUM(J$97:J172)</f>
        <v>44481</v>
      </c>
      <c r="N172" s="112" t="n">
        <f aca="false">SUM(J$6:J172)</f>
        <v>528667.665417804</v>
      </c>
      <c r="P172" s="112" t="n">
        <f aca="false">D172/P$3</f>
        <v>0</v>
      </c>
      <c r="Q172" s="112" t="n">
        <f aca="false">E172/P$3</f>
        <v>0</v>
      </c>
      <c r="R172" s="112" t="n">
        <f aca="false">F172/R$3</f>
        <v>0</v>
      </c>
      <c r="S172" s="114" t="n">
        <f aca="false">J172/$R$3</f>
        <v>0</v>
      </c>
      <c r="T172" s="114" t="n">
        <f aca="false">L172/$R$3</f>
        <v>0</v>
      </c>
      <c r="U172" s="114" t="n">
        <f aca="false">I172/$R$3</f>
        <v>63.774</v>
      </c>
      <c r="V172" s="114" t="n">
        <f aca="false">M172/$R$3</f>
        <v>44.481</v>
      </c>
      <c r="W172" s="114" t="n">
        <f aca="false">N172/$R$3</f>
        <v>528.667665417804</v>
      </c>
    </row>
    <row r="173" customFormat="false" ht="12.75" hidden="true" customHeight="false" outlineLevel="0" collapsed="false">
      <c r="A173" s="108" t="n">
        <f aca="false">A172+1</f>
        <v>37059</v>
      </c>
      <c r="B173" s="119" t="str">
        <f aca="false">INDEX('Master Data'!$A$2:$B$8,MATCH(WEEKDAY('EZE Power Trading'!A173,3),'Master Data'!$A$2:$A$8,0),2)</f>
        <v>Su</v>
      </c>
      <c r="D173" s="112" t="n">
        <v>0</v>
      </c>
      <c r="E173" s="112" t="n">
        <v>0</v>
      </c>
      <c r="F173" s="112" t="n">
        <v>0</v>
      </c>
      <c r="G173" s="112" t="n">
        <v>0</v>
      </c>
      <c r="I173" s="112" t="n">
        <f aca="false">IF(MONTH($A173)=MONTH($A172),IF(G173=0,I172,G173),G173)</f>
        <v>63774</v>
      </c>
      <c r="J173" s="112" t="n">
        <f aca="false">IF(MONTH($A173)=MONTH($A172),SUM(I173-I172),I173)</f>
        <v>0</v>
      </c>
      <c r="K173" s="112" t="n">
        <f aca="false">IF(WEEKDAY(A173,3)&gt;4,0,(IF(A173&lt;K$2,0,IF(A173&lt;=K$3,1,0))))</f>
        <v>0</v>
      </c>
      <c r="L173" s="112" t="n">
        <f aca="false">J173*K173</f>
        <v>0</v>
      </c>
      <c r="M173" s="112" t="n">
        <f aca="false">SUM(J$97:J173)</f>
        <v>44481</v>
      </c>
      <c r="N173" s="112" t="n">
        <f aca="false">SUM(J$6:J173)</f>
        <v>528667.665417804</v>
      </c>
      <c r="P173" s="112" t="n">
        <f aca="false">D173/P$3</f>
        <v>0</v>
      </c>
      <c r="Q173" s="112" t="n">
        <f aca="false">E173/P$3</f>
        <v>0</v>
      </c>
      <c r="R173" s="112" t="n">
        <f aca="false">F173/R$3</f>
        <v>0</v>
      </c>
      <c r="S173" s="114" t="n">
        <f aca="false">J173/$R$3</f>
        <v>0</v>
      </c>
      <c r="T173" s="114" t="n">
        <f aca="false">L173/$R$3</f>
        <v>0</v>
      </c>
      <c r="U173" s="114" t="n">
        <f aca="false">I173/$R$3</f>
        <v>63.774</v>
      </c>
      <c r="V173" s="114" t="n">
        <f aca="false">M173/$R$3</f>
        <v>44.481</v>
      </c>
      <c r="W173" s="114" t="n">
        <f aca="false">N173/$R$3</f>
        <v>528.667665417804</v>
      </c>
    </row>
    <row r="174" customFormat="false" ht="12.75" hidden="true" customHeight="false" outlineLevel="0" collapsed="false">
      <c r="A174" s="108" t="n">
        <f aca="false">A173+1</f>
        <v>37060</v>
      </c>
      <c r="B174" s="119" t="str">
        <f aca="false">INDEX('Master Data'!$A$2:$B$8,MATCH(WEEKDAY('EZE Power Trading'!A174,3),'Master Data'!$A$2:$A$8,0),2)</f>
        <v>M</v>
      </c>
      <c r="D174" s="112" t="n">
        <v>-166866.506061383</v>
      </c>
      <c r="E174" s="112" t="n">
        <v>401854.814009088</v>
      </c>
      <c r="F174" s="112" t="n">
        <v>0</v>
      </c>
      <c r="G174" s="112" t="n">
        <f aca="false">63768+506</f>
        <v>64274</v>
      </c>
      <c r="I174" s="112" t="n">
        <f aca="false">IF(MONTH($A174)=MONTH($A173),IF(G174=0,I173,G174),G174)</f>
        <v>64274</v>
      </c>
      <c r="J174" s="112" t="n">
        <f aca="false">IF(MONTH($A174)=MONTH($A173),SUM(I174-I173),I174)</f>
        <v>500</v>
      </c>
      <c r="K174" s="112" t="n">
        <f aca="false">IF(WEEKDAY(A174,3)&gt;4,0,(IF(A174&lt;K$2,0,IF(A174&lt;=K$3,1,0))))</f>
        <v>0</v>
      </c>
      <c r="L174" s="112" t="n">
        <f aca="false">J174*K174</f>
        <v>0</v>
      </c>
      <c r="M174" s="112" t="n">
        <f aca="false">SUM(J$97:J174)</f>
        <v>44981</v>
      </c>
      <c r="N174" s="112" t="n">
        <f aca="false">SUM(J$6:J174)</f>
        <v>529167.665417804</v>
      </c>
      <c r="P174" s="112" t="n">
        <f aca="false">D174/P$3</f>
        <v>-0.166866506061383</v>
      </c>
      <c r="Q174" s="112" t="n">
        <f aca="false">E174/P$3</f>
        <v>0.401854814009088</v>
      </c>
      <c r="R174" s="112" t="n">
        <f aca="false">F174/R$3</f>
        <v>0</v>
      </c>
      <c r="S174" s="114" t="n">
        <f aca="false">J174/$R$3</f>
        <v>0.5</v>
      </c>
      <c r="T174" s="114" t="n">
        <f aca="false">L174/$R$3</f>
        <v>0</v>
      </c>
      <c r="U174" s="114" t="n">
        <f aca="false">I174/$R$3</f>
        <v>64.274</v>
      </c>
      <c r="V174" s="114" t="n">
        <f aca="false">M174/$R$3</f>
        <v>44.981</v>
      </c>
      <c r="W174" s="114" t="n">
        <f aca="false">N174/$R$3</f>
        <v>529.167665417804</v>
      </c>
    </row>
    <row r="175" customFormat="false" ht="12.75" hidden="true" customHeight="false" outlineLevel="0" collapsed="false">
      <c r="A175" s="108" t="n">
        <f aca="false">A174+1</f>
        <v>37061</v>
      </c>
      <c r="B175" s="119" t="str">
        <f aca="false">INDEX('Master Data'!$A$2:$B$8,MATCH(WEEKDAY('EZE Power Trading'!A175,3),'Master Data'!$A$2:$A$8,0),2)</f>
        <v>T</v>
      </c>
      <c r="D175" s="112" t="n">
        <v>-166759.572110707</v>
      </c>
      <c r="E175" s="112" t="n">
        <v>402350.90233</v>
      </c>
      <c r="F175" s="112" t="n">
        <v>0</v>
      </c>
      <c r="G175" s="112" t="n">
        <f aca="false">248074-176727</f>
        <v>71347</v>
      </c>
      <c r="I175" s="112" t="n">
        <f aca="false">IF(MONTH($A175)=MONTH($A174),IF(G175=0,I174,G175),G175)</f>
        <v>71347</v>
      </c>
      <c r="J175" s="112" t="n">
        <f aca="false">IF(MONTH($A175)=MONTH($A174),SUM(I175-I174),I175)</f>
        <v>7073</v>
      </c>
      <c r="K175" s="112" t="n">
        <f aca="false">IF(WEEKDAY(A175,3)&gt;4,0,(IF(A175&lt;K$2,0,IF(A175&lt;=K$3,1,0))))</f>
        <v>0</v>
      </c>
      <c r="L175" s="112" t="n">
        <f aca="false">J175*K175</f>
        <v>0</v>
      </c>
      <c r="M175" s="112" t="n">
        <f aca="false">SUM(J$97:J175)</f>
        <v>52054</v>
      </c>
      <c r="N175" s="112" t="n">
        <f aca="false">SUM(J$6:J175)</f>
        <v>536240.665417804</v>
      </c>
      <c r="P175" s="112" t="n">
        <f aca="false">D175/P$3</f>
        <v>-0.166759572110707</v>
      </c>
      <c r="Q175" s="112" t="n">
        <f aca="false">E175/P$3</f>
        <v>0.40235090233</v>
      </c>
      <c r="R175" s="112" t="n">
        <f aca="false">F175/R$3</f>
        <v>0</v>
      </c>
      <c r="S175" s="114" t="n">
        <f aca="false">J175/$R$3</f>
        <v>7.073</v>
      </c>
      <c r="T175" s="114" t="n">
        <f aca="false">L175/$R$3</f>
        <v>0</v>
      </c>
      <c r="U175" s="114" t="n">
        <f aca="false">I175/$R$3</f>
        <v>71.347</v>
      </c>
      <c r="V175" s="114" t="n">
        <f aca="false">M175/$R$3</f>
        <v>52.054</v>
      </c>
      <c r="W175" s="114" t="n">
        <f aca="false">N175/$R$3</f>
        <v>536.240665417804</v>
      </c>
    </row>
    <row r="176" customFormat="false" ht="12.75" hidden="true" customHeight="false" outlineLevel="0" collapsed="false">
      <c r="A176" s="108" t="n">
        <f aca="false">A175+1</f>
        <v>37062</v>
      </c>
      <c r="B176" s="119" t="str">
        <f aca="false">INDEX('Master Data'!$A$2:$B$8,MATCH(WEEKDAY('EZE Power Trading'!A176,3),'Master Data'!$A$2:$A$8,0),2)</f>
        <v>W</v>
      </c>
      <c r="D176" s="112" t="n">
        <v>-166981.101662315</v>
      </c>
      <c r="E176" s="112" t="n">
        <v>405521.845212113</v>
      </c>
      <c r="F176" s="112" t="n">
        <v>0</v>
      </c>
      <c r="G176" s="112" t="n">
        <f aca="false">248342-178131</f>
        <v>70211</v>
      </c>
      <c r="I176" s="112" t="n">
        <f aca="false">IF(MONTH($A176)=MONTH($A175),IF(G176=0,I175,G176),G176)</f>
        <v>70211</v>
      </c>
      <c r="J176" s="112" t="n">
        <f aca="false">IF(MONTH($A176)=MONTH($A175),SUM(I176-I175),I176)</f>
        <v>-1136</v>
      </c>
      <c r="K176" s="112" t="n">
        <f aca="false">IF(WEEKDAY(A176,3)&gt;4,0,(IF(A176&lt;K$2,0,IF(A176&lt;=K$3,1,0))))</f>
        <v>0</v>
      </c>
      <c r="L176" s="112" t="n">
        <f aca="false">J176*K176</f>
        <v>-0</v>
      </c>
      <c r="M176" s="112" t="n">
        <f aca="false">SUM(J$97:J176)</f>
        <v>50918</v>
      </c>
      <c r="N176" s="112" t="n">
        <f aca="false">SUM(J$6:J176)</f>
        <v>535104.665417804</v>
      </c>
      <c r="P176" s="112" t="n">
        <f aca="false">D176/P$3</f>
        <v>-0.166981101662315</v>
      </c>
      <c r="Q176" s="112" t="n">
        <f aca="false">E176/P$3</f>
        <v>0.405521845212113</v>
      </c>
      <c r="R176" s="112" t="n">
        <f aca="false">F176/R$3</f>
        <v>0</v>
      </c>
      <c r="S176" s="114" t="n">
        <f aca="false">J176/$R$3</f>
        <v>-1.136</v>
      </c>
      <c r="T176" s="114" t="n">
        <f aca="false">L176/$R$3</f>
        <v>-0</v>
      </c>
      <c r="U176" s="114" t="n">
        <f aca="false">I176/$R$3</f>
        <v>70.211</v>
      </c>
      <c r="V176" s="114" t="n">
        <f aca="false">M176/$R$3</f>
        <v>50.918</v>
      </c>
      <c r="W176" s="114" t="n">
        <f aca="false">N176/$R$3</f>
        <v>535.104665417803</v>
      </c>
    </row>
    <row r="177" customFormat="false" ht="12.75" hidden="true" customHeight="false" outlineLevel="0" collapsed="false">
      <c r="A177" s="108" t="n">
        <f aca="false">A176+1</f>
        <v>37063</v>
      </c>
      <c r="B177" s="119" t="str">
        <f aca="false">INDEX('Master Data'!$A$2:$B$8,MATCH(WEEKDAY('EZE Power Trading'!A177,3),'Master Data'!$A$2:$A$8,0),2)</f>
        <v>Th</v>
      </c>
      <c r="D177" s="112" t="n">
        <v>-166461.091877113</v>
      </c>
      <c r="E177" s="112" t="n">
        <v>403056.512866292</v>
      </c>
      <c r="F177" s="112" t="n">
        <v>0</v>
      </c>
      <c r="G177" s="112" t="n">
        <f aca="false">238538-171101</f>
        <v>67437</v>
      </c>
      <c r="I177" s="112" t="n">
        <f aca="false">IF(MONTH($A177)=MONTH($A176),IF(G177=0,I176,G177),G177)</f>
        <v>67437</v>
      </c>
      <c r="J177" s="112" t="n">
        <f aca="false">IF(MONTH($A177)=MONTH($A176),SUM(I177-I176),I177)</f>
        <v>-2774</v>
      </c>
      <c r="K177" s="112" t="n">
        <f aca="false">IF(WEEKDAY(A177,3)&gt;4,0,(IF(A177&lt;K$2,0,IF(A177&lt;=K$3,1,0))))</f>
        <v>0</v>
      </c>
      <c r="L177" s="112" t="n">
        <f aca="false">J177*K177</f>
        <v>-0</v>
      </c>
      <c r="M177" s="112" t="n">
        <f aca="false">SUM(J$97:J177)</f>
        <v>48144</v>
      </c>
      <c r="N177" s="112" t="n">
        <f aca="false">SUM(J$6:J177)</f>
        <v>532330.665417804</v>
      </c>
      <c r="P177" s="112" t="n">
        <f aca="false">D177/P$3</f>
        <v>-0.166461091877113</v>
      </c>
      <c r="Q177" s="112" t="n">
        <f aca="false">E177/P$3</f>
        <v>0.403056512866292</v>
      </c>
      <c r="R177" s="112" t="n">
        <f aca="false">F177/R$3</f>
        <v>0</v>
      </c>
      <c r="S177" s="114" t="n">
        <f aca="false">J177/$R$3</f>
        <v>-2.774</v>
      </c>
      <c r="T177" s="114" t="n">
        <f aca="false">L177/$R$3</f>
        <v>-0</v>
      </c>
      <c r="U177" s="114" t="n">
        <f aca="false">I177/$R$3</f>
        <v>67.437</v>
      </c>
      <c r="V177" s="114" t="n">
        <f aca="false">M177/$R$3</f>
        <v>48.144</v>
      </c>
      <c r="W177" s="114" t="n">
        <f aca="false">N177/$R$3</f>
        <v>532.330665417803</v>
      </c>
    </row>
    <row r="178" customFormat="false" ht="12.75" hidden="true" customHeight="false" outlineLevel="0" collapsed="false">
      <c r="A178" s="108" t="n">
        <f aca="false">A177+1</f>
        <v>37064</v>
      </c>
      <c r="B178" s="119" t="str">
        <f aca="false">INDEX('Master Data'!$A$2:$B$8,MATCH(WEEKDAY('EZE Power Trading'!A178,3),'Master Data'!$A$2:$A$8,0),2)</f>
        <v>F</v>
      </c>
      <c r="D178" s="112" t="n">
        <v>-166211.577873382</v>
      </c>
      <c r="E178" s="112" t="n">
        <v>402783.924301286</v>
      </c>
      <c r="F178" s="112" t="n">
        <v>0</v>
      </c>
      <c r="G178" s="112" t="n">
        <f aca="false">66989+506</f>
        <v>67495</v>
      </c>
      <c r="I178" s="112" t="n">
        <f aca="false">IF(MONTH($A178)=MONTH($A177),IF(G178=0,I177,G178),G178)</f>
        <v>67495</v>
      </c>
      <c r="J178" s="112" t="n">
        <f aca="false">IF(MONTH($A178)=MONTH($A177),SUM(I178-I177),I178)</f>
        <v>58</v>
      </c>
      <c r="K178" s="112" t="n">
        <f aca="false">IF(WEEKDAY(A178,3)&gt;4,0,(IF(A178&lt;K$2,0,IF(A178&lt;=K$3,1,0))))</f>
        <v>0</v>
      </c>
      <c r="L178" s="112" t="n">
        <f aca="false">J178*K178</f>
        <v>0</v>
      </c>
      <c r="M178" s="112" t="n">
        <f aca="false">SUM(J$97:J178)</f>
        <v>48202</v>
      </c>
      <c r="N178" s="112" t="n">
        <f aca="false">SUM(J$6:J178)</f>
        <v>532388.665417804</v>
      </c>
      <c r="P178" s="112" t="n">
        <f aca="false">D178/P$3</f>
        <v>-0.166211577873382</v>
      </c>
      <c r="Q178" s="112" t="n">
        <f aca="false">E178/P$3</f>
        <v>0.402783924301286</v>
      </c>
      <c r="R178" s="112" t="n">
        <f aca="false">F178/R$3</f>
        <v>0</v>
      </c>
      <c r="S178" s="114" t="n">
        <f aca="false">J178/$R$3</f>
        <v>0.058</v>
      </c>
      <c r="T178" s="114" t="n">
        <f aca="false">L178/$R$3</f>
        <v>0</v>
      </c>
      <c r="U178" s="114" t="n">
        <f aca="false">I178/$R$3</f>
        <v>67.495</v>
      </c>
      <c r="V178" s="114" t="n">
        <f aca="false">M178/$R$3</f>
        <v>48.202</v>
      </c>
      <c r="W178" s="114" t="n">
        <f aca="false">N178/$R$3</f>
        <v>532.388665417803</v>
      </c>
    </row>
    <row r="179" customFormat="false" ht="12.75" hidden="true" customHeight="false" outlineLevel="0" collapsed="false">
      <c r="A179" s="108" t="n">
        <f aca="false">A178+1</f>
        <v>37065</v>
      </c>
      <c r="B179" s="119" t="str">
        <f aca="false">INDEX('Master Data'!$A$2:$B$8,MATCH(WEEKDAY('EZE Power Trading'!A179,3),'Master Data'!$A$2:$A$8,0),2)</f>
        <v>Sa</v>
      </c>
      <c r="D179" s="112" t="n">
        <v>0</v>
      </c>
      <c r="E179" s="112" t="n">
        <v>0</v>
      </c>
      <c r="F179" s="112" t="n">
        <v>0</v>
      </c>
      <c r="G179" s="112" t="n">
        <v>0</v>
      </c>
      <c r="I179" s="112" t="n">
        <f aca="false">IF(MONTH($A179)=MONTH($A178),IF(G179=0,I178,G179),G179)</f>
        <v>67495</v>
      </c>
      <c r="J179" s="112" t="n">
        <f aca="false">IF(MONTH($A179)=MONTH($A178),SUM(I179-I178),I179)</f>
        <v>0</v>
      </c>
      <c r="K179" s="112" t="n">
        <f aca="false">IF(WEEKDAY(A179,3)&gt;4,0,(IF(A179&lt;K$2,0,IF(A179&lt;=K$3,1,0))))</f>
        <v>0</v>
      </c>
      <c r="L179" s="112" t="n">
        <f aca="false">J179*K179</f>
        <v>0</v>
      </c>
      <c r="M179" s="112" t="n">
        <f aca="false">SUM(J$97:J179)</f>
        <v>48202</v>
      </c>
      <c r="N179" s="112" t="n">
        <f aca="false">SUM(J$6:J179)</f>
        <v>532388.665417804</v>
      </c>
      <c r="P179" s="112" t="n">
        <f aca="false">D179/P$3</f>
        <v>0</v>
      </c>
      <c r="Q179" s="112" t="n">
        <f aca="false">E179/P$3</f>
        <v>0</v>
      </c>
      <c r="R179" s="112" t="n">
        <f aca="false">F179/R$3</f>
        <v>0</v>
      </c>
      <c r="S179" s="114" t="n">
        <f aca="false">J179/$R$3</f>
        <v>0</v>
      </c>
      <c r="T179" s="114" t="n">
        <f aca="false">L179/$R$3</f>
        <v>0</v>
      </c>
      <c r="U179" s="114" t="n">
        <f aca="false">I179/$R$3</f>
        <v>67.495</v>
      </c>
      <c r="V179" s="114" t="n">
        <f aca="false">M179/$R$3</f>
        <v>48.202</v>
      </c>
      <c r="W179" s="114" t="n">
        <f aca="false">N179/$R$3</f>
        <v>532.388665417803</v>
      </c>
    </row>
    <row r="180" customFormat="false" ht="12.75" hidden="true" customHeight="false" outlineLevel="0" collapsed="false">
      <c r="A180" s="108" t="n">
        <f aca="false">A179+1</f>
        <v>37066</v>
      </c>
      <c r="B180" s="119" t="str">
        <f aca="false">INDEX('Master Data'!$A$2:$B$8,MATCH(WEEKDAY('EZE Power Trading'!A180,3),'Master Data'!$A$2:$A$8,0),2)</f>
        <v>Su</v>
      </c>
      <c r="D180" s="112" t="n">
        <v>0</v>
      </c>
      <c r="E180" s="112" t="n">
        <v>0</v>
      </c>
      <c r="F180" s="112" t="n">
        <v>0</v>
      </c>
      <c r="G180" s="112" t="n">
        <v>0</v>
      </c>
      <c r="I180" s="112" t="n">
        <f aca="false">IF(MONTH($A180)=MONTH($A179),IF(G180=0,I179,G180),G180)</f>
        <v>67495</v>
      </c>
      <c r="J180" s="112" t="n">
        <f aca="false">IF(MONTH($A180)=MONTH($A179),SUM(I180-I179),I180)</f>
        <v>0</v>
      </c>
      <c r="K180" s="112" t="n">
        <f aca="false">IF(WEEKDAY(A180,3)&gt;4,0,(IF(A180&lt;K$2,0,IF(A180&lt;=K$3,1,0))))</f>
        <v>0</v>
      </c>
      <c r="L180" s="112" t="n">
        <f aca="false">J180*K180</f>
        <v>0</v>
      </c>
      <c r="M180" s="112" t="n">
        <f aca="false">SUM(J$97:J180)</f>
        <v>48202</v>
      </c>
      <c r="N180" s="112" t="n">
        <f aca="false">SUM(J$6:J180)</f>
        <v>532388.665417804</v>
      </c>
      <c r="P180" s="112" t="n">
        <f aca="false">D180/P$3</f>
        <v>0</v>
      </c>
      <c r="Q180" s="112" t="n">
        <f aca="false">E180/P$3</f>
        <v>0</v>
      </c>
      <c r="R180" s="112" t="n">
        <f aca="false">F180/R$3</f>
        <v>0</v>
      </c>
      <c r="S180" s="114" t="n">
        <f aca="false">J180/$R$3</f>
        <v>0</v>
      </c>
      <c r="T180" s="114" t="n">
        <f aca="false">L180/$R$3</f>
        <v>0</v>
      </c>
      <c r="U180" s="114" t="n">
        <f aca="false">I180/$R$3</f>
        <v>67.495</v>
      </c>
      <c r="V180" s="114" t="n">
        <f aca="false">M180/$R$3</f>
        <v>48.202</v>
      </c>
      <c r="W180" s="114" t="n">
        <f aca="false">N180/$R$3</f>
        <v>532.388665417803</v>
      </c>
    </row>
    <row r="181" customFormat="false" ht="12.75" hidden="true" customHeight="false" outlineLevel="0" collapsed="false">
      <c r="A181" s="108" t="n">
        <f aca="false">A180+1</f>
        <v>37067</v>
      </c>
      <c r="B181" s="119" t="str">
        <f aca="false">INDEX('Master Data'!$A$2:$B$8,MATCH(WEEKDAY('EZE Power Trading'!A181,3),'Master Data'!$A$2:$A$8,0),2)</f>
        <v>M</v>
      </c>
      <c r="D181" s="112" t="n">
        <v>-165753.249197801</v>
      </c>
      <c r="E181" s="112" t="n">
        <v>403743.992059234</v>
      </c>
      <c r="F181" s="112" t="n">
        <v>0</v>
      </c>
      <c r="G181" s="112" t="n">
        <f aca="false">238650-167527</f>
        <v>71123</v>
      </c>
      <c r="I181" s="112" t="n">
        <f aca="false">IF(MONTH($A181)=MONTH($A180),IF(G181=0,I180,G181),G181)</f>
        <v>71123</v>
      </c>
      <c r="J181" s="112" t="n">
        <f aca="false">IF(MONTH($A181)=MONTH($A180),SUM(I181-I180),I181)</f>
        <v>3628</v>
      </c>
      <c r="K181" s="112" t="n">
        <f aca="false">IF(WEEKDAY(A181,3)&gt;4,0,(IF(A181&lt;K$2,0,IF(A181&lt;=K$3,1,0))))</f>
        <v>0</v>
      </c>
      <c r="L181" s="112" t="n">
        <f aca="false">J181*K181</f>
        <v>0</v>
      </c>
      <c r="M181" s="112" t="n">
        <f aca="false">SUM(J$97:J181)</f>
        <v>51830</v>
      </c>
      <c r="N181" s="112" t="n">
        <f aca="false">SUM(J$6:J181)</f>
        <v>536016.665417804</v>
      </c>
      <c r="P181" s="112" t="n">
        <f aca="false">D181/P$3</f>
        <v>-0.165753249197801</v>
      </c>
      <c r="Q181" s="112" t="n">
        <f aca="false">E181/P$3</f>
        <v>0.403743992059234</v>
      </c>
      <c r="R181" s="112" t="n">
        <f aca="false">F181/R$3</f>
        <v>0</v>
      </c>
      <c r="S181" s="114" t="n">
        <f aca="false">J181/$R$3</f>
        <v>3.628</v>
      </c>
      <c r="T181" s="114" t="n">
        <f aca="false">L181/$R$3</f>
        <v>0</v>
      </c>
      <c r="U181" s="114" t="n">
        <f aca="false">I181/$R$3</f>
        <v>71.123</v>
      </c>
      <c r="V181" s="114" t="n">
        <f aca="false">M181/$R$3</f>
        <v>51.83</v>
      </c>
      <c r="W181" s="114" t="n">
        <f aca="false">N181/$R$3</f>
        <v>536.016665417803</v>
      </c>
    </row>
    <row r="182" customFormat="false" ht="12.75" hidden="true" customHeight="false" outlineLevel="0" collapsed="false">
      <c r="A182" s="108" t="n">
        <f aca="false">A181+1</f>
        <v>37068</v>
      </c>
      <c r="B182" s="119" t="str">
        <f aca="false">INDEX('Master Data'!$A$2:$B$8,MATCH(WEEKDAY('EZE Power Trading'!A182,3),'Master Data'!$A$2:$A$8,0),2)</f>
        <v>T</v>
      </c>
      <c r="D182" s="112" t="n">
        <v>-165543.290108341</v>
      </c>
      <c r="E182" s="112" t="n">
        <v>403662.360369349</v>
      </c>
      <c r="F182" s="112" t="n">
        <v>0</v>
      </c>
      <c r="G182" s="112" t="n">
        <f aca="false">237395-167791</f>
        <v>69604</v>
      </c>
      <c r="I182" s="112" t="n">
        <f aca="false">IF(MONTH($A182)=MONTH($A181),IF(G182=0,I181,G182),G182)</f>
        <v>69604</v>
      </c>
      <c r="J182" s="112" t="n">
        <f aca="false">IF(MONTH($A182)=MONTH($A181),SUM(I182-I181),I182)</f>
        <v>-1519</v>
      </c>
      <c r="K182" s="112" t="n">
        <f aca="false">IF(WEEKDAY(A182,3)&gt;4,0,(IF(A182&lt;K$2,0,IF(A182&lt;=K$3,1,0))))</f>
        <v>0</v>
      </c>
      <c r="L182" s="112" t="n">
        <f aca="false">J182*K182</f>
        <v>-0</v>
      </c>
      <c r="M182" s="112" t="n">
        <f aca="false">SUM(J$97:J182)</f>
        <v>50311</v>
      </c>
      <c r="N182" s="112" t="n">
        <f aca="false">SUM(J$6:J182)</f>
        <v>534497.665417804</v>
      </c>
      <c r="P182" s="112" t="n">
        <f aca="false">D182/P$3</f>
        <v>-0.165543290108341</v>
      </c>
      <c r="Q182" s="112" t="n">
        <f aca="false">E182/P$3</f>
        <v>0.403662360369349</v>
      </c>
      <c r="R182" s="112" t="n">
        <f aca="false">F182/R$3</f>
        <v>0</v>
      </c>
      <c r="S182" s="114" t="n">
        <f aca="false">J182/$R$3</f>
        <v>-1.519</v>
      </c>
      <c r="T182" s="114" t="n">
        <f aca="false">L182/$R$3</f>
        <v>-0</v>
      </c>
      <c r="U182" s="114" t="n">
        <f aca="false">I182/$R$3</f>
        <v>69.604</v>
      </c>
      <c r="V182" s="114" t="n">
        <f aca="false">M182/$R$3</f>
        <v>50.311</v>
      </c>
      <c r="W182" s="114" t="n">
        <f aca="false">N182/$R$3</f>
        <v>534.497665417803</v>
      </c>
    </row>
    <row r="183" customFormat="false" ht="12.75" hidden="false" customHeight="false" outlineLevel="0" collapsed="false">
      <c r="A183" s="108" t="n">
        <f aca="false">A182+1</f>
        <v>37069</v>
      </c>
      <c r="B183" s="119" t="str">
        <f aca="false">INDEX('Master Data'!$A$2:$B$8,MATCH(WEEKDAY('EZE Power Trading'!A183,3),'Master Data'!$A$2:$A$8,0),2)</f>
        <v>W</v>
      </c>
      <c r="D183" s="112" t="n">
        <v>-165173.427932727</v>
      </c>
      <c r="E183" s="112" t="n">
        <v>402569.797341341</v>
      </c>
      <c r="F183" s="112" t="n">
        <v>0</v>
      </c>
      <c r="G183" s="112" t="n">
        <f aca="false">240076-173330</f>
        <v>66746</v>
      </c>
      <c r="I183" s="112" t="n">
        <f aca="false">IF(MONTH($A183)=MONTH($A182),IF(G183=0,I182,G183),G183)</f>
        <v>66746</v>
      </c>
      <c r="J183" s="112" t="n">
        <f aca="false">IF(MONTH($A183)=MONTH($A182),SUM(I183-I182),I183)</f>
        <v>-2858</v>
      </c>
      <c r="K183" s="112" t="n">
        <f aca="false">IF(WEEKDAY(A183,3)&gt;4,0,(IF(A183&lt;K$2,0,IF(A183&lt;=K$3,1,0))))</f>
        <v>0</v>
      </c>
      <c r="L183" s="112" t="n">
        <f aca="false">J183*K183</f>
        <v>-0</v>
      </c>
      <c r="M183" s="112" t="n">
        <f aca="false">SUM(J$97:J183)</f>
        <v>47453</v>
      </c>
      <c r="N183" s="112" t="n">
        <f aca="false">SUM(J$6:J183)</f>
        <v>531639.665417804</v>
      </c>
      <c r="P183" s="112" t="n">
        <f aca="false">D183/P$3</f>
        <v>-0.165173427932727</v>
      </c>
      <c r="Q183" s="131" t="n">
        <f aca="false">E183/P$3</f>
        <v>0.402569797341341</v>
      </c>
      <c r="R183" s="112" t="n">
        <f aca="false">F183/R$3</f>
        <v>0</v>
      </c>
      <c r="S183" s="114" t="n">
        <f aca="false">J183/$R$3</f>
        <v>-2.858</v>
      </c>
      <c r="T183" s="114" t="n">
        <f aca="false">L183/$R$3</f>
        <v>-0</v>
      </c>
      <c r="U183" s="114" t="n">
        <f aca="false">I183/$R$3</f>
        <v>66.746</v>
      </c>
      <c r="V183" s="114" t="n">
        <f aca="false">M183/$R$3</f>
        <v>47.453</v>
      </c>
      <c r="W183" s="114" t="n">
        <f aca="false">N183/$R$3</f>
        <v>531.639665417804</v>
      </c>
    </row>
    <row r="184" customFormat="false" ht="12.75" hidden="false" customHeight="false" outlineLevel="0" collapsed="false">
      <c r="A184" s="108" t="n">
        <f aca="false">A183+1</f>
        <v>37070</v>
      </c>
      <c r="B184" s="119" t="str">
        <f aca="false">INDEX('Master Data'!$A$2:$B$8,MATCH(WEEKDAY('EZE Power Trading'!A184,3),'Master Data'!$A$2:$A$8,0),2)</f>
        <v>Th</v>
      </c>
      <c r="D184" s="112" t="n">
        <v>-164830.015414692</v>
      </c>
      <c r="E184" s="112" t="n">
        <v>401600.41984565</v>
      </c>
      <c r="F184" s="112" t="n">
        <v>0</v>
      </c>
      <c r="G184" s="112" t="n">
        <f aca="false">240130-171359</f>
        <v>68771</v>
      </c>
      <c r="I184" s="112" t="n">
        <f aca="false">IF(MONTH($A184)=MONTH($A183),IF(G184=0,I183,G184),G184)</f>
        <v>68771</v>
      </c>
      <c r="J184" s="112" t="n">
        <f aca="false">IF(MONTH($A184)=MONTH($A183),SUM(I184-I183),I184)</f>
        <v>2025</v>
      </c>
      <c r="K184" s="112" t="n">
        <f aca="false">IF(WEEKDAY(A184,3)&gt;4,0,(IF(A184&lt;K$2,0,IF(A184&lt;=K$3,1,0))))</f>
        <v>0</v>
      </c>
      <c r="L184" s="112" t="n">
        <f aca="false">J184*K184</f>
        <v>0</v>
      </c>
      <c r="M184" s="112" t="n">
        <f aca="false">SUM(J$97:J184)</f>
        <v>49478</v>
      </c>
      <c r="N184" s="112" t="n">
        <f aca="false">SUM(J$6:J184)</f>
        <v>533664.665417804</v>
      </c>
      <c r="P184" s="112" t="n">
        <f aca="false">D184/P$3</f>
        <v>-0.164830015414692</v>
      </c>
      <c r="Q184" s="112" t="n">
        <f aca="false">E184/P$3</f>
        <v>0.40160041984565</v>
      </c>
      <c r="R184" s="112" t="n">
        <f aca="false">F184/R$3</f>
        <v>0</v>
      </c>
      <c r="S184" s="114" t="n">
        <f aca="false">J184/$R$3</f>
        <v>2.025</v>
      </c>
      <c r="T184" s="114" t="n">
        <f aca="false">L184/$R$3</f>
        <v>0</v>
      </c>
      <c r="U184" s="114" t="n">
        <f aca="false">I184/$R$3</f>
        <v>68.771</v>
      </c>
      <c r="V184" s="114" t="n">
        <f aca="false">M184/$R$3</f>
        <v>49.478</v>
      </c>
      <c r="W184" s="114" t="n">
        <f aca="false">N184/$R$3</f>
        <v>533.664665417804</v>
      </c>
    </row>
    <row r="185" customFormat="false" ht="12.75" hidden="false" customHeight="false" outlineLevel="0" collapsed="false">
      <c r="A185" s="108" t="n">
        <f aca="false">A184+1</f>
        <v>37071</v>
      </c>
      <c r="B185" s="119" t="str">
        <f aca="false">INDEX('Master Data'!$A$2:$B$8,MATCH(WEEKDAY('EZE Power Trading'!A185,3),'Master Data'!$A$2:$A$8,0),2)</f>
        <v>F</v>
      </c>
      <c r="D185" s="112" t="n">
        <v>-164138.922230154</v>
      </c>
      <c r="E185" s="112" t="n">
        <v>399765.383848512</v>
      </c>
      <c r="F185" s="112" t="n">
        <v>0</v>
      </c>
      <c r="G185" s="112" t="n">
        <f aca="false">244532-174792</f>
        <v>69740</v>
      </c>
      <c r="I185" s="112" t="n">
        <f aca="false">IF(MONTH($A185)=MONTH($A184),IF(G185=0,I184,G185),G185)</f>
        <v>69740</v>
      </c>
      <c r="J185" s="112" t="n">
        <f aca="false">IF(MONTH($A185)=MONTH($A184),SUM(I185-I184),I185)</f>
        <v>969</v>
      </c>
      <c r="K185" s="112" t="n">
        <f aca="false">IF(WEEKDAY(A185,3)&gt;4,0,(IF(A185&lt;K$2,0,IF(A185&lt;=K$3,1,0))))</f>
        <v>0</v>
      </c>
      <c r="L185" s="112" t="n">
        <f aca="false">J185*K185</f>
        <v>0</v>
      </c>
      <c r="M185" s="112" t="n">
        <f aca="false">SUM(J$97:J185)</f>
        <v>50447</v>
      </c>
      <c r="N185" s="112" t="n">
        <f aca="false">SUM(J$6:J185)</f>
        <v>534633.665417804</v>
      </c>
      <c r="P185" s="112" t="n">
        <f aca="false">D185/P$3</f>
        <v>-0.164138922230154</v>
      </c>
      <c r="Q185" s="112" t="n">
        <f aca="false">E185/P$3</f>
        <v>0.399765383848512</v>
      </c>
      <c r="R185" s="112" t="n">
        <f aca="false">F185/R$3</f>
        <v>0</v>
      </c>
      <c r="S185" s="114" t="n">
        <f aca="false">J185/$R$3</f>
        <v>0.969</v>
      </c>
      <c r="T185" s="114" t="n">
        <f aca="false">L185/$R$3</f>
        <v>0</v>
      </c>
      <c r="U185" s="114" t="n">
        <f aca="false">I185/$R$3</f>
        <v>69.74</v>
      </c>
      <c r="V185" s="114" t="n">
        <f aca="false">M185/$R$3</f>
        <v>50.447</v>
      </c>
      <c r="W185" s="114" t="n">
        <f aca="false">N185/$R$3</f>
        <v>534.633665417803</v>
      </c>
    </row>
    <row r="186" customFormat="false" ht="12.75" hidden="false" customHeight="false" outlineLevel="0" collapsed="false">
      <c r="A186" s="108" t="n">
        <f aca="false">A185+1</f>
        <v>37072</v>
      </c>
      <c r="B186" s="119" t="str">
        <f aca="false">INDEX('Master Data'!$A$2:$B$8,MATCH(WEEKDAY('EZE Power Trading'!A186,3),'Master Data'!$A$2:$A$8,0),2)</f>
        <v>Sa</v>
      </c>
      <c r="D186" s="112" t="n">
        <v>0</v>
      </c>
      <c r="E186" s="112" t="n">
        <v>0</v>
      </c>
      <c r="F186" s="112" t="n">
        <v>0</v>
      </c>
      <c r="G186" s="112" t="n">
        <v>0</v>
      </c>
      <c r="I186" s="112" t="n">
        <f aca="false">IF(MONTH($A186)=MONTH($A185),IF(G186=0,I185,G186),G186)</f>
        <v>69740</v>
      </c>
      <c r="J186" s="112" t="n">
        <f aca="false">IF(MONTH($A186)=MONTH($A185),SUM(I186-I185),I186)</f>
        <v>0</v>
      </c>
      <c r="K186" s="112" t="n">
        <f aca="false">IF(WEEKDAY(A186,3)&gt;4,0,(IF(A186&lt;K$2,0,IF(A186&lt;=K$3,1,0))))</f>
        <v>0</v>
      </c>
      <c r="L186" s="112" t="n">
        <f aca="false">J186*K186</f>
        <v>0</v>
      </c>
      <c r="M186" s="112" t="n">
        <f aca="false">SUM(J$97:J186)</f>
        <v>50447</v>
      </c>
      <c r="N186" s="112" t="n">
        <f aca="false">SUM(J$6:J186)</f>
        <v>534633.665417804</v>
      </c>
      <c r="P186" s="112" t="n">
        <f aca="false">D186/P$3</f>
        <v>0</v>
      </c>
      <c r="Q186" s="112" t="n">
        <f aca="false">E186/P$3</f>
        <v>0</v>
      </c>
      <c r="R186" s="112" t="n">
        <f aca="false">F186/R$3</f>
        <v>0</v>
      </c>
      <c r="S186" s="114" t="n">
        <f aca="false">J186/$R$3</f>
        <v>0</v>
      </c>
      <c r="T186" s="114" t="n">
        <f aca="false">L186/$R$3</f>
        <v>0</v>
      </c>
      <c r="U186" s="114" t="n">
        <f aca="false">I186/$R$3</f>
        <v>69.74</v>
      </c>
      <c r="V186" s="114" t="n">
        <f aca="false">M186/$R$3</f>
        <v>50.447</v>
      </c>
      <c r="W186" s="114" t="n">
        <f aca="false">N186/$R$3</f>
        <v>534.633665417803</v>
      </c>
    </row>
    <row r="187" customFormat="false" ht="12.75" hidden="false" customHeight="false" outlineLevel="0" collapsed="false">
      <c r="A187" s="108" t="n">
        <f aca="false">A186+1</f>
        <v>37073</v>
      </c>
      <c r="B187" s="119" t="str">
        <f aca="false">INDEX('Master Data'!$A$2:$B$8,MATCH(WEEKDAY('EZE Power Trading'!A187,3),'Master Data'!$A$2:$A$8,0),2)</f>
        <v>Su</v>
      </c>
      <c r="D187" s="112" t="n">
        <v>0</v>
      </c>
      <c r="E187" s="112" t="n">
        <v>0</v>
      </c>
      <c r="F187" s="112" t="n">
        <v>0</v>
      </c>
      <c r="G187" s="112" t="n">
        <v>0</v>
      </c>
      <c r="I187" s="112" t="n">
        <f aca="false">IF(MONTH($A187)=MONTH($A186),IF(G187=0,I186,G187),G187)</f>
        <v>0</v>
      </c>
      <c r="J187" s="112" t="n">
        <f aca="false">IF(MONTH($A187)=MONTH($A186),SUM(I187-I186),I187)</f>
        <v>0</v>
      </c>
      <c r="K187" s="112" t="n">
        <f aca="false">IF(WEEKDAY(A187,3)&gt;4,0,(IF(A187&lt;K$2,0,IF(A187&lt;=K$3,1,0))))</f>
        <v>0</v>
      </c>
      <c r="L187" s="112" t="n">
        <f aca="false">J187*K187</f>
        <v>0</v>
      </c>
      <c r="M187" s="112" t="n">
        <f aca="false">SUM(J$97:J187)</f>
        <v>50447</v>
      </c>
      <c r="N187" s="112" t="n">
        <f aca="false">SUM(J$6:J187)</f>
        <v>534633.665417804</v>
      </c>
      <c r="P187" s="112" t="n">
        <f aca="false">D187/P$3</f>
        <v>0</v>
      </c>
      <c r="Q187" s="112" t="n">
        <f aca="false">E187/P$3</f>
        <v>0</v>
      </c>
      <c r="R187" s="112" t="n">
        <f aca="false">F187/R$3</f>
        <v>0</v>
      </c>
      <c r="S187" s="114" t="n">
        <f aca="false">J187/$R$3</f>
        <v>0</v>
      </c>
      <c r="T187" s="114" t="n">
        <f aca="false">L187/$R$3</f>
        <v>0</v>
      </c>
      <c r="U187" s="114" t="n">
        <f aca="false">I187/$R$3</f>
        <v>0</v>
      </c>
      <c r="V187" s="114" t="n">
        <f aca="false">M187/$R$3</f>
        <v>50.447</v>
      </c>
      <c r="W187" s="114" t="n">
        <f aca="false">N187/$R$3</f>
        <v>534.633665417803</v>
      </c>
    </row>
    <row r="188" customFormat="false" ht="12.75" hidden="false" customHeight="false" outlineLevel="0" collapsed="false">
      <c r="A188" s="108" t="n">
        <f aca="false">A187+1</f>
        <v>37074</v>
      </c>
      <c r="B188" s="119" t="str">
        <f aca="false">INDEX('Master Data'!$A$2:$B$8,MATCH(WEEKDAY('EZE Power Trading'!A188,3),'Master Data'!$A$2:$A$8,0),2)</f>
        <v>M</v>
      </c>
      <c r="D188" s="112" t="n">
        <v>-163705.065039082</v>
      </c>
      <c r="E188" s="112" t="n">
        <v>399421.725435219</v>
      </c>
      <c r="F188" s="112" t="n">
        <v>0</v>
      </c>
      <c r="G188" s="112" t="n">
        <f aca="false">7853-143</f>
        <v>7710</v>
      </c>
      <c r="I188" s="112" t="n">
        <f aca="false">IF(MONTH($A188)=MONTH($A187),IF(G188=0,I187,G188),G188)</f>
        <v>7710</v>
      </c>
      <c r="J188" s="112" t="n">
        <f aca="false">IF(MONTH($A188)=MONTH($A187),SUM(I188-I187),I188)</f>
        <v>7710</v>
      </c>
      <c r="K188" s="112" t="n">
        <f aca="false">IF(WEEKDAY(A188,3)&gt;4,0,(IF(A188&lt;K$2,0,IF(A188&lt;=K$3,1,0))))</f>
        <v>0</v>
      </c>
      <c r="L188" s="112" t="n">
        <f aca="false">J188*K188</f>
        <v>0</v>
      </c>
      <c r="M188" s="112" t="n">
        <f aca="false">SUM(J$188:J188)</f>
        <v>7710</v>
      </c>
      <c r="N188" s="112" t="n">
        <f aca="false">SUM(J$6:J188)</f>
        <v>542343.665417804</v>
      </c>
      <c r="P188" s="112" t="n">
        <f aca="false">D188/P$3</f>
        <v>-0.163705065039082</v>
      </c>
      <c r="Q188" s="112" t="n">
        <f aca="false">E188/P$3</f>
        <v>0.399421725435219</v>
      </c>
      <c r="R188" s="112" t="n">
        <f aca="false">F188/R$3</f>
        <v>0</v>
      </c>
      <c r="S188" s="114" t="n">
        <f aca="false">J188/$R$3</f>
        <v>7.71</v>
      </c>
      <c r="T188" s="114" t="n">
        <f aca="false">L188/$R$3</f>
        <v>0</v>
      </c>
      <c r="U188" s="114" t="n">
        <f aca="false">I188/$R$3</f>
        <v>7.71</v>
      </c>
      <c r="V188" s="114" t="n">
        <f aca="false">M188/$R$3</f>
        <v>7.71</v>
      </c>
      <c r="W188" s="114" t="n">
        <f aca="false">N188/$R$3</f>
        <v>542.343665417803</v>
      </c>
    </row>
    <row r="189" customFormat="false" ht="12.75" hidden="false" customHeight="false" outlineLevel="0" collapsed="false">
      <c r="A189" s="108" t="n">
        <f aca="false">A188+1</f>
        <v>37075</v>
      </c>
      <c r="B189" s="119" t="str">
        <f aca="false">INDEX('Master Data'!$A$2:$B$8,MATCH(WEEKDAY('EZE Power Trading'!A189,3),'Master Data'!$A$2:$A$8,0),2)</f>
        <v>T</v>
      </c>
      <c r="D189" s="112" t="n">
        <v>-163619.807317515</v>
      </c>
      <c r="E189" s="112" t="n">
        <v>400261.380731156</v>
      </c>
      <c r="F189" s="112" t="n">
        <v>0</v>
      </c>
      <c r="G189" s="112" t="n">
        <f aca="false">32574-22009</f>
        <v>10565</v>
      </c>
      <c r="I189" s="112" t="n">
        <f aca="false">IF(MONTH($A189)=MONTH($A188),IF(G189=0,I188,G189),G189)</f>
        <v>10565</v>
      </c>
      <c r="J189" s="112" t="n">
        <f aca="false">IF(MONTH($A189)=MONTH($A188),SUM(I189-I188),I189)</f>
        <v>2855</v>
      </c>
      <c r="K189" s="112" t="n">
        <f aca="false">IF(WEEKDAY(A189,3)&gt;4,0,(IF(A189&lt;K$2,0,IF(A189&lt;=K$3,1,0))))</f>
        <v>1</v>
      </c>
      <c r="L189" s="112" t="n">
        <f aca="false">J189*K189</f>
        <v>2855</v>
      </c>
      <c r="M189" s="112" t="n">
        <f aca="false">SUM(J$188:J189)</f>
        <v>10565</v>
      </c>
      <c r="N189" s="112" t="n">
        <f aca="false">SUM(J$6:J189)</f>
        <v>545198.665417804</v>
      </c>
      <c r="P189" s="112" t="n">
        <f aca="false">D189/P$3</f>
        <v>-0.163619807317515</v>
      </c>
      <c r="Q189" s="112" t="n">
        <f aca="false">E189/P$3</f>
        <v>0.400261380731156</v>
      </c>
      <c r="R189" s="112" t="n">
        <f aca="false">F189/R$3</f>
        <v>0</v>
      </c>
      <c r="S189" s="114" t="n">
        <f aca="false">J189/$R$3</f>
        <v>2.855</v>
      </c>
      <c r="T189" s="114" t="n">
        <f aca="false">L189/$R$3</f>
        <v>2.855</v>
      </c>
      <c r="U189" s="114" t="n">
        <f aca="false">I189/$R$3</f>
        <v>10.565</v>
      </c>
      <c r="V189" s="114" t="n">
        <f aca="false">M189/$R$3</f>
        <v>10.565</v>
      </c>
      <c r="W189" s="114" t="n">
        <f aca="false">N189/$R$3</f>
        <v>545.198665417804</v>
      </c>
    </row>
    <row r="190" customFormat="false" ht="12.75" hidden="false" customHeight="false" outlineLevel="0" collapsed="false">
      <c r="A190" s="108" t="n">
        <f aca="false">A189+1</f>
        <v>37076</v>
      </c>
      <c r="B190" s="119" t="str">
        <f aca="false">INDEX('Master Data'!$A$2:$B$8,MATCH(WEEKDAY('EZE Power Trading'!A190,3),'Master Data'!$A$2:$A$8,0),2)</f>
        <v>W</v>
      </c>
      <c r="D190" s="112" t="n">
        <v>0</v>
      </c>
      <c r="E190" s="112" t="n">
        <v>0</v>
      </c>
      <c r="F190" s="112" t="n">
        <v>0</v>
      </c>
      <c r="G190" s="112" t="n">
        <v>0</v>
      </c>
      <c r="I190" s="112" t="n">
        <f aca="false">IF(MONTH($A190)=MONTH($A189),IF(G190=0,I189,G190),G190)</f>
        <v>10565</v>
      </c>
      <c r="J190" s="112" t="n">
        <f aca="false">IF(MONTH($A190)=MONTH($A189),SUM(I190-I189),I190)</f>
        <v>0</v>
      </c>
      <c r="K190" s="112" t="n">
        <f aca="false">IF(WEEKDAY(A190,3)&gt;4,0,(IF(A190&lt;K$2,0,IF(A190&lt;=K$3,1,0))))</f>
        <v>1</v>
      </c>
      <c r="L190" s="112" t="n">
        <f aca="false">J190*K190</f>
        <v>0</v>
      </c>
      <c r="M190" s="112" t="n">
        <f aca="false">SUM(J$188:J190)</f>
        <v>10565</v>
      </c>
      <c r="N190" s="112" t="n">
        <f aca="false">SUM(J$6:J190)</f>
        <v>545198.665417804</v>
      </c>
      <c r="P190" s="112" t="n">
        <f aca="false">D190/P$3</f>
        <v>0</v>
      </c>
      <c r="Q190" s="112" t="n">
        <f aca="false">E190/P$3</f>
        <v>0</v>
      </c>
      <c r="R190" s="112" t="n">
        <f aca="false">F190/R$3</f>
        <v>0</v>
      </c>
      <c r="S190" s="114" t="n">
        <f aca="false">J190/$R$3</f>
        <v>0</v>
      </c>
      <c r="T190" s="114" t="n">
        <f aca="false">L190/$R$3</f>
        <v>0</v>
      </c>
      <c r="U190" s="114" t="n">
        <f aca="false">I190/$R$3</f>
        <v>10.565</v>
      </c>
      <c r="V190" s="114" t="n">
        <f aca="false">M190/$R$3</f>
        <v>10.565</v>
      </c>
      <c r="W190" s="114" t="n">
        <f aca="false">N190/$R$3</f>
        <v>545.198665417804</v>
      </c>
    </row>
    <row r="191" customFormat="false" ht="12.75" hidden="false" customHeight="false" outlineLevel="0" collapsed="false">
      <c r="A191" s="108" t="n">
        <f aca="false">A190+1</f>
        <v>37077</v>
      </c>
      <c r="B191" s="119" t="str">
        <f aca="false">INDEX('Master Data'!$A$2:$B$8,MATCH(WEEKDAY('EZE Power Trading'!A191,3),'Master Data'!$A$2:$A$8,0),2)</f>
        <v>Th</v>
      </c>
      <c r="D191" s="112" t="n">
        <v>-163175.24625434</v>
      </c>
      <c r="E191" s="112" t="n">
        <v>400007.376282365</v>
      </c>
      <c r="F191" s="112" t="n">
        <v>0</v>
      </c>
      <c r="G191" s="112" t="n">
        <f aca="false">66444-46445</f>
        <v>19999</v>
      </c>
      <c r="I191" s="112" t="n">
        <f aca="false">IF(MONTH($A191)=MONTH($A190),IF(G191=0,I190,G191),G191)</f>
        <v>19999</v>
      </c>
      <c r="J191" s="112" t="n">
        <f aca="false">IF(MONTH($A191)=MONTH($A190),SUM(I191-I190),I191)</f>
        <v>9434</v>
      </c>
      <c r="K191" s="112" t="n">
        <f aca="false">IF(WEEKDAY(A191,3)&gt;4,0,(IF(A191&lt;K$2,0,IF(A191&lt;=K$3,1,0))))</f>
        <v>1</v>
      </c>
      <c r="L191" s="112" t="n">
        <f aca="false">J191*K191</f>
        <v>9434</v>
      </c>
      <c r="M191" s="112" t="n">
        <f aca="false">SUM(J$188:J191)</f>
        <v>19999</v>
      </c>
      <c r="N191" s="112" t="n">
        <f aca="false">SUM(J$6:J191)</f>
        <v>554632.665417804</v>
      </c>
      <c r="P191" s="112" t="n">
        <f aca="false">D191/P$3</f>
        <v>-0.16317524625434</v>
      </c>
      <c r="Q191" s="112" t="n">
        <f aca="false">E191/P$3</f>
        <v>0.400007376282365</v>
      </c>
      <c r="R191" s="112" t="n">
        <f aca="false">F191/R$3</f>
        <v>0</v>
      </c>
      <c r="S191" s="114" t="n">
        <f aca="false">J191/$R$3</f>
        <v>9.434</v>
      </c>
      <c r="T191" s="114" t="n">
        <f aca="false">L191/$R$3</f>
        <v>9.434</v>
      </c>
      <c r="U191" s="114" t="n">
        <f aca="false">I191/$R$3</f>
        <v>19.999</v>
      </c>
      <c r="V191" s="114" t="n">
        <f aca="false">M191/$R$3</f>
        <v>19.999</v>
      </c>
      <c r="W191" s="114" t="n">
        <f aca="false">N191/$R$3</f>
        <v>554.632665417803</v>
      </c>
    </row>
    <row r="192" customFormat="false" ht="12.75" hidden="false" customHeight="false" outlineLevel="0" collapsed="false">
      <c r="A192" s="108" t="n">
        <f aca="false">A191+1</f>
        <v>37078</v>
      </c>
      <c r="B192" s="119" t="str">
        <f aca="false">INDEX('Master Data'!$A$2:$B$8,MATCH(WEEKDAY('EZE Power Trading'!A192,3),'Master Data'!$A$2:$A$8,0),2)</f>
        <v>F</v>
      </c>
      <c r="D192" s="112" t="n">
        <v>-162948.347160183</v>
      </c>
      <c r="E192" s="112"/>
      <c r="F192" s="112" t="n">
        <v>0</v>
      </c>
      <c r="G192" s="112" t="n">
        <f aca="false">84690-60107</f>
        <v>24583</v>
      </c>
      <c r="I192" s="112" t="n">
        <f aca="false">IF(MONTH($A192)=MONTH($A191),IF(G192=0,I191,G192),G192)</f>
        <v>24583</v>
      </c>
      <c r="J192" s="112" t="n">
        <f aca="false">IF(MONTH($A192)=MONTH($A191),SUM(I192-I191),I192)</f>
        <v>4584</v>
      </c>
      <c r="K192" s="112" t="n">
        <f aca="false">IF(WEEKDAY(A192,3)&gt;4,0,(IF(A192&lt;K$2,0,IF(A192&lt;=K$3,1,0))))</f>
        <v>1</v>
      </c>
      <c r="L192" s="112" t="n">
        <f aca="false">J192*K192</f>
        <v>4584</v>
      </c>
      <c r="M192" s="112" t="n">
        <f aca="false">SUM(J$188:J192)</f>
        <v>24583</v>
      </c>
      <c r="N192" s="112" t="n">
        <f aca="false">SUM(J$6:J192)</f>
        <v>559216.665417804</v>
      </c>
      <c r="P192" s="112" t="n">
        <f aca="false">D192/P$3</f>
        <v>-0.162948347160183</v>
      </c>
      <c r="Q192" s="112" t="n">
        <f aca="false">E192/P$3</f>
        <v>0</v>
      </c>
      <c r="R192" s="112" t="n">
        <f aca="false">F192/R$3</f>
        <v>0</v>
      </c>
      <c r="S192" s="114" t="n">
        <f aca="false">J192/$R$3</f>
        <v>4.584</v>
      </c>
      <c r="T192" s="114" t="n">
        <f aca="false">L192/$R$3</f>
        <v>4.584</v>
      </c>
      <c r="U192" s="114" t="n">
        <f aca="false">I192/$R$3</f>
        <v>24.583</v>
      </c>
      <c r="V192" s="114" t="n">
        <f aca="false">M192/$R$3</f>
        <v>24.583</v>
      </c>
      <c r="W192" s="114" t="n">
        <f aca="false">N192/$R$3</f>
        <v>559.216665417804</v>
      </c>
    </row>
    <row r="193" customFormat="false" ht="12.75" hidden="false" customHeight="false" outlineLevel="0" collapsed="false">
      <c r="A193" s="108" t="n">
        <f aca="false">A192+1</f>
        <v>37079</v>
      </c>
      <c r="B193" s="119" t="str">
        <f aca="false">INDEX('Master Data'!$A$2:$B$8,MATCH(WEEKDAY('EZE Power Trading'!A193,3),'Master Data'!$A$2:$A$8,0),2)</f>
        <v>Sa</v>
      </c>
      <c r="D193" s="112" t="n">
        <v>0</v>
      </c>
      <c r="E193" s="112" t="n">
        <v>0</v>
      </c>
      <c r="F193" s="112" t="n">
        <v>0</v>
      </c>
      <c r="G193" s="112" t="n">
        <v>0</v>
      </c>
      <c r="I193" s="112" t="n">
        <f aca="false">IF(MONTH($A193)=MONTH($A192),IF(G193=0,I192,G193),G193)</f>
        <v>24583</v>
      </c>
      <c r="J193" s="112" t="n">
        <f aca="false">IF(MONTH($A193)=MONTH($A192),SUM(I193-I192),I193)</f>
        <v>0</v>
      </c>
      <c r="K193" s="112" t="n">
        <f aca="false">IF(WEEKDAY(A193,3)&gt;4,0,(IF(A193&lt;K$2,0,IF(A193&lt;=K$3,1,0))))</f>
        <v>0</v>
      </c>
      <c r="L193" s="112" t="n">
        <f aca="false">J193*K193</f>
        <v>0</v>
      </c>
      <c r="M193" s="112" t="n">
        <f aca="false">SUM(J$188:J193)</f>
        <v>24583</v>
      </c>
      <c r="N193" s="112" t="n">
        <f aca="false">SUM(J$6:J193)</f>
        <v>559216.665417804</v>
      </c>
      <c r="P193" s="112" t="n">
        <f aca="false">D193/P$3</f>
        <v>0</v>
      </c>
      <c r="Q193" s="112" t="n">
        <f aca="false">E193/P$3</f>
        <v>0</v>
      </c>
      <c r="R193" s="112" t="n">
        <f aca="false">F193/R$3</f>
        <v>0</v>
      </c>
      <c r="S193" s="114" t="n">
        <f aca="false">J193/$R$3</f>
        <v>0</v>
      </c>
      <c r="T193" s="114" t="n">
        <f aca="false">L193/$R$3</f>
        <v>0</v>
      </c>
      <c r="U193" s="114" t="n">
        <f aca="false">I193/$R$3</f>
        <v>24.583</v>
      </c>
      <c r="V193" s="114" t="n">
        <f aca="false">M193/$R$3</f>
        <v>24.583</v>
      </c>
      <c r="W193" s="114" t="n">
        <f aca="false">N193/$R$3</f>
        <v>559.216665417804</v>
      </c>
    </row>
    <row r="194" customFormat="false" ht="12.75" hidden="false" customHeight="false" outlineLevel="0" collapsed="false">
      <c r="A194" s="108" t="n">
        <f aca="false">A193+1</f>
        <v>37080</v>
      </c>
      <c r="B194" s="119" t="str">
        <f aca="false">INDEX('Master Data'!$A$2:$B$8,MATCH(WEEKDAY('EZE Power Trading'!A194,3),'Master Data'!$A$2:$A$8,0),2)</f>
        <v>Su</v>
      </c>
      <c r="D194" s="112" t="n">
        <v>0</v>
      </c>
      <c r="E194" s="112" t="n">
        <v>0</v>
      </c>
      <c r="F194" s="112" t="n">
        <v>0</v>
      </c>
      <c r="G194" s="112" t="n">
        <v>0</v>
      </c>
      <c r="I194" s="112" t="n">
        <f aca="false">IF(MONTH($A194)=MONTH($A193),IF(G194=0,I193,G194),G194)</f>
        <v>24583</v>
      </c>
      <c r="J194" s="112" t="n">
        <f aca="false">IF(MONTH($A194)=MONTH($A193),SUM(I194-I193),I194)</f>
        <v>0</v>
      </c>
      <c r="K194" s="112" t="n">
        <f aca="false">IF(WEEKDAY(A194,3)&gt;4,0,(IF(A194&lt;K$2,0,IF(A194&lt;=K$3,1,0))))</f>
        <v>0</v>
      </c>
      <c r="L194" s="112" t="n">
        <f aca="false">J194*K194</f>
        <v>0</v>
      </c>
      <c r="M194" s="112" t="n">
        <f aca="false">SUM(J$188:J194)</f>
        <v>24583</v>
      </c>
      <c r="N194" s="112" t="n">
        <f aca="false">SUM(J$6:J194)</f>
        <v>559216.665417804</v>
      </c>
      <c r="P194" s="112" t="n">
        <f aca="false">D194/P$3</f>
        <v>0</v>
      </c>
      <c r="Q194" s="112" t="n">
        <f aca="false">E194/P$3</f>
        <v>0</v>
      </c>
      <c r="R194" s="112" t="n">
        <f aca="false">F194/R$3</f>
        <v>0</v>
      </c>
      <c r="S194" s="114" t="n">
        <f aca="false">J194/$R$3</f>
        <v>0</v>
      </c>
      <c r="T194" s="114" t="n">
        <f aca="false">L194/$R$3</f>
        <v>0</v>
      </c>
      <c r="U194" s="114" t="n">
        <f aca="false">I194/$R$3</f>
        <v>24.583</v>
      </c>
      <c r="V194" s="114" t="n">
        <f aca="false">M194/$R$3</f>
        <v>24.583</v>
      </c>
      <c r="W194" s="114" t="n">
        <f aca="false">N194/$R$3</f>
        <v>559.216665417804</v>
      </c>
    </row>
    <row r="195" customFormat="false" ht="12.75" hidden="false" customHeight="false" outlineLevel="0" collapsed="false">
      <c r="A195" s="108" t="n">
        <f aca="false">A194+1</f>
        <v>37081</v>
      </c>
      <c r="B195" s="119" t="str">
        <f aca="false">INDEX('Master Data'!$A$2:$B$8,MATCH(WEEKDAY('EZE Power Trading'!A195,3),'Master Data'!$A$2:$A$8,0),2)</f>
        <v>M</v>
      </c>
      <c r="D195" s="112" t="n">
        <v>-162626.466634062</v>
      </c>
      <c r="E195" s="112" t="n">
        <v>0</v>
      </c>
      <c r="F195" s="112" t="n">
        <v>0</v>
      </c>
      <c r="G195" s="112" t="n">
        <f aca="false">84982-60691</f>
        <v>24291</v>
      </c>
      <c r="I195" s="112" t="n">
        <f aca="false">IF(MONTH($A195)=MONTH($A194),IF(G195=0,I194,G195),G195)</f>
        <v>24291</v>
      </c>
      <c r="J195" s="112" t="n">
        <f aca="false">IF(MONTH($A195)=MONTH($A194),SUM(I195-I194),I195)</f>
        <v>-292</v>
      </c>
      <c r="K195" s="112" t="n">
        <f aca="false">IF(WEEKDAY(A195,3)&gt;4,0,(IF(A195&lt;K$2,0,IF(A195&lt;=K$3,1,0))))</f>
        <v>1</v>
      </c>
      <c r="L195" s="112" t="n">
        <f aca="false">J195*K195</f>
        <v>-292</v>
      </c>
      <c r="M195" s="112" t="n">
        <f aca="false">SUM(J$188:J195)</f>
        <v>24291</v>
      </c>
      <c r="N195" s="112" t="n">
        <f aca="false">SUM(J$6:J195)</f>
        <v>558924.665417804</v>
      </c>
      <c r="P195" s="112" t="n">
        <f aca="false">D195/P$3</f>
        <v>-0.162626466634062</v>
      </c>
      <c r="Q195" s="112" t="n">
        <f aca="false">E195/P$3</f>
        <v>0</v>
      </c>
      <c r="R195" s="112" t="n">
        <f aca="false">F195/R$3</f>
        <v>0</v>
      </c>
      <c r="S195" s="114" t="n">
        <f aca="false">J195/$R$3</f>
        <v>-0.292</v>
      </c>
      <c r="T195" s="114" t="n">
        <f aca="false">L195/$R$3</f>
        <v>-0.292</v>
      </c>
      <c r="U195" s="114" t="n">
        <f aca="false">I195/$R$3</f>
        <v>24.291</v>
      </c>
      <c r="V195" s="114" t="n">
        <f aca="false">M195/$R$3</f>
        <v>24.291</v>
      </c>
      <c r="W195" s="114" t="n">
        <f aca="false">N195/$R$3</f>
        <v>558.924665417804</v>
      </c>
    </row>
    <row r="196" customFormat="false" ht="12.75" hidden="false" customHeight="false" outlineLevel="0" collapsed="false">
      <c r="A196" s="108" t="n">
        <f aca="false">A195+1</f>
        <v>37082</v>
      </c>
      <c r="B196" s="119" t="str">
        <f aca="false">INDEX('Master Data'!$A$2:$B$8,MATCH(WEEKDAY('EZE Power Trading'!A196,3),'Master Data'!$A$2:$A$8,0),2)</f>
        <v>T</v>
      </c>
      <c r="D196" s="112" t="n">
        <v>0</v>
      </c>
      <c r="E196" s="112" t="n">
        <v>0</v>
      </c>
      <c r="F196" s="112" t="n">
        <v>0</v>
      </c>
      <c r="G196" s="112" t="n">
        <v>0</v>
      </c>
      <c r="I196" s="112" t="n">
        <f aca="false">IF(MONTH($A196)=MONTH($A195),IF(G196=0,I195,G196),G196)</f>
        <v>24291</v>
      </c>
      <c r="J196" s="112" t="n">
        <f aca="false">IF(MONTH($A196)=MONTH($A195),SUM(I196-I195),I196)</f>
        <v>0</v>
      </c>
      <c r="K196" s="112" t="n">
        <f aca="false">IF(WEEKDAY(A196,3)&gt;4,0,(IF(A196&lt;K$2,0,IF(A196&lt;=K$3,1,0))))</f>
        <v>0</v>
      </c>
      <c r="L196" s="112" t="n">
        <f aca="false">J196*K196</f>
        <v>0</v>
      </c>
      <c r="M196" s="112" t="n">
        <f aca="false">SUM(J$188:J196)</f>
        <v>24291</v>
      </c>
      <c r="N196" s="112" t="n">
        <f aca="false">SUM(J$6:J196)</f>
        <v>558924.665417804</v>
      </c>
      <c r="P196" s="112" t="n">
        <f aca="false">D196/P$3</f>
        <v>0</v>
      </c>
      <c r="Q196" s="112" t="n">
        <f aca="false">E196/P$3</f>
        <v>0</v>
      </c>
      <c r="R196" s="112" t="n">
        <f aca="false">F196/R$3</f>
        <v>0</v>
      </c>
      <c r="S196" s="114" t="n">
        <f aca="false">J196/$R$3</f>
        <v>0</v>
      </c>
      <c r="T196" s="114" t="n">
        <f aca="false">L196/$R$3</f>
        <v>0</v>
      </c>
      <c r="U196" s="114" t="n">
        <f aca="false">I196/$R$3</f>
        <v>24.291</v>
      </c>
      <c r="V196" s="114" t="n">
        <f aca="false">M196/$R$3</f>
        <v>24.291</v>
      </c>
      <c r="W196" s="114" t="n">
        <f aca="false">N196/$R$3</f>
        <v>558.924665417804</v>
      </c>
    </row>
    <row r="197" customFormat="false" ht="12.75" hidden="false" customHeight="false" outlineLevel="0" collapsed="false">
      <c r="A197" s="108" t="n">
        <f aca="false">A196+1</f>
        <v>37083</v>
      </c>
      <c r="B197" s="119" t="str">
        <f aca="false">INDEX('Master Data'!$A$2:$B$8,MATCH(WEEKDAY('EZE Power Trading'!A197,3),'Master Data'!$A$2:$A$8,0),2)</f>
        <v>W</v>
      </c>
      <c r="D197" s="112" t="n">
        <v>0</v>
      </c>
      <c r="E197" s="112" t="n">
        <v>0</v>
      </c>
      <c r="F197" s="112" t="n">
        <v>0</v>
      </c>
      <c r="G197" s="112" t="n">
        <v>0</v>
      </c>
      <c r="I197" s="112" t="n">
        <f aca="false">IF(MONTH($A197)=MONTH($A196),IF(G197=0,I196,G197),G197)</f>
        <v>24291</v>
      </c>
      <c r="J197" s="112" t="n">
        <f aca="false">IF(MONTH($A197)=MONTH($A196),SUM(I197-I196),I197)</f>
        <v>0</v>
      </c>
      <c r="K197" s="112" t="n">
        <f aca="false">IF(WEEKDAY(A197,3)&gt;4,0,(IF(A197&lt;K$2,0,IF(A197&lt;=K$3,1,0))))</f>
        <v>0</v>
      </c>
      <c r="L197" s="112" t="n">
        <f aca="false">J197*K197</f>
        <v>0</v>
      </c>
      <c r="M197" s="112" t="n">
        <f aca="false">SUM(J$188:J197)</f>
        <v>24291</v>
      </c>
      <c r="N197" s="112" t="n">
        <f aca="false">SUM(J$6:J197)</f>
        <v>558924.665417804</v>
      </c>
      <c r="P197" s="112" t="n">
        <f aca="false">D197/P$3</f>
        <v>0</v>
      </c>
      <c r="Q197" s="112" t="n">
        <f aca="false">E197/P$3</f>
        <v>0</v>
      </c>
      <c r="R197" s="112" t="n">
        <f aca="false">F197/R$3</f>
        <v>0</v>
      </c>
      <c r="S197" s="114" t="n">
        <f aca="false">J197/$R$3</f>
        <v>0</v>
      </c>
      <c r="T197" s="114" t="n">
        <f aca="false">L197/$R$3</f>
        <v>0</v>
      </c>
      <c r="U197" s="114" t="n">
        <f aca="false">I197/$R$3</f>
        <v>24.291</v>
      </c>
      <c r="V197" s="114" t="n">
        <f aca="false">M197/$R$3</f>
        <v>24.291</v>
      </c>
      <c r="W197" s="114" t="n">
        <f aca="false">N197/$R$3</f>
        <v>558.924665417804</v>
      </c>
    </row>
    <row r="198" customFormat="false" ht="12.75" hidden="false" customHeight="false" outlineLevel="0" collapsed="false">
      <c r="A198" s="108" t="n">
        <f aca="false">A197+1</f>
        <v>37084</v>
      </c>
      <c r="B198" s="119" t="str">
        <f aca="false">INDEX('Master Data'!$A$2:$B$8,MATCH(WEEKDAY('EZE Power Trading'!A198,3),'Master Data'!$A$2:$A$8,0),2)</f>
        <v>Th</v>
      </c>
      <c r="D198" s="112" t="n">
        <v>0</v>
      </c>
      <c r="E198" s="112" t="n">
        <v>0</v>
      </c>
      <c r="F198" s="112" t="n">
        <v>0</v>
      </c>
      <c r="G198" s="112" t="n">
        <v>0</v>
      </c>
      <c r="I198" s="112" t="n">
        <f aca="false">IF(MONTH($A198)=MONTH($A197),IF(G198=0,I197,G198),G198)</f>
        <v>24291</v>
      </c>
      <c r="J198" s="112" t="n">
        <f aca="false">IF(MONTH($A198)=MONTH($A197),SUM(I198-I197),I198)</f>
        <v>0</v>
      </c>
      <c r="K198" s="112" t="n">
        <f aca="false">IF(WEEKDAY(A198,3)&gt;4,0,(IF(A198&lt;K$2,0,IF(A198&lt;=K$3,1,0))))</f>
        <v>0</v>
      </c>
      <c r="L198" s="112" t="n">
        <f aca="false">J198*K198</f>
        <v>0</v>
      </c>
      <c r="M198" s="112" t="n">
        <f aca="false">SUM(J$188:J198)</f>
        <v>24291</v>
      </c>
      <c r="N198" s="112" t="n">
        <f aca="false">SUM(J$6:J198)</f>
        <v>558924.665417804</v>
      </c>
      <c r="P198" s="112" t="n">
        <f aca="false">D198/P$3</f>
        <v>0</v>
      </c>
      <c r="Q198" s="112" t="n">
        <f aca="false">E198/P$3</f>
        <v>0</v>
      </c>
      <c r="R198" s="112" t="n">
        <f aca="false">F198/R$3</f>
        <v>0</v>
      </c>
      <c r="S198" s="114" t="n">
        <f aca="false">J198/$R$3</f>
        <v>0</v>
      </c>
      <c r="T198" s="114" t="n">
        <f aca="false">L198/$R$3</f>
        <v>0</v>
      </c>
      <c r="U198" s="114" t="n">
        <f aca="false">I198/$R$3</f>
        <v>24.291</v>
      </c>
      <c r="V198" s="114" t="n">
        <f aca="false">M198/$R$3</f>
        <v>24.291</v>
      </c>
      <c r="W198" s="114" t="n">
        <f aca="false">N198/$R$3</f>
        <v>558.924665417804</v>
      </c>
    </row>
    <row r="199" customFormat="false" ht="12.75" hidden="false" customHeight="false" outlineLevel="0" collapsed="false">
      <c r="A199" s="108" t="n">
        <f aca="false">A198+1</f>
        <v>37085</v>
      </c>
      <c r="B199" s="119" t="str">
        <f aca="false">INDEX('Master Data'!$A$2:$B$8,MATCH(WEEKDAY('EZE Power Trading'!A199,3),'Master Data'!$A$2:$A$8,0),2)</f>
        <v>F</v>
      </c>
      <c r="D199" s="112" t="n">
        <v>0</v>
      </c>
      <c r="E199" s="112" t="n">
        <v>0</v>
      </c>
      <c r="F199" s="112" t="n">
        <v>0</v>
      </c>
      <c r="G199" s="112" t="n">
        <v>0</v>
      </c>
      <c r="I199" s="112" t="n">
        <f aca="false">IF(MONTH($A199)=MONTH($A198),IF(G199=0,I198,G199),G199)</f>
        <v>24291</v>
      </c>
      <c r="J199" s="112" t="n">
        <f aca="false">IF(MONTH($A199)=MONTH($A198),SUM(I199-I198),I199)</f>
        <v>0</v>
      </c>
      <c r="K199" s="112" t="n">
        <f aca="false">IF(WEEKDAY(A199,3)&gt;4,0,(IF(A199&lt;K$2,0,IF(A199&lt;=K$3,1,0))))</f>
        <v>0</v>
      </c>
      <c r="L199" s="112" t="n">
        <f aca="false">J199*K199</f>
        <v>0</v>
      </c>
      <c r="M199" s="112" t="n">
        <f aca="false">SUM(J$188:J199)</f>
        <v>24291</v>
      </c>
      <c r="N199" s="112" t="n">
        <f aca="false">SUM(J$6:J199)</f>
        <v>558924.665417804</v>
      </c>
      <c r="P199" s="112" t="n">
        <f aca="false">D199/P$3</f>
        <v>0</v>
      </c>
      <c r="Q199" s="112" t="n">
        <f aca="false">E199/P$3</f>
        <v>0</v>
      </c>
      <c r="R199" s="112" t="n">
        <f aca="false">F199/R$3</f>
        <v>0</v>
      </c>
      <c r="S199" s="114" t="n">
        <f aca="false">J199/$R$3</f>
        <v>0</v>
      </c>
      <c r="T199" s="114" t="n">
        <f aca="false">L199/$R$3</f>
        <v>0</v>
      </c>
      <c r="U199" s="114" t="n">
        <f aca="false">I199/$R$3</f>
        <v>24.291</v>
      </c>
      <c r="V199" s="114" t="n">
        <f aca="false">M199/$R$3</f>
        <v>24.291</v>
      </c>
      <c r="W199" s="114" t="n">
        <f aca="false">N199/$R$3</f>
        <v>558.924665417804</v>
      </c>
    </row>
    <row r="200" customFormat="false" ht="12.75" hidden="false" customHeight="false" outlineLevel="0" collapsed="false">
      <c r="A200" s="108" t="n">
        <f aca="false">A199+1</f>
        <v>37086</v>
      </c>
      <c r="B200" s="119" t="str">
        <f aca="false">INDEX('Master Data'!$A$2:$B$8,MATCH(WEEKDAY('EZE Power Trading'!A200,3),'Master Data'!$A$2:$A$8,0),2)</f>
        <v>Sa</v>
      </c>
      <c r="D200" s="112" t="n">
        <v>0</v>
      </c>
      <c r="E200" s="112" t="n">
        <v>0</v>
      </c>
      <c r="F200" s="112" t="n">
        <v>0</v>
      </c>
      <c r="G200" s="112" t="n">
        <v>0</v>
      </c>
      <c r="I200" s="112" t="n">
        <f aca="false">IF(MONTH($A200)=MONTH($A199),IF(G200=0,I199,G200),G200)</f>
        <v>24291</v>
      </c>
      <c r="J200" s="112" t="n">
        <f aca="false">IF(MONTH($A200)=MONTH($A199),SUM(I200-I199),I200)</f>
        <v>0</v>
      </c>
      <c r="K200" s="112" t="n">
        <f aca="false">IF(WEEKDAY(A200,3)&gt;4,0,(IF(A200&lt;K$2,0,IF(A200&lt;=K$3,1,0))))</f>
        <v>0</v>
      </c>
      <c r="L200" s="112" t="n">
        <f aca="false">J200*K200</f>
        <v>0</v>
      </c>
      <c r="M200" s="112" t="n">
        <f aca="false">SUM(J$188:J200)</f>
        <v>24291</v>
      </c>
      <c r="N200" s="112" t="n">
        <f aca="false">SUM(J$6:J200)</f>
        <v>558924.665417804</v>
      </c>
      <c r="P200" s="112" t="n">
        <f aca="false">D200/P$3</f>
        <v>0</v>
      </c>
      <c r="Q200" s="112" t="n">
        <f aca="false">E200/P$3</f>
        <v>0</v>
      </c>
      <c r="R200" s="112" t="n">
        <f aca="false">F200/R$3</f>
        <v>0</v>
      </c>
      <c r="S200" s="114" t="n">
        <f aca="false">J200/$R$3</f>
        <v>0</v>
      </c>
      <c r="T200" s="114" t="n">
        <f aca="false">L200/$R$3</f>
        <v>0</v>
      </c>
      <c r="U200" s="114" t="n">
        <f aca="false">I200/$R$3</f>
        <v>24.291</v>
      </c>
      <c r="V200" s="114" t="n">
        <f aca="false">M200/$R$3</f>
        <v>24.291</v>
      </c>
      <c r="W200" s="114" t="n">
        <f aca="false">N200/$R$3</f>
        <v>558.924665417804</v>
      </c>
    </row>
    <row r="201" customFormat="false" ht="12.75" hidden="false" customHeight="false" outlineLevel="0" collapsed="false">
      <c r="A201" s="108" t="n">
        <f aca="false">A200+1</f>
        <v>37087</v>
      </c>
      <c r="B201" s="119" t="str">
        <f aca="false">INDEX('Master Data'!$A$2:$B$8,MATCH(WEEKDAY('EZE Power Trading'!A201,3),'Master Data'!$A$2:$A$8,0),2)</f>
        <v>Su</v>
      </c>
      <c r="D201" s="112" t="n">
        <v>0</v>
      </c>
      <c r="E201" s="112" t="n">
        <v>0</v>
      </c>
      <c r="F201" s="112" t="n">
        <v>0</v>
      </c>
      <c r="G201" s="112" t="n">
        <v>0</v>
      </c>
      <c r="I201" s="112" t="n">
        <f aca="false">IF(MONTH($A201)=MONTH($A200),IF(G201=0,I200,G201),G201)</f>
        <v>24291</v>
      </c>
      <c r="J201" s="112" t="n">
        <f aca="false">IF(MONTH($A201)=MONTH($A200),SUM(I201-I200),I201)</f>
        <v>0</v>
      </c>
      <c r="K201" s="112" t="n">
        <f aca="false">IF(WEEKDAY(A201,3)&gt;4,0,(IF(A201&lt;K$2,0,IF(A201&lt;=K$3,1,0))))</f>
        <v>0</v>
      </c>
      <c r="L201" s="112" t="n">
        <f aca="false">J201*K201</f>
        <v>0</v>
      </c>
      <c r="M201" s="112" t="n">
        <f aca="false">SUM(J$188:J201)</f>
        <v>24291</v>
      </c>
      <c r="N201" s="112" t="n">
        <f aca="false">SUM(J$6:J201)</f>
        <v>558924.665417804</v>
      </c>
      <c r="P201" s="112" t="n">
        <f aca="false">D201/P$3</f>
        <v>0</v>
      </c>
      <c r="Q201" s="112" t="n">
        <f aca="false">E201/P$3</f>
        <v>0</v>
      </c>
      <c r="R201" s="112" t="n">
        <f aca="false">F201/R$3</f>
        <v>0</v>
      </c>
      <c r="S201" s="114" t="n">
        <f aca="false">J201/$R$3</f>
        <v>0</v>
      </c>
      <c r="T201" s="114" t="n">
        <f aca="false">L201/$R$3</f>
        <v>0</v>
      </c>
      <c r="U201" s="114" t="n">
        <f aca="false">I201/$R$3</f>
        <v>24.291</v>
      </c>
      <c r="V201" s="114" t="n">
        <f aca="false">M201/$R$3</f>
        <v>24.291</v>
      </c>
      <c r="W201" s="114" t="n">
        <f aca="false">N201/$R$3</f>
        <v>558.924665417804</v>
      </c>
    </row>
    <row r="202" customFormat="false" ht="12.75" hidden="false" customHeight="false" outlineLevel="0" collapsed="false">
      <c r="A202" s="108" t="n">
        <f aca="false">A201+1</f>
        <v>37088</v>
      </c>
      <c r="B202" s="119" t="str">
        <f aca="false">INDEX('Master Data'!$A$2:$B$8,MATCH(WEEKDAY('EZE Power Trading'!A202,3),'Master Data'!$A$2:$A$8,0),2)</f>
        <v>M</v>
      </c>
      <c r="D202" s="112" t="n">
        <v>0</v>
      </c>
      <c r="E202" s="112" t="n">
        <v>0</v>
      </c>
      <c r="F202" s="112" t="n">
        <v>0</v>
      </c>
      <c r="G202" s="112" t="n">
        <v>0</v>
      </c>
      <c r="I202" s="112" t="n">
        <f aca="false">IF(MONTH($A202)=MONTH($A201),IF(G202=0,I201,G202),G202)</f>
        <v>24291</v>
      </c>
      <c r="J202" s="112" t="n">
        <f aca="false">IF(MONTH($A202)=MONTH($A201),SUM(I202-I201),I202)</f>
        <v>0</v>
      </c>
      <c r="K202" s="112" t="n">
        <f aca="false">IF(WEEKDAY(A202,3)&gt;4,0,(IF(A202&lt;K$2,0,IF(A202&lt;=K$3,1,0))))</f>
        <v>0</v>
      </c>
      <c r="L202" s="112" t="n">
        <f aca="false">J202*K202</f>
        <v>0</v>
      </c>
      <c r="M202" s="112" t="n">
        <f aca="false">SUM(J$188:J202)</f>
        <v>24291</v>
      </c>
      <c r="N202" s="112" t="n">
        <f aca="false">SUM(J$6:J202)</f>
        <v>558924.665417804</v>
      </c>
      <c r="P202" s="112" t="n">
        <f aca="false">D202/P$3</f>
        <v>0</v>
      </c>
      <c r="Q202" s="112" t="n">
        <f aca="false">E202/P$3</f>
        <v>0</v>
      </c>
      <c r="R202" s="112" t="n">
        <f aca="false">F202/R$3</f>
        <v>0</v>
      </c>
      <c r="S202" s="114" t="n">
        <f aca="false">J202/$R$3</f>
        <v>0</v>
      </c>
      <c r="T202" s="114" t="n">
        <f aca="false">L202/$R$3</f>
        <v>0</v>
      </c>
      <c r="U202" s="114" t="n">
        <f aca="false">I202/$R$3</f>
        <v>24.291</v>
      </c>
      <c r="V202" s="114" t="n">
        <f aca="false">M202/$R$3</f>
        <v>24.291</v>
      </c>
      <c r="W202" s="114" t="n">
        <f aca="false">N202/$R$3</f>
        <v>558.924665417804</v>
      </c>
    </row>
    <row r="203" customFormat="false" ht="12.75" hidden="false" customHeight="false" outlineLevel="0" collapsed="false">
      <c r="A203" s="108" t="n">
        <f aca="false">A202+1</f>
        <v>37089</v>
      </c>
      <c r="B203" s="119" t="str">
        <f aca="false">INDEX('Master Data'!$A$2:$B$8,MATCH(WEEKDAY('EZE Power Trading'!A203,3),'Master Data'!$A$2:$A$8,0),2)</f>
        <v>T</v>
      </c>
      <c r="D203" s="112" t="n">
        <v>0</v>
      </c>
      <c r="E203" s="112" t="n">
        <v>0</v>
      </c>
      <c r="F203" s="112" t="n">
        <v>0</v>
      </c>
      <c r="G203" s="112" t="n">
        <v>0</v>
      </c>
      <c r="I203" s="112" t="n">
        <f aca="false">IF(MONTH($A203)=MONTH($A202),IF(G203=0,I202,G203),G203)</f>
        <v>24291</v>
      </c>
      <c r="J203" s="112" t="n">
        <f aca="false">IF(MONTH($A203)=MONTH($A202),SUM(I203-I202),I203)</f>
        <v>0</v>
      </c>
      <c r="K203" s="112" t="n">
        <f aca="false">IF(WEEKDAY(A203,3)&gt;4,0,(IF(A203&lt;K$2,0,IF(A203&lt;=K$3,1,0))))</f>
        <v>0</v>
      </c>
      <c r="L203" s="112" t="n">
        <f aca="false">J203*K203</f>
        <v>0</v>
      </c>
      <c r="M203" s="112" t="n">
        <f aca="false">SUM(J$188:J203)</f>
        <v>24291</v>
      </c>
      <c r="N203" s="112" t="n">
        <f aca="false">SUM(J$6:J203)</f>
        <v>558924.665417804</v>
      </c>
      <c r="P203" s="112" t="n">
        <f aca="false">D203/P$3</f>
        <v>0</v>
      </c>
      <c r="Q203" s="112" t="n">
        <f aca="false">E203/P$3</f>
        <v>0</v>
      </c>
      <c r="R203" s="112" t="n">
        <f aca="false">F203/R$3</f>
        <v>0</v>
      </c>
      <c r="S203" s="114" t="n">
        <f aca="false">J203/$R$3</f>
        <v>0</v>
      </c>
      <c r="T203" s="114" t="n">
        <f aca="false">L203/$R$3</f>
        <v>0</v>
      </c>
      <c r="U203" s="114" t="n">
        <f aca="false">I203/$R$3</f>
        <v>24.291</v>
      </c>
      <c r="V203" s="114" t="n">
        <f aca="false">M203/$R$3</f>
        <v>24.291</v>
      </c>
      <c r="W203" s="114" t="n">
        <f aca="false">N203/$R$3</f>
        <v>558.924665417804</v>
      </c>
    </row>
    <row r="204" customFormat="false" ht="12.75" hidden="false" customHeight="false" outlineLevel="0" collapsed="false">
      <c r="A204" s="108" t="n">
        <f aca="false">A203+1</f>
        <v>37090</v>
      </c>
      <c r="B204" s="119" t="str">
        <f aca="false">INDEX('Master Data'!$A$2:$B$8,MATCH(WEEKDAY('EZE Power Trading'!A204,3),'Master Data'!$A$2:$A$8,0),2)</f>
        <v>W</v>
      </c>
      <c r="D204" s="112" t="n">
        <v>0</v>
      </c>
      <c r="E204" s="112" t="n">
        <v>0</v>
      </c>
      <c r="F204" s="112" t="n">
        <v>0</v>
      </c>
      <c r="G204" s="112" t="n">
        <v>0</v>
      </c>
      <c r="I204" s="112" t="n">
        <f aca="false">IF(MONTH($A204)=MONTH($A203),IF(G204=0,I203,G204),G204)</f>
        <v>24291</v>
      </c>
      <c r="J204" s="112" t="n">
        <f aca="false">IF(MONTH($A204)=MONTH($A203),SUM(I204-I203),I204)</f>
        <v>0</v>
      </c>
      <c r="K204" s="112" t="n">
        <f aca="false">IF(WEEKDAY(A204,3)&gt;4,0,(IF(A204&lt;K$2,0,IF(A204&lt;=K$3,1,0))))</f>
        <v>0</v>
      </c>
      <c r="L204" s="112" t="n">
        <f aca="false">J204*K204</f>
        <v>0</v>
      </c>
      <c r="M204" s="112" t="n">
        <f aca="false">SUM(J$188:J204)</f>
        <v>24291</v>
      </c>
      <c r="N204" s="112" t="n">
        <f aca="false">SUM(J$6:J204)</f>
        <v>558924.665417804</v>
      </c>
      <c r="P204" s="112" t="n">
        <f aca="false">D204/P$3</f>
        <v>0</v>
      </c>
      <c r="Q204" s="112" t="n">
        <f aca="false">E204/P$3</f>
        <v>0</v>
      </c>
      <c r="R204" s="112" t="n">
        <f aca="false">F204/R$3</f>
        <v>0</v>
      </c>
      <c r="S204" s="114" t="n">
        <f aca="false">J204/$R$3</f>
        <v>0</v>
      </c>
      <c r="T204" s="114" t="n">
        <f aca="false">L204/$R$3</f>
        <v>0</v>
      </c>
      <c r="U204" s="114" t="n">
        <f aca="false">I204/$R$3</f>
        <v>24.291</v>
      </c>
      <c r="V204" s="114" t="n">
        <f aca="false">M204/$R$3</f>
        <v>24.291</v>
      </c>
      <c r="W204" s="114" t="n">
        <f aca="false">N204/$R$3</f>
        <v>558.924665417804</v>
      </c>
    </row>
    <row r="205" customFormat="false" ht="12.75" hidden="false" customHeight="false" outlineLevel="0" collapsed="false">
      <c r="A205" s="108" t="n">
        <f aca="false">A204+1</f>
        <v>37091</v>
      </c>
      <c r="B205" s="119" t="str">
        <f aca="false">INDEX('Master Data'!$A$2:$B$8,MATCH(WEEKDAY('EZE Power Trading'!A205,3),'Master Data'!$A$2:$A$8,0),2)</f>
        <v>Th</v>
      </c>
      <c r="D205" s="112" t="n">
        <v>0</v>
      </c>
      <c r="E205" s="112" t="n">
        <v>0</v>
      </c>
      <c r="F205" s="112" t="n">
        <v>0</v>
      </c>
      <c r="G205" s="112" t="n">
        <v>0</v>
      </c>
      <c r="I205" s="112" t="n">
        <f aca="false">IF(MONTH($A205)=MONTH($A204),IF(G205=0,I204,G205),G205)</f>
        <v>24291</v>
      </c>
      <c r="J205" s="112" t="n">
        <f aca="false">IF(MONTH($A205)=MONTH($A204),SUM(I205-I204),I205)</f>
        <v>0</v>
      </c>
      <c r="K205" s="112" t="n">
        <f aca="false">IF(WEEKDAY(A205,3)&gt;4,0,(IF(A205&lt;K$2,0,IF(A205&lt;=K$3,1,0))))</f>
        <v>0</v>
      </c>
      <c r="L205" s="112" t="n">
        <f aca="false">J205*K205</f>
        <v>0</v>
      </c>
      <c r="M205" s="112" t="n">
        <f aca="false">SUM(J$188:J205)</f>
        <v>24291</v>
      </c>
      <c r="N205" s="112" t="n">
        <f aca="false">SUM(J$6:J205)</f>
        <v>558924.665417804</v>
      </c>
      <c r="P205" s="112" t="n">
        <f aca="false">D205/P$3</f>
        <v>0</v>
      </c>
      <c r="Q205" s="112" t="n">
        <f aca="false">E205/P$3</f>
        <v>0</v>
      </c>
      <c r="R205" s="112" t="n">
        <f aca="false">F205/R$3</f>
        <v>0</v>
      </c>
      <c r="S205" s="114" t="n">
        <f aca="false">J205/$R$3</f>
        <v>0</v>
      </c>
      <c r="T205" s="114" t="n">
        <f aca="false">L205/$R$3</f>
        <v>0</v>
      </c>
      <c r="U205" s="114" t="n">
        <f aca="false">I205/$R$3</f>
        <v>24.291</v>
      </c>
      <c r="V205" s="114" t="n">
        <f aca="false">M205/$R$3</f>
        <v>24.291</v>
      </c>
      <c r="W205" s="114" t="n">
        <f aca="false">N205/$R$3</f>
        <v>558.924665417804</v>
      </c>
    </row>
    <row r="206" customFormat="false" ht="12.75" hidden="false" customHeight="false" outlineLevel="0" collapsed="false">
      <c r="A206" s="108" t="n">
        <f aca="false">A205+1</f>
        <v>37092</v>
      </c>
      <c r="B206" s="119" t="str">
        <f aca="false">INDEX('Master Data'!$A$2:$B$8,MATCH(WEEKDAY('EZE Power Trading'!A206,3),'Master Data'!$A$2:$A$8,0),2)</f>
        <v>F</v>
      </c>
      <c r="D206" s="112" t="n">
        <v>0</v>
      </c>
      <c r="E206" s="112" t="n">
        <v>0</v>
      </c>
      <c r="F206" s="112" t="n">
        <v>0</v>
      </c>
      <c r="G206" s="112" t="n">
        <v>0</v>
      </c>
      <c r="I206" s="112" t="n">
        <f aca="false">IF(MONTH($A206)=MONTH($A205),IF(G206=0,I205,G206),G206)</f>
        <v>24291</v>
      </c>
      <c r="J206" s="112" t="n">
        <f aca="false">IF(MONTH($A206)=MONTH($A205),SUM(I206-I205),I206)</f>
        <v>0</v>
      </c>
      <c r="K206" s="112" t="n">
        <f aca="false">IF(WEEKDAY(A206,3)&gt;4,0,(IF(A206&lt;K$2,0,IF(A206&lt;=K$3,1,0))))</f>
        <v>0</v>
      </c>
      <c r="L206" s="112" t="n">
        <f aca="false">J206*K206</f>
        <v>0</v>
      </c>
      <c r="M206" s="112" t="n">
        <f aca="false">SUM(J$188:J206)</f>
        <v>24291</v>
      </c>
      <c r="N206" s="112" t="n">
        <f aca="false">SUM(J$6:J206)</f>
        <v>558924.665417804</v>
      </c>
      <c r="P206" s="112" t="n">
        <f aca="false">D206/P$3</f>
        <v>0</v>
      </c>
      <c r="Q206" s="112" t="n">
        <f aca="false">E206/P$3</f>
        <v>0</v>
      </c>
      <c r="R206" s="112" t="n">
        <f aca="false">F206/R$3</f>
        <v>0</v>
      </c>
      <c r="S206" s="114" t="n">
        <f aca="false">J206/$R$3</f>
        <v>0</v>
      </c>
      <c r="T206" s="114" t="n">
        <f aca="false">L206/$R$3</f>
        <v>0</v>
      </c>
      <c r="U206" s="114" t="n">
        <f aca="false">I206/$R$3</f>
        <v>24.291</v>
      </c>
      <c r="V206" s="114" t="n">
        <f aca="false">M206/$R$3</f>
        <v>24.291</v>
      </c>
      <c r="W206" s="114" t="n">
        <f aca="false">N206/$R$3</f>
        <v>558.924665417804</v>
      </c>
    </row>
    <row r="207" customFormat="false" ht="12.75" hidden="false" customHeight="false" outlineLevel="0" collapsed="false">
      <c r="A207" s="108" t="n">
        <f aca="false">A206+1</f>
        <v>37093</v>
      </c>
      <c r="B207" s="119" t="str">
        <f aca="false">INDEX('Master Data'!$A$2:$B$8,MATCH(WEEKDAY('EZE Power Trading'!A207,3),'Master Data'!$A$2:$A$8,0),2)</f>
        <v>Sa</v>
      </c>
      <c r="D207" s="112" t="n">
        <v>0</v>
      </c>
      <c r="E207" s="112" t="n">
        <v>0</v>
      </c>
      <c r="F207" s="112" t="n">
        <v>0</v>
      </c>
      <c r="G207" s="112" t="n">
        <v>0</v>
      </c>
      <c r="I207" s="112" t="n">
        <f aca="false">IF(MONTH($A207)=MONTH($A206),IF(G207=0,I206,G207),G207)</f>
        <v>24291</v>
      </c>
      <c r="J207" s="112" t="n">
        <f aca="false">IF(MONTH($A207)=MONTH($A206),SUM(I207-I206),I207)</f>
        <v>0</v>
      </c>
      <c r="K207" s="112" t="n">
        <f aca="false">IF(WEEKDAY(A207,3)&gt;4,0,(IF(A207&lt;K$2,0,IF(A207&lt;=K$3,1,0))))</f>
        <v>0</v>
      </c>
      <c r="L207" s="112" t="n">
        <f aca="false">J207*K207</f>
        <v>0</v>
      </c>
      <c r="M207" s="112" t="n">
        <f aca="false">SUM(J$188:J207)</f>
        <v>24291</v>
      </c>
      <c r="N207" s="112" t="n">
        <f aca="false">SUM(J$6:J207)</f>
        <v>558924.665417804</v>
      </c>
      <c r="P207" s="112" t="n">
        <f aca="false">D207/P$3</f>
        <v>0</v>
      </c>
      <c r="Q207" s="112" t="n">
        <f aca="false">E207/P$3</f>
        <v>0</v>
      </c>
      <c r="R207" s="112" t="n">
        <f aca="false">F207/R$3</f>
        <v>0</v>
      </c>
      <c r="S207" s="114" t="n">
        <f aca="false">J207/$R$3</f>
        <v>0</v>
      </c>
      <c r="T207" s="114" t="n">
        <f aca="false">L207/$R$3</f>
        <v>0</v>
      </c>
      <c r="U207" s="114" t="n">
        <f aca="false">I207/$R$3</f>
        <v>24.291</v>
      </c>
      <c r="V207" s="114" t="n">
        <f aca="false">M207/$R$3</f>
        <v>24.291</v>
      </c>
      <c r="W207" s="114" t="n">
        <f aca="false">N207/$R$3</f>
        <v>558.924665417804</v>
      </c>
    </row>
    <row r="208" customFormat="false" ht="12.75" hidden="false" customHeight="false" outlineLevel="0" collapsed="false">
      <c r="A208" s="108" t="n">
        <f aca="false">A207+1</f>
        <v>37094</v>
      </c>
      <c r="B208" s="119" t="str">
        <f aca="false">INDEX('Master Data'!$A$2:$B$8,MATCH(WEEKDAY('EZE Power Trading'!A208,3),'Master Data'!$A$2:$A$8,0),2)</f>
        <v>Su</v>
      </c>
      <c r="D208" s="112" t="n">
        <v>0</v>
      </c>
      <c r="E208" s="112" t="n">
        <v>0</v>
      </c>
      <c r="F208" s="112" t="n">
        <v>0</v>
      </c>
      <c r="G208" s="112" t="n">
        <v>0</v>
      </c>
      <c r="I208" s="112" t="n">
        <f aca="false">IF(MONTH($A208)=MONTH($A207),IF(G208=0,I207,G208),G208)</f>
        <v>24291</v>
      </c>
      <c r="J208" s="112" t="n">
        <f aca="false">IF(MONTH($A208)=MONTH($A207),SUM(I208-I207),I208)</f>
        <v>0</v>
      </c>
      <c r="K208" s="112" t="n">
        <f aca="false">IF(WEEKDAY(A208,3)&gt;4,0,(IF(A208&lt;K$2,0,IF(A208&lt;=K$3,1,0))))</f>
        <v>0</v>
      </c>
      <c r="L208" s="112" t="n">
        <f aca="false">J208*K208</f>
        <v>0</v>
      </c>
      <c r="M208" s="112" t="n">
        <f aca="false">SUM(J$188:J208)</f>
        <v>24291</v>
      </c>
      <c r="N208" s="112" t="n">
        <f aca="false">SUM(J$6:J208)</f>
        <v>558924.665417804</v>
      </c>
      <c r="P208" s="112" t="n">
        <f aca="false">D208/P$3</f>
        <v>0</v>
      </c>
      <c r="Q208" s="112" t="n">
        <f aca="false">E208/P$3</f>
        <v>0</v>
      </c>
      <c r="R208" s="112" t="n">
        <f aca="false">F208/R$3</f>
        <v>0</v>
      </c>
      <c r="S208" s="114" t="n">
        <f aca="false">J208/$R$3</f>
        <v>0</v>
      </c>
      <c r="T208" s="114" t="n">
        <f aca="false">L208/$R$3</f>
        <v>0</v>
      </c>
      <c r="U208" s="114" t="n">
        <f aca="false">I208/$R$3</f>
        <v>24.291</v>
      </c>
      <c r="V208" s="114" t="n">
        <f aca="false">M208/$R$3</f>
        <v>24.291</v>
      </c>
      <c r="W208" s="114" t="n">
        <f aca="false">N208/$R$3</f>
        <v>558.924665417804</v>
      </c>
    </row>
    <row r="209" customFormat="false" ht="12.75" hidden="false" customHeight="false" outlineLevel="0" collapsed="false">
      <c r="A209" s="108" t="n">
        <f aca="false">A208+1</f>
        <v>37095</v>
      </c>
      <c r="B209" s="119" t="str">
        <f aca="false">INDEX('Master Data'!$A$2:$B$8,MATCH(WEEKDAY('EZE Power Trading'!A209,3),'Master Data'!$A$2:$A$8,0),2)</f>
        <v>M</v>
      </c>
      <c r="D209" s="112" t="n">
        <v>0</v>
      </c>
      <c r="E209" s="112" t="n">
        <v>0</v>
      </c>
      <c r="F209" s="112" t="n">
        <v>0</v>
      </c>
      <c r="G209" s="112" t="n">
        <v>0</v>
      </c>
      <c r="I209" s="112" t="n">
        <f aca="false">IF(MONTH($A209)=MONTH($A208),IF(G209=0,I208,G209),G209)</f>
        <v>24291</v>
      </c>
      <c r="J209" s="112" t="n">
        <f aca="false">IF(MONTH($A209)=MONTH($A208),SUM(I209-I208),I209)</f>
        <v>0</v>
      </c>
      <c r="K209" s="112" t="n">
        <f aca="false">IF(WEEKDAY(A209,3)&gt;4,0,(IF(A209&lt;K$2,0,IF(A209&lt;=K$3,1,0))))</f>
        <v>0</v>
      </c>
      <c r="L209" s="112" t="n">
        <f aca="false">J209*K209</f>
        <v>0</v>
      </c>
      <c r="M209" s="112" t="n">
        <f aca="false">SUM(J$188:J209)</f>
        <v>24291</v>
      </c>
      <c r="N209" s="112" t="n">
        <f aca="false">SUM(J$6:J209)</f>
        <v>558924.665417804</v>
      </c>
      <c r="P209" s="112" t="n">
        <f aca="false">D209/P$3</f>
        <v>0</v>
      </c>
      <c r="Q209" s="112" t="n">
        <f aca="false">E209/P$3</f>
        <v>0</v>
      </c>
      <c r="R209" s="112" t="n">
        <f aca="false">F209/R$3</f>
        <v>0</v>
      </c>
      <c r="S209" s="114" t="n">
        <f aca="false">J209/$R$3</f>
        <v>0</v>
      </c>
      <c r="T209" s="114" t="n">
        <f aca="false">L209/$R$3</f>
        <v>0</v>
      </c>
      <c r="U209" s="114" t="n">
        <f aca="false">I209/$R$3</f>
        <v>24.291</v>
      </c>
      <c r="V209" s="114" t="n">
        <f aca="false">M209/$R$3</f>
        <v>24.291</v>
      </c>
      <c r="W209" s="114" t="n">
        <f aca="false">N209/$R$3</f>
        <v>558.924665417804</v>
      </c>
    </row>
    <row r="210" customFormat="false" ht="12.75" hidden="false" customHeight="false" outlineLevel="0" collapsed="false">
      <c r="A210" s="108" t="n">
        <f aca="false">A209+1</f>
        <v>37096</v>
      </c>
      <c r="B210" s="119" t="str">
        <f aca="false">INDEX('Master Data'!$A$2:$B$8,MATCH(WEEKDAY('EZE Power Trading'!A210,3),'Master Data'!$A$2:$A$8,0),2)</f>
        <v>T</v>
      </c>
      <c r="D210" s="112" t="n">
        <v>0</v>
      </c>
      <c r="E210" s="112" t="n">
        <v>0</v>
      </c>
      <c r="F210" s="112" t="n">
        <v>0</v>
      </c>
      <c r="G210" s="112" t="n">
        <v>0</v>
      </c>
      <c r="I210" s="112" t="n">
        <f aca="false">IF(MONTH($A210)=MONTH($A209),IF(G210=0,I209,G210),G210)</f>
        <v>24291</v>
      </c>
      <c r="J210" s="112" t="n">
        <f aca="false">IF(MONTH($A210)=MONTH($A209),SUM(I210-I209),I210)</f>
        <v>0</v>
      </c>
      <c r="K210" s="112" t="n">
        <f aca="false">IF(WEEKDAY(A210,3)&gt;4,0,(IF(A210&lt;K$2,0,IF(A210&lt;=K$3,1,0))))</f>
        <v>0</v>
      </c>
      <c r="L210" s="112" t="n">
        <f aca="false">J210*K210</f>
        <v>0</v>
      </c>
      <c r="M210" s="112" t="n">
        <f aca="false">SUM(J$188:J210)</f>
        <v>24291</v>
      </c>
      <c r="N210" s="112" t="n">
        <f aca="false">SUM(J$6:J210)</f>
        <v>558924.665417804</v>
      </c>
      <c r="P210" s="112" t="n">
        <f aca="false">D210/P$3</f>
        <v>0</v>
      </c>
      <c r="Q210" s="112" t="n">
        <f aca="false">E210/P$3</f>
        <v>0</v>
      </c>
      <c r="R210" s="112" t="n">
        <f aca="false">F210/R$3</f>
        <v>0</v>
      </c>
      <c r="S210" s="114" t="n">
        <f aca="false">J210/$R$3</f>
        <v>0</v>
      </c>
      <c r="T210" s="114" t="n">
        <f aca="false">L210/$R$3</f>
        <v>0</v>
      </c>
      <c r="U210" s="114" t="n">
        <f aca="false">I210/$R$3</f>
        <v>24.291</v>
      </c>
      <c r="V210" s="114" t="n">
        <f aca="false">M210/$R$3</f>
        <v>24.291</v>
      </c>
      <c r="W210" s="114" t="n">
        <f aca="false">N210/$R$3</f>
        <v>558.924665417804</v>
      </c>
    </row>
    <row r="211" customFormat="false" ht="12.75" hidden="false" customHeight="false" outlineLevel="0" collapsed="false">
      <c r="A211" s="108" t="n">
        <f aca="false">A210+1</f>
        <v>37097</v>
      </c>
      <c r="B211" s="119" t="str">
        <f aca="false">INDEX('Master Data'!$A$2:$B$8,MATCH(WEEKDAY('EZE Power Trading'!A211,3),'Master Data'!$A$2:$A$8,0),2)</f>
        <v>W</v>
      </c>
      <c r="D211" s="112" t="n">
        <v>0</v>
      </c>
      <c r="E211" s="112" t="n">
        <v>0</v>
      </c>
      <c r="F211" s="112" t="n">
        <v>0</v>
      </c>
      <c r="G211" s="112" t="n">
        <v>0</v>
      </c>
      <c r="I211" s="112" t="n">
        <f aca="false">IF(MONTH($A211)=MONTH($A210),IF(G211=0,I210,G211),G211)</f>
        <v>24291</v>
      </c>
      <c r="J211" s="112" t="n">
        <f aca="false">IF(MONTH($A211)=MONTH($A210),SUM(I211-I210),I211)</f>
        <v>0</v>
      </c>
      <c r="K211" s="112" t="n">
        <f aca="false">IF(WEEKDAY(A211,3)&gt;4,0,(IF(A211&lt;K$2,0,IF(A211&lt;=K$3,1,0))))</f>
        <v>0</v>
      </c>
      <c r="L211" s="112" t="n">
        <f aca="false">J211*K211</f>
        <v>0</v>
      </c>
      <c r="M211" s="112" t="n">
        <f aca="false">SUM(J$188:J211)</f>
        <v>24291</v>
      </c>
      <c r="N211" s="112" t="n">
        <f aca="false">SUM(J$6:J211)</f>
        <v>558924.665417804</v>
      </c>
      <c r="P211" s="112" t="n">
        <f aca="false">D211/P$3</f>
        <v>0</v>
      </c>
      <c r="Q211" s="112" t="n">
        <f aca="false">E211/P$3</f>
        <v>0</v>
      </c>
      <c r="R211" s="112" t="n">
        <f aca="false">F211/R$3</f>
        <v>0</v>
      </c>
      <c r="S211" s="114" t="n">
        <f aca="false">J211/$R$3</f>
        <v>0</v>
      </c>
      <c r="T211" s="114" t="n">
        <f aca="false">L211/$R$3</f>
        <v>0</v>
      </c>
      <c r="U211" s="114" t="n">
        <f aca="false">I211/$R$3</f>
        <v>24.291</v>
      </c>
      <c r="V211" s="114" t="n">
        <f aca="false">M211/$R$3</f>
        <v>24.291</v>
      </c>
      <c r="W211" s="114" t="n">
        <f aca="false">N211/$R$3</f>
        <v>558.924665417804</v>
      </c>
    </row>
    <row r="212" customFormat="false" ht="12.75" hidden="false" customHeight="false" outlineLevel="0" collapsed="false">
      <c r="A212" s="108" t="n">
        <f aca="false">A211+1</f>
        <v>37098</v>
      </c>
      <c r="B212" s="119" t="str">
        <f aca="false">INDEX('Master Data'!$A$2:$B$8,MATCH(WEEKDAY('EZE Power Trading'!A212,3),'Master Data'!$A$2:$A$8,0),2)</f>
        <v>Th</v>
      </c>
      <c r="D212" s="112" t="n">
        <v>0</v>
      </c>
      <c r="E212" s="112" t="n">
        <v>0</v>
      </c>
      <c r="F212" s="112" t="n">
        <v>0</v>
      </c>
      <c r="G212" s="112" t="n">
        <v>0</v>
      </c>
      <c r="I212" s="112" t="n">
        <f aca="false">IF(MONTH($A212)=MONTH($A211),IF(G212=0,I211,G212),G212)</f>
        <v>24291</v>
      </c>
      <c r="J212" s="112" t="n">
        <f aca="false">IF(MONTH($A212)=MONTH($A211),SUM(I212-I211),I212)</f>
        <v>0</v>
      </c>
      <c r="K212" s="112" t="n">
        <f aca="false">IF(WEEKDAY(A212,3)&gt;4,0,(IF(A212&lt;K$2,0,IF(A212&lt;=K$3,1,0))))</f>
        <v>0</v>
      </c>
      <c r="L212" s="112" t="n">
        <f aca="false">J212*K212</f>
        <v>0</v>
      </c>
      <c r="M212" s="112" t="n">
        <f aca="false">SUM(J$188:J212)</f>
        <v>24291</v>
      </c>
      <c r="N212" s="112" t="n">
        <f aca="false">SUM(J$6:J212)</f>
        <v>558924.665417804</v>
      </c>
      <c r="P212" s="112" t="n">
        <f aca="false">D212/P$3</f>
        <v>0</v>
      </c>
      <c r="Q212" s="112" t="n">
        <f aca="false">E212/P$3</f>
        <v>0</v>
      </c>
      <c r="R212" s="112" t="n">
        <f aca="false">F212/R$3</f>
        <v>0</v>
      </c>
      <c r="S212" s="114" t="n">
        <f aca="false">J212/$R$3</f>
        <v>0</v>
      </c>
      <c r="T212" s="114" t="n">
        <f aca="false">L212/$R$3</f>
        <v>0</v>
      </c>
      <c r="U212" s="114" t="n">
        <f aca="false">I212/$R$3</f>
        <v>24.291</v>
      </c>
      <c r="V212" s="114" t="n">
        <f aca="false">M212/$R$3</f>
        <v>24.291</v>
      </c>
      <c r="W212" s="114" t="n">
        <f aca="false">N212/$R$3</f>
        <v>558.924665417804</v>
      </c>
    </row>
    <row r="213" customFormat="false" ht="12.75" hidden="false" customHeight="false" outlineLevel="0" collapsed="false">
      <c r="A213" s="108" t="n">
        <f aca="false">A212+1</f>
        <v>37099</v>
      </c>
      <c r="B213" s="119" t="str">
        <f aca="false">INDEX('Master Data'!$A$2:$B$8,MATCH(WEEKDAY('EZE Power Trading'!A213,3),'Master Data'!$A$2:$A$8,0),2)</f>
        <v>F</v>
      </c>
      <c r="D213" s="112" t="n">
        <v>0</v>
      </c>
      <c r="E213" s="112" t="n">
        <v>0</v>
      </c>
      <c r="F213" s="112" t="n">
        <v>0</v>
      </c>
      <c r="G213" s="112" t="n">
        <v>0</v>
      </c>
      <c r="I213" s="112" t="n">
        <f aca="false">IF(MONTH($A213)=MONTH($A212),IF(G213=0,I212,G213),G213)</f>
        <v>24291</v>
      </c>
      <c r="J213" s="112" t="n">
        <f aca="false">IF(MONTH($A213)=MONTH($A212),SUM(I213-I212),I213)</f>
        <v>0</v>
      </c>
      <c r="K213" s="112" t="n">
        <f aca="false">IF(WEEKDAY(A213,3)&gt;4,0,(IF(A213&lt;K$2,0,IF(A213&lt;=K$3,1,0))))</f>
        <v>0</v>
      </c>
      <c r="L213" s="112" t="n">
        <f aca="false">J213*K213</f>
        <v>0</v>
      </c>
      <c r="M213" s="112" t="n">
        <f aca="false">SUM(J$188:J213)</f>
        <v>24291</v>
      </c>
      <c r="N213" s="112" t="n">
        <f aca="false">SUM(J$6:J213)</f>
        <v>558924.665417804</v>
      </c>
      <c r="P213" s="112" t="n">
        <f aca="false">D213/P$3</f>
        <v>0</v>
      </c>
      <c r="Q213" s="112" t="n">
        <f aca="false">E213/P$3</f>
        <v>0</v>
      </c>
      <c r="R213" s="112" t="n">
        <f aca="false">F213/R$3</f>
        <v>0</v>
      </c>
      <c r="S213" s="114" t="n">
        <f aca="false">J213/$R$3</f>
        <v>0</v>
      </c>
      <c r="T213" s="114" t="n">
        <f aca="false">L213/$R$3</f>
        <v>0</v>
      </c>
      <c r="U213" s="114" t="n">
        <f aca="false">I213/$R$3</f>
        <v>24.291</v>
      </c>
      <c r="V213" s="114" t="n">
        <f aca="false">M213/$R$3</f>
        <v>24.291</v>
      </c>
      <c r="W213" s="114" t="n">
        <f aca="false">N213/$R$3</f>
        <v>558.924665417804</v>
      </c>
    </row>
    <row r="214" customFormat="false" ht="12.75" hidden="false" customHeight="false" outlineLevel="0" collapsed="false">
      <c r="A214" s="108" t="n">
        <f aca="false">A213+1</f>
        <v>37100</v>
      </c>
      <c r="B214" s="119" t="str">
        <f aca="false">INDEX('Master Data'!$A$2:$B$8,MATCH(WEEKDAY('EZE Power Trading'!A214,3),'Master Data'!$A$2:$A$8,0),2)</f>
        <v>Sa</v>
      </c>
      <c r="D214" s="112" t="n">
        <v>0</v>
      </c>
      <c r="E214" s="112" t="n">
        <v>0</v>
      </c>
      <c r="F214" s="112" t="n">
        <v>0</v>
      </c>
      <c r="G214" s="112" t="n">
        <v>0</v>
      </c>
      <c r="I214" s="112" t="n">
        <f aca="false">IF(MONTH($A214)=MONTH($A213),IF(G214=0,I213,G214),G214)</f>
        <v>24291</v>
      </c>
      <c r="J214" s="112" t="n">
        <f aca="false">IF(MONTH($A214)=MONTH($A213),SUM(I214-I213),I214)</f>
        <v>0</v>
      </c>
      <c r="K214" s="112" t="n">
        <f aca="false">IF(WEEKDAY(A214,3)&gt;4,0,(IF(A214&lt;K$2,0,IF(A214&lt;=K$3,1,0))))</f>
        <v>0</v>
      </c>
      <c r="L214" s="112" t="n">
        <f aca="false">J214*K214</f>
        <v>0</v>
      </c>
      <c r="M214" s="112" t="n">
        <f aca="false">SUM(J$188:J214)</f>
        <v>24291</v>
      </c>
      <c r="N214" s="112" t="n">
        <f aca="false">SUM(J$6:J214)</f>
        <v>558924.665417804</v>
      </c>
      <c r="P214" s="112" t="n">
        <f aca="false">D214/P$3</f>
        <v>0</v>
      </c>
      <c r="Q214" s="112" t="n">
        <f aca="false">E214/P$3</f>
        <v>0</v>
      </c>
      <c r="R214" s="112" t="n">
        <f aca="false">F214/R$3</f>
        <v>0</v>
      </c>
      <c r="S214" s="114" t="n">
        <f aca="false">J214/$R$3</f>
        <v>0</v>
      </c>
      <c r="T214" s="114" t="n">
        <f aca="false">L214/$R$3</f>
        <v>0</v>
      </c>
      <c r="U214" s="114" t="n">
        <f aca="false">I214/$R$3</f>
        <v>24.291</v>
      </c>
      <c r="V214" s="114" t="n">
        <f aca="false">M214/$R$3</f>
        <v>24.291</v>
      </c>
      <c r="W214" s="114" t="n">
        <f aca="false">N214/$R$3</f>
        <v>558.924665417804</v>
      </c>
    </row>
    <row r="215" customFormat="false" ht="12.75" hidden="false" customHeight="false" outlineLevel="0" collapsed="false">
      <c r="A215" s="108" t="n">
        <f aca="false">A214+1</f>
        <v>37101</v>
      </c>
      <c r="B215" s="119" t="str">
        <f aca="false">INDEX('Master Data'!$A$2:$B$8,MATCH(WEEKDAY('EZE Power Trading'!A215,3),'Master Data'!$A$2:$A$8,0),2)</f>
        <v>Su</v>
      </c>
      <c r="D215" s="112" t="n">
        <v>0</v>
      </c>
      <c r="E215" s="112" t="n">
        <v>0</v>
      </c>
      <c r="F215" s="112" t="n">
        <v>0</v>
      </c>
      <c r="G215" s="112" t="n">
        <v>0</v>
      </c>
      <c r="I215" s="112" t="n">
        <f aca="false">IF(MONTH($A215)=MONTH($A214),IF(G215=0,I214,G215),G215)</f>
        <v>24291</v>
      </c>
      <c r="J215" s="112" t="n">
        <f aca="false">IF(MONTH($A215)=MONTH($A214),SUM(I215-I214),I215)</f>
        <v>0</v>
      </c>
      <c r="K215" s="112" t="n">
        <f aca="false">IF(WEEKDAY(A215,3)&gt;4,0,(IF(A215&lt;K$2,0,IF(A215&lt;=K$3,1,0))))</f>
        <v>0</v>
      </c>
      <c r="L215" s="112" t="n">
        <f aca="false">J215*K215</f>
        <v>0</v>
      </c>
      <c r="M215" s="112" t="n">
        <f aca="false">SUM(J$188:J215)</f>
        <v>24291</v>
      </c>
      <c r="N215" s="112" t="n">
        <f aca="false">SUM(J$6:J215)</f>
        <v>558924.665417804</v>
      </c>
      <c r="P215" s="112" t="n">
        <f aca="false">D215/P$3</f>
        <v>0</v>
      </c>
      <c r="Q215" s="112" t="n">
        <f aca="false">E215/P$3</f>
        <v>0</v>
      </c>
      <c r="R215" s="112" t="n">
        <f aca="false">F215/R$3</f>
        <v>0</v>
      </c>
      <c r="S215" s="114" t="n">
        <f aca="false">J215/$R$3</f>
        <v>0</v>
      </c>
      <c r="T215" s="114" t="n">
        <f aca="false">L215/$R$3</f>
        <v>0</v>
      </c>
      <c r="U215" s="114" t="n">
        <f aca="false">I215/$R$3</f>
        <v>24.291</v>
      </c>
      <c r="V215" s="114" t="n">
        <f aca="false">M215/$R$3</f>
        <v>24.291</v>
      </c>
      <c r="W215" s="114" t="n">
        <f aca="false">N215/$R$3</f>
        <v>558.924665417804</v>
      </c>
    </row>
    <row r="216" customFormat="false" ht="12.75" hidden="false" customHeight="false" outlineLevel="0" collapsed="false">
      <c r="A216" s="108" t="n">
        <f aca="false">A215+1</f>
        <v>37102</v>
      </c>
      <c r="B216" s="119" t="str">
        <f aca="false">INDEX('Master Data'!$A$2:$B$8,MATCH(WEEKDAY('EZE Power Trading'!A216,3),'Master Data'!$A$2:$A$8,0),2)</f>
        <v>M</v>
      </c>
      <c r="D216" s="112" t="n">
        <v>0</v>
      </c>
      <c r="E216" s="112" t="n">
        <v>0</v>
      </c>
      <c r="F216" s="112" t="n">
        <v>0</v>
      </c>
      <c r="G216" s="112" t="n">
        <v>0</v>
      </c>
      <c r="I216" s="112" t="n">
        <f aca="false">IF(MONTH($A216)=MONTH($A215),IF(G216=0,I215,G216),G216)</f>
        <v>24291</v>
      </c>
      <c r="J216" s="112" t="n">
        <f aca="false">IF(MONTH($A216)=MONTH($A215),SUM(I216-I215),I216)</f>
        <v>0</v>
      </c>
      <c r="K216" s="112" t="n">
        <f aca="false">IF(WEEKDAY(A216,3)&gt;4,0,(IF(A216&lt;K$2,0,IF(A216&lt;=K$3,1,0))))</f>
        <v>0</v>
      </c>
      <c r="L216" s="112" t="n">
        <f aca="false">J216*K216</f>
        <v>0</v>
      </c>
      <c r="M216" s="112" t="n">
        <f aca="false">SUM(J$188:J216)</f>
        <v>24291</v>
      </c>
      <c r="N216" s="112" t="n">
        <f aca="false">SUM(J$6:J216)</f>
        <v>558924.665417804</v>
      </c>
      <c r="P216" s="112" t="n">
        <f aca="false">D216/P$3</f>
        <v>0</v>
      </c>
      <c r="Q216" s="112" t="n">
        <f aca="false">E216/P$3</f>
        <v>0</v>
      </c>
      <c r="R216" s="112" t="n">
        <f aca="false">F216/R$3</f>
        <v>0</v>
      </c>
      <c r="S216" s="114" t="n">
        <f aca="false">J216/$R$3</f>
        <v>0</v>
      </c>
      <c r="T216" s="114" t="n">
        <f aca="false">L216/$R$3</f>
        <v>0</v>
      </c>
      <c r="U216" s="114" t="n">
        <f aca="false">I216/$R$3</f>
        <v>24.291</v>
      </c>
      <c r="V216" s="114" t="n">
        <f aca="false">M216/$R$3</f>
        <v>24.291</v>
      </c>
      <c r="W216" s="114" t="n">
        <f aca="false">N216/$R$3</f>
        <v>558.924665417804</v>
      </c>
    </row>
    <row r="217" customFormat="false" ht="12.75" hidden="false" customHeight="false" outlineLevel="0" collapsed="false">
      <c r="A217" s="108" t="n">
        <f aca="false">A216+1</f>
        <v>37103</v>
      </c>
      <c r="B217" s="119" t="str">
        <f aca="false">INDEX('Master Data'!$A$2:$B$8,MATCH(WEEKDAY('EZE Power Trading'!A217,3),'Master Data'!$A$2:$A$8,0),2)</f>
        <v>T</v>
      </c>
      <c r="D217" s="112" t="n">
        <v>0</v>
      </c>
      <c r="E217" s="112" t="n">
        <v>0</v>
      </c>
      <c r="F217" s="112" t="n">
        <v>0</v>
      </c>
      <c r="G217" s="112" t="n">
        <v>0</v>
      </c>
      <c r="I217" s="112" t="n">
        <f aca="false">IF(MONTH($A217)=MONTH($A216),IF(G217=0,I216,G217),G217)</f>
        <v>24291</v>
      </c>
      <c r="J217" s="112" t="n">
        <f aca="false">IF(MONTH($A217)=MONTH($A216),SUM(I217-I216),I217)</f>
        <v>0</v>
      </c>
      <c r="K217" s="112" t="n">
        <f aca="false">IF(WEEKDAY(A217,3)&gt;4,0,(IF(A217&lt;K$2,0,IF(A217&lt;=K$3,1,0))))</f>
        <v>0</v>
      </c>
      <c r="L217" s="112" t="n">
        <f aca="false">J217*K217</f>
        <v>0</v>
      </c>
      <c r="M217" s="112" t="n">
        <f aca="false">SUM(J$188:J217)</f>
        <v>24291</v>
      </c>
      <c r="N217" s="112" t="n">
        <f aca="false">SUM(J$6:J217)</f>
        <v>558924.665417804</v>
      </c>
      <c r="P217" s="112" t="n">
        <f aca="false">D217/P$3</f>
        <v>0</v>
      </c>
      <c r="Q217" s="112" t="n">
        <f aca="false">E217/P$3</f>
        <v>0</v>
      </c>
      <c r="R217" s="112" t="n">
        <f aca="false">F217/R$3</f>
        <v>0</v>
      </c>
      <c r="S217" s="114" t="n">
        <f aca="false">J217/$R$3</f>
        <v>0</v>
      </c>
      <c r="T217" s="114" t="n">
        <f aca="false">L217/$R$3</f>
        <v>0</v>
      </c>
      <c r="U217" s="114" t="n">
        <f aca="false">I217/$R$3</f>
        <v>24.291</v>
      </c>
      <c r="V217" s="114" t="n">
        <f aca="false">M217/$R$3</f>
        <v>24.291</v>
      </c>
      <c r="W217" s="114" t="n">
        <f aca="false">N217/$R$3</f>
        <v>558.924665417804</v>
      </c>
    </row>
    <row r="218" customFormat="false" ht="12.75" hidden="false" customHeight="false" outlineLevel="0" collapsed="false">
      <c r="A218" s="108" t="n">
        <f aca="false">A217+1</f>
        <v>37104</v>
      </c>
      <c r="B218" s="119" t="str">
        <f aca="false">INDEX('Master Data'!$A$2:$B$8,MATCH(WEEKDAY('EZE Power Trading'!A218,3),'Master Data'!$A$2:$A$8,0),2)</f>
        <v>W</v>
      </c>
      <c r="D218" s="112" t="n">
        <v>0</v>
      </c>
      <c r="E218" s="112" t="n">
        <v>0</v>
      </c>
      <c r="F218" s="112" t="n">
        <v>0</v>
      </c>
      <c r="G218" s="112" t="n">
        <v>0</v>
      </c>
      <c r="I218" s="112" t="n">
        <f aca="false">IF(MONTH($A218)=MONTH($A217),IF(G218=0,I217,G218),G218)</f>
        <v>0</v>
      </c>
      <c r="J218" s="112" t="n">
        <f aca="false">IF(MONTH($A218)=MONTH($A217),SUM(I218-I217),I218)</f>
        <v>0</v>
      </c>
      <c r="K218" s="112" t="n">
        <f aca="false">IF(WEEKDAY(A218,3)&gt;4,0,(IF(A218&lt;K$2,0,IF(A218&lt;=K$3,1,0))))</f>
        <v>0</v>
      </c>
      <c r="L218" s="112" t="n">
        <f aca="false">J218*K218</f>
        <v>0</v>
      </c>
      <c r="M218" s="112" t="n">
        <f aca="false">SUM(J$188:J218)</f>
        <v>24291</v>
      </c>
      <c r="N218" s="112" t="n">
        <f aca="false">SUM(J$6:J218)</f>
        <v>558924.665417804</v>
      </c>
      <c r="P218" s="112" t="n">
        <f aca="false">D218/P$3</f>
        <v>0</v>
      </c>
      <c r="Q218" s="112" t="n">
        <f aca="false">E218/P$3</f>
        <v>0</v>
      </c>
      <c r="R218" s="112" t="n">
        <f aca="false">F218/R$3</f>
        <v>0</v>
      </c>
      <c r="S218" s="114" t="n">
        <f aca="false">J218/$R$3</f>
        <v>0</v>
      </c>
      <c r="T218" s="114" t="n">
        <f aca="false">L218/$R$3</f>
        <v>0</v>
      </c>
      <c r="U218" s="114" t="n">
        <f aca="false">I218/$R$3</f>
        <v>0</v>
      </c>
      <c r="V218" s="114" t="n">
        <f aca="false">M218/$R$3</f>
        <v>24.291</v>
      </c>
      <c r="W218" s="114" t="n">
        <f aca="false">N218/$R$3</f>
        <v>558.924665417804</v>
      </c>
    </row>
    <row r="219" customFormat="false" ht="12.75" hidden="false" customHeight="false" outlineLevel="0" collapsed="false">
      <c r="A219" s="108" t="n">
        <f aca="false">A218+1</f>
        <v>37105</v>
      </c>
      <c r="B219" s="119" t="str">
        <f aca="false">INDEX('Master Data'!$A$2:$B$8,MATCH(WEEKDAY('EZE Power Trading'!A219,3),'Master Data'!$A$2:$A$8,0),2)</f>
        <v>Th</v>
      </c>
      <c r="D219" s="112" t="n">
        <v>0</v>
      </c>
      <c r="E219" s="112" t="n">
        <v>0</v>
      </c>
      <c r="F219" s="112" t="n">
        <v>0</v>
      </c>
      <c r="G219" s="112" t="n">
        <v>0</v>
      </c>
      <c r="I219" s="112" t="n">
        <f aca="false">IF(MONTH($A219)=MONTH($A218),IF(G219=0,I218,G219),G219)</f>
        <v>0</v>
      </c>
      <c r="J219" s="112" t="n">
        <f aca="false">IF(MONTH($A219)=MONTH($A218),SUM(I219-I218),I219)</f>
        <v>0</v>
      </c>
      <c r="K219" s="112" t="n">
        <f aca="false">IF(WEEKDAY(A219,3)&gt;4,0,(IF(A219&lt;K$2,0,IF(A219&lt;=K$3,1,0))))</f>
        <v>0</v>
      </c>
      <c r="L219" s="112" t="n">
        <f aca="false">J219*K219</f>
        <v>0</v>
      </c>
      <c r="M219" s="112" t="n">
        <f aca="false">SUM(J$188:J219)</f>
        <v>24291</v>
      </c>
      <c r="N219" s="112" t="n">
        <f aca="false">SUM(J$6:J219)</f>
        <v>558924.665417804</v>
      </c>
      <c r="P219" s="112" t="n">
        <f aca="false">D219/P$3</f>
        <v>0</v>
      </c>
      <c r="Q219" s="112" t="n">
        <f aca="false">E219/P$3</f>
        <v>0</v>
      </c>
      <c r="R219" s="112" t="n">
        <f aca="false">F219/R$3</f>
        <v>0</v>
      </c>
      <c r="S219" s="114" t="n">
        <f aca="false">J219/$R$3</f>
        <v>0</v>
      </c>
      <c r="T219" s="114" t="n">
        <f aca="false">L219/$R$3</f>
        <v>0</v>
      </c>
      <c r="U219" s="114" t="n">
        <f aca="false">I219/$R$3</f>
        <v>0</v>
      </c>
      <c r="V219" s="114" t="n">
        <f aca="false">M219/$R$3</f>
        <v>24.291</v>
      </c>
      <c r="W219" s="114" t="n">
        <f aca="false">N219/$R$3</f>
        <v>558.924665417804</v>
      </c>
    </row>
    <row r="220" customFormat="false" ht="12.75" hidden="false" customHeight="false" outlineLevel="0" collapsed="false">
      <c r="A220" s="108" t="n">
        <f aca="false">A219+1</f>
        <v>37106</v>
      </c>
      <c r="B220" s="119" t="str">
        <f aca="false">INDEX('Master Data'!$A$2:$B$8,MATCH(WEEKDAY('EZE Power Trading'!A220,3),'Master Data'!$A$2:$A$8,0),2)</f>
        <v>F</v>
      </c>
      <c r="D220" s="112" t="n">
        <v>0</v>
      </c>
      <c r="E220" s="112" t="n">
        <v>0</v>
      </c>
      <c r="F220" s="112" t="n">
        <v>0</v>
      </c>
      <c r="G220" s="112" t="n">
        <v>0</v>
      </c>
      <c r="I220" s="112" t="n">
        <f aca="false">IF(MONTH($A220)=MONTH($A219),IF(G220=0,I219,G220),G220)</f>
        <v>0</v>
      </c>
      <c r="J220" s="112" t="n">
        <f aca="false">IF(MONTH($A220)=MONTH($A219),SUM(I220-I219),I220)</f>
        <v>0</v>
      </c>
      <c r="K220" s="112" t="n">
        <f aca="false">IF(WEEKDAY(A220,3)&gt;4,0,(IF(A220&lt;K$2,0,IF(A220&lt;=K$3,1,0))))</f>
        <v>0</v>
      </c>
      <c r="L220" s="112" t="n">
        <f aca="false">J220*K220</f>
        <v>0</v>
      </c>
      <c r="M220" s="112" t="n">
        <f aca="false">SUM(J$188:J220)</f>
        <v>24291</v>
      </c>
      <c r="N220" s="112" t="n">
        <f aca="false">SUM(J$6:J220)</f>
        <v>558924.665417804</v>
      </c>
      <c r="P220" s="112" t="n">
        <f aca="false">D220/P$3</f>
        <v>0</v>
      </c>
      <c r="Q220" s="112" t="n">
        <f aca="false">E220/P$3</f>
        <v>0</v>
      </c>
      <c r="R220" s="112" t="n">
        <f aca="false">F220/R$3</f>
        <v>0</v>
      </c>
      <c r="S220" s="114" t="n">
        <f aca="false">J220/$R$3</f>
        <v>0</v>
      </c>
      <c r="T220" s="114" t="n">
        <f aca="false">L220/$R$3</f>
        <v>0</v>
      </c>
      <c r="U220" s="114" t="n">
        <f aca="false">I220/$R$3</f>
        <v>0</v>
      </c>
      <c r="V220" s="114" t="n">
        <f aca="false">M220/$R$3</f>
        <v>24.291</v>
      </c>
      <c r="W220" s="114" t="n">
        <f aca="false">N220/$R$3</f>
        <v>558.924665417804</v>
      </c>
    </row>
    <row r="221" customFormat="false" ht="12.75" hidden="false" customHeight="false" outlineLevel="0" collapsed="false">
      <c r="A221" s="108" t="n">
        <f aca="false">A220+1</f>
        <v>37107</v>
      </c>
      <c r="B221" s="119" t="str">
        <f aca="false">INDEX('Master Data'!$A$2:$B$8,MATCH(WEEKDAY('EZE Power Trading'!A221,3),'Master Data'!$A$2:$A$8,0),2)</f>
        <v>Sa</v>
      </c>
      <c r="D221" s="112" t="n">
        <v>0</v>
      </c>
      <c r="E221" s="112" t="n">
        <v>0</v>
      </c>
      <c r="F221" s="112" t="n">
        <v>0</v>
      </c>
      <c r="G221" s="112" t="n">
        <v>0</v>
      </c>
      <c r="I221" s="112" t="n">
        <f aca="false">IF(MONTH($A221)=MONTH($A220),IF(G221=0,I220,G221),G221)</f>
        <v>0</v>
      </c>
      <c r="J221" s="112" t="n">
        <f aca="false">IF(MONTH($A221)=MONTH($A220),SUM(I221-I220),I221)</f>
        <v>0</v>
      </c>
      <c r="K221" s="112" t="n">
        <f aca="false">IF(WEEKDAY(A221,3)&gt;4,0,(IF(A221&lt;K$2,0,IF(A221&lt;=K$3,1,0))))</f>
        <v>0</v>
      </c>
      <c r="L221" s="112" t="n">
        <f aca="false">J221*K221</f>
        <v>0</v>
      </c>
      <c r="M221" s="112" t="n">
        <f aca="false">SUM(J$188:J221)</f>
        <v>24291</v>
      </c>
      <c r="N221" s="112" t="n">
        <f aca="false">SUM(J$6:J221)</f>
        <v>558924.665417804</v>
      </c>
      <c r="P221" s="112" t="n">
        <f aca="false">D221/P$3</f>
        <v>0</v>
      </c>
      <c r="Q221" s="112" t="n">
        <f aca="false">E221/P$3</f>
        <v>0</v>
      </c>
      <c r="R221" s="112" t="n">
        <f aca="false">F221/R$3</f>
        <v>0</v>
      </c>
      <c r="S221" s="114" t="n">
        <f aca="false">J221/$R$3</f>
        <v>0</v>
      </c>
      <c r="T221" s="114" t="n">
        <f aca="false">L221/$R$3</f>
        <v>0</v>
      </c>
      <c r="U221" s="114" t="n">
        <f aca="false">I221/$R$3</f>
        <v>0</v>
      </c>
      <c r="V221" s="114" t="n">
        <f aca="false">M221/$R$3</f>
        <v>24.291</v>
      </c>
      <c r="W221" s="114" t="n">
        <f aca="false">N221/$R$3</f>
        <v>558.924665417804</v>
      </c>
    </row>
    <row r="222" customFormat="false" ht="12.75" hidden="false" customHeight="false" outlineLevel="0" collapsed="false">
      <c r="A222" s="108" t="n">
        <f aca="false">A221+1</f>
        <v>37108</v>
      </c>
      <c r="B222" s="119" t="str">
        <f aca="false">INDEX('Master Data'!$A$2:$B$8,MATCH(WEEKDAY('EZE Power Trading'!A222,3),'Master Data'!$A$2:$A$8,0),2)</f>
        <v>Su</v>
      </c>
      <c r="D222" s="112" t="n">
        <v>0</v>
      </c>
      <c r="E222" s="112" t="n">
        <v>0</v>
      </c>
      <c r="F222" s="112" t="n">
        <v>0</v>
      </c>
      <c r="G222" s="112" t="n">
        <v>0</v>
      </c>
      <c r="I222" s="112" t="n">
        <f aca="false">IF(MONTH($A222)=MONTH($A221),IF(G222=0,I221,G222),G222)</f>
        <v>0</v>
      </c>
      <c r="J222" s="112" t="n">
        <f aca="false">IF(MONTH($A222)=MONTH($A221),SUM(I222-I221),I222)</f>
        <v>0</v>
      </c>
      <c r="K222" s="112" t="n">
        <f aca="false">IF(WEEKDAY(A222,3)&gt;4,0,(IF(A222&lt;K$2,0,IF(A222&lt;=K$3,1,0))))</f>
        <v>0</v>
      </c>
      <c r="L222" s="112" t="n">
        <f aca="false">J222*K222</f>
        <v>0</v>
      </c>
      <c r="M222" s="112" t="n">
        <f aca="false">SUM(J$188:J222)</f>
        <v>24291</v>
      </c>
      <c r="N222" s="112" t="n">
        <f aca="false">SUM(J$6:J222)</f>
        <v>558924.665417804</v>
      </c>
      <c r="P222" s="112" t="n">
        <f aca="false">D222/P$3</f>
        <v>0</v>
      </c>
      <c r="Q222" s="112" t="n">
        <f aca="false">E222/P$3</f>
        <v>0</v>
      </c>
      <c r="R222" s="112" t="n">
        <f aca="false">F222/R$3</f>
        <v>0</v>
      </c>
      <c r="S222" s="114" t="n">
        <f aca="false">J222/$R$3</f>
        <v>0</v>
      </c>
      <c r="T222" s="114" t="n">
        <f aca="false">L222/$R$3</f>
        <v>0</v>
      </c>
      <c r="U222" s="114" t="n">
        <f aca="false">I222/$R$3</f>
        <v>0</v>
      </c>
      <c r="V222" s="114" t="n">
        <f aca="false">M222/$R$3</f>
        <v>24.291</v>
      </c>
      <c r="W222" s="114" t="n">
        <f aca="false">N222/$R$3</f>
        <v>558.924665417804</v>
      </c>
    </row>
    <row r="223" customFormat="false" ht="12.75" hidden="false" customHeight="false" outlineLevel="0" collapsed="false">
      <c r="A223" s="108" t="n">
        <f aca="false">A222+1</f>
        <v>37109</v>
      </c>
      <c r="B223" s="119" t="str">
        <f aca="false">INDEX('Master Data'!$A$2:$B$8,MATCH(WEEKDAY('EZE Power Trading'!A223,3),'Master Data'!$A$2:$A$8,0),2)</f>
        <v>M</v>
      </c>
      <c r="D223" s="112" t="n">
        <v>0</v>
      </c>
      <c r="E223" s="112" t="n">
        <v>0</v>
      </c>
      <c r="F223" s="112" t="n">
        <v>0</v>
      </c>
      <c r="G223" s="112" t="n">
        <v>0</v>
      </c>
      <c r="I223" s="112" t="n">
        <f aca="false">IF(MONTH($A223)=MONTH($A222),IF(G223=0,I222,G223),G223)</f>
        <v>0</v>
      </c>
      <c r="J223" s="112" t="n">
        <f aca="false">IF(MONTH($A223)=MONTH($A222),SUM(I223-I222),I223)</f>
        <v>0</v>
      </c>
      <c r="K223" s="112" t="n">
        <f aca="false">IF(WEEKDAY(A223,3)&gt;4,0,(IF(A223&lt;K$2,0,IF(A223&lt;=K$3,1,0))))</f>
        <v>0</v>
      </c>
      <c r="L223" s="112" t="n">
        <f aca="false">J223*K223</f>
        <v>0</v>
      </c>
      <c r="M223" s="112" t="n">
        <f aca="false">SUM(J$188:J223)</f>
        <v>24291</v>
      </c>
      <c r="N223" s="112" t="n">
        <f aca="false">SUM(J$6:J223)</f>
        <v>558924.665417804</v>
      </c>
      <c r="P223" s="112" t="n">
        <f aca="false">D223/P$3</f>
        <v>0</v>
      </c>
      <c r="Q223" s="112" t="n">
        <f aca="false">E223/P$3</f>
        <v>0</v>
      </c>
      <c r="R223" s="112" t="n">
        <f aca="false">F223/R$3</f>
        <v>0</v>
      </c>
      <c r="S223" s="114" t="n">
        <f aca="false">J223/$R$3</f>
        <v>0</v>
      </c>
      <c r="T223" s="114" t="n">
        <f aca="false">L223/$R$3</f>
        <v>0</v>
      </c>
      <c r="U223" s="114" t="n">
        <f aca="false">I223/$R$3</f>
        <v>0</v>
      </c>
      <c r="V223" s="114" t="n">
        <f aca="false">M223/$R$3</f>
        <v>24.291</v>
      </c>
      <c r="W223" s="114" t="n">
        <f aca="false">N223/$R$3</f>
        <v>558.924665417804</v>
      </c>
    </row>
    <row r="224" customFormat="false" ht="12.75" hidden="false" customHeight="false" outlineLevel="0" collapsed="false">
      <c r="A224" s="108" t="n">
        <f aca="false">A223+1</f>
        <v>37110</v>
      </c>
      <c r="B224" s="119" t="str">
        <f aca="false">INDEX('Master Data'!$A$2:$B$8,MATCH(WEEKDAY('EZE Power Trading'!A224,3),'Master Data'!$A$2:$A$8,0),2)</f>
        <v>T</v>
      </c>
      <c r="D224" s="112" t="n">
        <v>0</v>
      </c>
      <c r="E224" s="112" t="n">
        <v>0</v>
      </c>
      <c r="F224" s="112" t="n">
        <v>0</v>
      </c>
      <c r="G224" s="112" t="n">
        <v>0</v>
      </c>
      <c r="I224" s="112" t="n">
        <f aca="false">IF(MONTH($A224)=MONTH($A223),IF(G224=0,I223,G224),G224)</f>
        <v>0</v>
      </c>
      <c r="J224" s="112" t="n">
        <f aca="false">IF(MONTH($A224)=MONTH($A223),SUM(I224-I223),I224)</f>
        <v>0</v>
      </c>
      <c r="K224" s="112" t="n">
        <f aca="false">IF(WEEKDAY(A224,3)&gt;4,0,(IF(A224&lt;K$2,0,IF(A224&lt;=K$3,1,0))))</f>
        <v>0</v>
      </c>
      <c r="L224" s="112" t="n">
        <f aca="false">J224*K224</f>
        <v>0</v>
      </c>
      <c r="M224" s="112" t="n">
        <f aca="false">SUM(J$188:J224)</f>
        <v>24291</v>
      </c>
      <c r="N224" s="112" t="n">
        <f aca="false">SUM(J$6:J224)</f>
        <v>558924.665417804</v>
      </c>
      <c r="P224" s="112" t="n">
        <f aca="false">D224/P$3</f>
        <v>0</v>
      </c>
      <c r="Q224" s="112" t="n">
        <f aca="false">E224/P$3</f>
        <v>0</v>
      </c>
      <c r="R224" s="112" t="n">
        <f aca="false">F224/R$3</f>
        <v>0</v>
      </c>
      <c r="S224" s="114" t="n">
        <f aca="false">J224/$R$3</f>
        <v>0</v>
      </c>
      <c r="T224" s="114" t="n">
        <f aca="false">L224/$R$3</f>
        <v>0</v>
      </c>
      <c r="U224" s="114" t="n">
        <f aca="false">I224/$R$3</f>
        <v>0</v>
      </c>
      <c r="V224" s="114" t="n">
        <f aca="false">M224/$R$3</f>
        <v>24.291</v>
      </c>
      <c r="W224" s="114" t="n">
        <f aca="false">N224/$R$3</f>
        <v>558.924665417804</v>
      </c>
    </row>
    <row r="225" customFormat="false" ht="12.75" hidden="false" customHeight="false" outlineLevel="0" collapsed="false">
      <c r="A225" s="108" t="n">
        <f aca="false">A224+1</f>
        <v>37111</v>
      </c>
      <c r="B225" s="119" t="str">
        <f aca="false">INDEX('Master Data'!$A$2:$B$8,MATCH(WEEKDAY('EZE Power Trading'!A225,3),'Master Data'!$A$2:$A$8,0),2)</f>
        <v>W</v>
      </c>
      <c r="D225" s="112" t="n">
        <v>0</v>
      </c>
      <c r="E225" s="112" t="n">
        <v>0</v>
      </c>
      <c r="F225" s="112" t="n">
        <v>0</v>
      </c>
      <c r="G225" s="112" t="n">
        <v>0</v>
      </c>
      <c r="I225" s="112" t="n">
        <f aca="false">IF(MONTH($A225)=MONTH($A224),IF(G225=0,I224,G225),G225)</f>
        <v>0</v>
      </c>
      <c r="J225" s="112" t="n">
        <f aca="false">IF(MONTH($A225)=MONTH($A224),SUM(I225-I224),I225)</f>
        <v>0</v>
      </c>
      <c r="K225" s="112" t="n">
        <f aca="false">IF(WEEKDAY(A225,3)&gt;4,0,(IF(A225&lt;K$2,0,IF(A225&lt;=K$3,1,0))))</f>
        <v>0</v>
      </c>
      <c r="L225" s="112" t="n">
        <f aca="false">J225*K225</f>
        <v>0</v>
      </c>
      <c r="M225" s="112" t="n">
        <f aca="false">SUM(J$188:J225)</f>
        <v>24291</v>
      </c>
      <c r="N225" s="112" t="n">
        <f aca="false">SUM(J$6:J225)</f>
        <v>558924.665417804</v>
      </c>
      <c r="P225" s="112" t="n">
        <f aca="false">D225/P$3</f>
        <v>0</v>
      </c>
      <c r="Q225" s="112" t="n">
        <f aca="false">E225/P$3</f>
        <v>0</v>
      </c>
      <c r="R225" s="112" t="n">
        <f aca="false">F225/R$3</f>
        <v>0</v>
      </c>
      <c r="S225" s="114" t="n">
        <f aca="false">J225/$R$3</f>
        <v>0</v>
      </c>
      <c r="T225" s="114" t="n">
        <f aca="false">L225/$R$3</f>
        <v>0</v>
      </c>
      <c r="U225" s="114" t="n">
        <f aca="false">I225/$R$3</f>
        <v>0</v>
      </c>
      <c r="V225" s="114" t="n">
        <f aca="false">M225/$R$3</f>
        <v>24.291</v>
      </c>
      <c r="W225" s="114" t="n">
        <f aca="false">N225/$R$3</f>
        <v>558.924665417804</v>
      </c>
    </row>
    <row r="226" customFormat="false" ht="12.75" hidden="false" customHeight="false" outlineLevel="0" collapsed="false">
      <c r="A226" s="108" t="n">
        <f aca="false">A225+1</f>
        <v>37112</v>
      </c>
      <c r="B226" s="119" t="str">
        <f aca="false">INDEX('Master Data'!$A$2:$B$8,MATCH(WEEKDAY('EZE Power Trading'!A226,3),'Master Data'!$A$2:$A$8,0),2)</f>
        <v>Th</v>
      </c>
      <c r="D226" s="112" t="n">
        <v>0</v>
      </c>
      <c r="E226" s="112" t="n">
        <v>0</v>
      </c>
      <c r="F226" s="112" t="n">
        <v>0</v>
      </c>
      <c r="G226" s="112" t="n">
        <v>0</v>
      </c>
      <c r="I226" s="112" t="n">
        <f aca="false">IF(MONTH($A226)=MONTH($A225),IF(G226=0,I225,G226),G226)</f>
        <v>0</v>
      </c>
      <c r="J226" s="112" t="n">
        <f aca="false">IF(MONTH($A226)=MONTH($A225),SUM(I226-I225),I226)</f>
        <v>0</v>
      </c>
      <c r="K226" s="112" t="n">
        <f aca="false">IF(WEEKDAY(A226,3)&gt;4,0,(IF(A226&lt;K$2,0,IF(A226&lt;=K$3,1,0))))</f>
        <v>0</v>
      </c>
      <c r="L226" s="112" t="n">
        <f aca="false">J226*K226</f>
        <v>0</v>
      </c>
      <c r="M226" s="112" t="n">
        <f aca="false">SUM(J$188:J226)</f>
        <v>24291</v>
      </c>
      <c r="N226" s="112" t="n">
        <f aca="false">SUM(J$6:J226)</f>
        <v>558924.665417804</v>
      </c>
      <c r="P226" s="112" t="n">
        <f aca="false">D226/P$3</f>
        <v>0</v>
      </c>
      <c r="Q226" s="112" t="n">
        <f aca="false">E226/P$3</f>
        <v>0</v>
      </c>
      <c r="R226" s="112" t="n">
        <f aca="false">F226/R$3</f>
        <v>0</v>
      </c>
      <c r="S226" s="114" t="n">
        <f aca="false">J226/$R$3</f>
        <v>0</v>
      </c>
      <c r="T226" s="114" t="n">
        <f aca="false">L226/$R$3</f>
        <v>0</v>
      </c>
      <c r="U226" s="114" t="n">
        <f aca="false">I226/$R$3</f>
        <v>0</v>
      </c>
      <c r="V226" s="114" t="n">
        <f aca="false">M226/$R$3</f>
        <v>24.291</v>
      </c>
      <c r="W226" s="114" t="n">
        <f aca="false">N226/$R$3</f>
        <v>558.924665417804</v>
      </c>
    </row>
    <row r="227" customFormat="false" ht="12.75" hidden="false" customHeight="false" outlineLevel="0" collapsed="false">
      <c r="A227" s="108" t="n">
        <f aca="false">A226+1</f>
        <v>37113</v>
      </c>
      <c r="B227" s="119" t="str">
        <f aca="false">INDEX('Master Data'!$A$2:$B$8,MATCH(WEEKDAY('EZE Power Trading'!A227,3),'Master Data'!$A$2:$A$8,0),2)</f>
        <v>F</v>
      </c>
      <c r="D227" s="112" t="n">
        <v>0</v>
      </c>
      <c r="E227" s="112" t="n">
        <v>0</v>
      </c>
      <c r="F227" s="112" t="n">
        <v>0</v>
      </c>
      <c r="G227" s="112" t="n">
        <v>0</v>
      </c>
      <c r="I227" s="112" t="n">
        <f aca="false">IF(MONTH($A227)=MONTH($A226),IF(G227=0,I226,G227),G227)</f>
        <v>0</v>
      </c>
      <c r="J227" s="112" t="n">
        <f aca="false">IF(MONTH($A227)=MONTH($A226),SUM(I227-I226),I227)</f>
        <v>0</v>
      </c>
      <c r="K227" s="112" t="n">
        <f aca="false">IF(WEEKDAY(A227,3)&gt;4,0,(IF(A227&lt;K$2,0,IF(A227&lt;=K$3,1,0))))</f>
        <v>0</v>
      </c>
      <c r="L227" s="112" t="n">
        <f aca="false">J227*K227</f>
        <v>0</v>
      </c>
      <c r="M227" s="112" t="n">
        <f aca="false">SUM(J$188:J227)</f>
        <v>24291</v>
      </c>
      <c r="N227" s="112" t="n">
        <f aca="false">SUM(J$6:J227)</f>
        <v>558924.665417804</v>
      </c>
      <c r="P227" s="112" t="n">
        <f aca="false">D227/P$3</f>
        <v>0</v>
      </c>
      <c r="Q227" s="112" t="n">
        <f aca="false">E227/P$3</f>
        <v>0</v>
      </c>
      <c r="R227" s="112" t="n">
        <f aca="false">F227/R$3</f>
        <v>0</v>
      </c>
      <c r="S227" s="114" t="n">
        <f aca="false">J227/$R$3</f>
        <v>0</v>
      </c>
      <c r="T227" s="114" t="n">
        <f aca="false">L227/$R$3</f>
        <v>0</v>
      </c>
      <c r="U227" s="114" t="n">
        <f aca="false">I227/$R$3</f>
        <v>0</v>
      </c>
      <c r="V227" s="114" t="n">
        <f aca="false">M227/$R$3</f>
        <v>24.291</v>
      </c>
      <c r="W227" s="114" t="n">
        <f aca="false">N227/$R$3</f>
        <v>558.924665417804</v>
      </c>
    </row>
    <row r="228" customFormat="false" ht="12.75" hidden="false" customHeight="false" outlineLevel="0" collapsed="false">
      <c r="A228" s="108" t="n">
        <f aca="false">A227+1</f>
        <v>37114</v>
      </c>
      <c r="B228" s="119" t="str">
        <f aca="false">INDEX('Master Data'!$A$2:$B$8,MATCH(WEEKDAY('EZE Power Trading'!A228,3),'Master Data'!$A$2:$A$8,0),2)</f>
        <v>Sa</v>
      </c>
      <c r="D228" s="112" t="n">
        <v>0</v>
      </c>
      <c r="E228" s="112" t="n">
        <v>0</v>
      </c>
      <c r="F228" s="112" t="n">
        <v>0</v>
      </c>
      <c r="G228" s="112" t="n">
        <v>0</v>
      </c>
      <c r="I228" s="112" t="n">
        <f aca="false">IF(MONTH($A228)=MONTH($A227),IF(G228=0,I227,G228),G228)</f>
        <v>0</v>
      </c>
      <c r="J228" s="112" t="n">
        <f aca="false">IF(MONTH($A228)=MONTH($A227),SUM(I228-I227),I228)</f>
        <v>0</v>
      </c>
      <c r="K228" s="112" t="n">
        <f aca="false">IF(WEEKDAY(A228,3)&gt;4,0,(IF(A228&lt;K$2,0,IF(A228&lt;=K$3,1,0))))</f>
        <v>0</v>
      </c>
      <c r="L228" s="112" t="n">
        <f aca="false">J228*K228</f>
        <v>0</v>
      </c>
      <c r="M228" s="112" t="n">
        <f aca="false">SUM(J$188:J228)</f>
        <v>24291</v>
      </c>
      <c r="N228" s="112" t="n">
        <f aca="false">SUM(J$6:J228)</f>
        <v>558924.665417804</v>
      </c>
      <c r="P228" s="112" t="n">
        <f aca="false">D228/P$3</f>
        <v>0</v>
      </c>
      <c r="Q228" s="112" t="n">
        <f aca="false">E228/P$3</f>
        <v>0</v>
      </c>
      <c r="R228" s="112" t="n">
        <f aca="false">F228/R$3</f>
        <v>0</v>
      </c>
      <c r="S228" s="114" t="n">
        <f aca="false">J228/$R$3</f>
        <v>0</v>
      </c>
      <c r="T228" s="114" t="n">
        <f aca="false">L228/$R$3</f>
        <v>0</v>
      </c>
      <c r="U228" s="114" t="n">
        <f aca="false">I228/$R$3</f>
        <v>0</v>
      </c>
      <c r="V228" s="114" t="n">
        <f aca="false">M228/$R$3</f>
        <v>24.291</v>
      </c>
      <c r="W228" s="114" t="n">
        <f aca="false">N228/$R$3</f>
        <v>558.924665417804</v>
      </c>
    </row>
    <row r="229" customFormat="false" ht="12.75" hidden="false" customHeight="false" outlineLevel="0" collapsed="false">
      <c r="A229" s="108" t="n">
        <f aca="false">A228+1</f>
        <v>37115</v>
      </c>
      <c r="B229" s="119" t="str">
        <f aca="false">INDEX('Master Data'!$A$2:$B$8,MATCH(WEEKDAY('EZE Power Trading'!A229,3),'Master Data'!$A$2:$A$8,0),2)</f>
        <v>Su</v>
      </c>
      <c r="D229" s="112" t="n">
        <v>0</v>
      </c>
      <c r="E229" s="112" t="n">
        <v>0</v>
      </c>
      <c r="F229" s="112" t="n">
        <v>0</v>
      </c>
      <c r="G229" s="112" t="n">
        <v>0</v>
      </c>
      <c r="I229" s="112" t="n">
        <f aca="false">IF(MONTH($A229)=MONTH($A228),IF(G229=0,I228,G229),G229)</f>
        <v>0</v>
      </c>
      <c r="J229" s="112" t="n">
        <f aca="false">IF(MONTH($A229)=MONTH($A228),SUM(I229-I228),I229)</f>
        <v>0</v>
      </c>
      <c r="K229" s="112" t="n">
        <f aca="false">IF(WEEKDAY(A229,3)&gt;4,0,(IF(A229&lt;K$2,0,IF(A229&lt;=K$3,1,0))))</f>
        <v>0</v>
      </c>
      <c r="L229" s="112" t="n">
        <f aca="false">J229*K229</f>
        <v>0</v>
      </c>
      <c r="M229" s="112" t="n">
        <f aca="false">SUM(J$188:J229)</f>
        <v>24291</v>
      </c>
      <c r="N229" s="112" t="n">
        <f aca="false">SUM(J$6:J229)</f>
        <v>558924.665417804</v>
      </c>
      <c r="P229" s="112" t="n">
        <f aca="false">D229/P$3</f>
        <v>0</v>
      </c>
      <c r="Q229" s="112" t="n">
        <f aca="false">E229/P$3</f>
        <v>0</v>
      </c>
      <c r="R229" s="112" t="n">
        <f aca="false">F229/R$3</f>
        <v>0</v>
      </c>
      <c r="S229" s="114" t="n">
        <f aca="false">J229/$R$3</f>
        <v>0</v>
      </c>
      <c r="T229" s="114" t="n">
        <f aca="false">L229/$R$3</f>
        <v>0</v>
      </c>
      <c r="U229" s="114" t="n">
        <f aca="false">I229/$R$3</f>
        <v>0</v>
      </c>
      <c r="V229" s="114" t="n">
        <f aca="false">M229/$R$3</f>
        <v>24.291</v>
      </c>
      <c r="W229" s="114" t="n">
        <f aca="false">N229/$R$3</f>
        <v>558.924665417804</v>
      </c>
    </row>
    <row r="230" customFormat="false" ht="12.75" hidden="false" customHeight="false" outlineLevel="0" collapsed="false">
      <c r="A230" s="108" t="n">
        <f aca="false">A229+1</f>
        <v>37116</v>
      </c>
      <c r="B230" s="119" t="str">
        <f aca="false">INDEX('Master Data'!$A$2:$B$8,MATCH(WEEKDAY('EZE Power Trading'!A230,3),'Master Data'!$A$2:$A$8,0),2)</f>
        <v>M</v>
      </c>
      <c r="D230" s="112" t="n">
        <v>0</v>
      </c>
      <c r="E230" s="112" t="n">
        <v>0</v>
      </c>
      <c r="F230" s="112" t="n">
        <v>0</v>
      </c>
      <c r="G230" s="112" t="n">
        <v>0</v>
      </c>
      <c r="I230" s="112" t="n">
        <f aca="false">IF(MONTH($A230)=MONTH($A229),IF(G230=0,I229,G230),G230)</f>
        <v>0</v>
      </c>
      <c r="J230" s="112" t="n">
        <f aca="false">IF(MONTH($A230)=MONTH($A229),SUM(I230-I229),I230)</f>
        <v>0</v>
      </c>
      <c r="K230" s="112" t="n">
        <f aca="false">IF(WEEKDAY(A230,3)&gt;4,0,(IF(A230&lt;K$2,0,IF(A230&lt;=K$3,1,0))))</f>
        <v>0</v>
      </c>
      <c r="L230" s="112" t="n">
        <f aca="false">J230*K230</f>
        <v>0</v>
      </c>
      <c r="M230" s="112" t="n">
        <f aca="false">SUM(J$188:J230)</f>
        <v>24291</v>
      </c>
      <c r="N230" s="112" t="n">
        <f aca="false">SUM(J$6:J230)</f>
        <v>558924.665417804</v>
      </c>
      <c r="P230" s="112" t="n">
        <f aca="false">D230/P$3</f>
        <v>0</v>
      </c>
      <c r="Q230" s="112" t="n">
        <f aca="false">E230/P$3</f>
        <v>0</v>
      </c>
      <c r="R230" s="112" t="n">
        <f aca="false">F230/R$3</f>
        <v>0</v>
      </c>
      <c r="S230" s="114" t="n">
        <f aca="false">J230/$R$3</f>
        <v>0</v>
      </c>
      <c r="T230" s="114" t="n">
        <f aca="false">L230/$R$3</f>
        <v>0</v>
      </c>
      <c r="U230" s="114" t="n">
        <f aca="false">I230/$R$3</f>
        <v>0</v>
      </c>
      <c r="V230" s="114" t="n">
        <f aca="false">M230/$R$3</f>
        <v>24.291</v>
      </c>
      <c r="W230" s="114" t="n">
        <f aca="false">N230/$R$3</f>
        <v>558.924665417804</v>
      </c>
    </row>
    <row r="231" customFormat="false" ht="12.75" hidden="false" customHeight="false" outlineLevel="0" collapsed="false">
      <c r="A231" s="108" t="n">
        <f aca="false">A230+1</f>
        <v>37117</v>
      </c>
      <c r="B231" s="119" t="str">
        <f aca="false">INDEX('Master Data'!$A$2:$B$8,MATCH(WEEKDAY('EZE Power Trading'!A231,3),'Master Data'!$A$2:$A$8,0),2)</f>
        <v>T</v>
      </c>
      <c r="D231" s="112" t="n">
        <v>0</v>
      </c>
      <c r="E231" s="112" t="n">
        <v>0</v>
      </c>
      <c r="F231" s="112" t="n">
        <v>0</v>
      </c>
      <c r="G231" s="112" t="n">
        <v>0</v>
      </c>
      <c r="I231" s="112" t="n">
        <f aca="false">IF(MONTH($A231)=MONTH($A230),IF(G231=0,I230,G231),G231)</f>
        <v>0</v>
      </c>
      <c r="J231" s="112" t="n">
        <f aca="false">IF(MONTH($A231)=MONTH($A230),SUM(I231-I230),I231)</f>
        <v>0</v>
      </c>
      <c r="K231" s="112" t="n">
        <f aca="false">IF(WEEKDAY(A231,3)&gt;4,0,(IF(A231&lt;K$2,0,IF(A231&lt;=K$3,1,0))))</f>
        <v>0</v>
      </c>
      <c r="L231" s="112" t="n">
        <f aca="false">J231*K231</f>
        <v>0</v>
      </c>
      <c r="M231" s="112" t="n">
        <f aca="false">SUM(J$188:J231)</f>
        <v>24291</v>
      </c>
      <c r="N231" s="112" t="n">
        <f aca="false">SUM(J$6:J231)</f>
        <v>558924.665417804</v>
      </c>
      <c r="P231" s="112" t="n">
        <f aca="false">D231/P$3</f>
        <v>0</v>
      </c>
      <c r="Q231" s="112" t="n">
        <f aca="false">E231/P$3</f>
        <v>0</v>
      </c>
      <c r="R231" s="112" t="n">
        <f aca="false">F231/R$3</f>
        <v>0</v>
      </c>
      <c r="S231" s="114" t="n">
        <f aca="false">J231/$R$3</f>
        <v>0</v>
      </c>
      <c r="T231" s="114" t="n">
        <f aca="false">L231/$R$3</f>
        <v>0</v>
      </c>
      <c r="U231" s="114" t="n">
        <f aca="false">I231/$R$3</f>
        <v>0</v>
      </c>
      <c r="V231" s="114" t="n">
        <f aca="false">M231/$R$3</f>
        <v>24.291</v>
      </c>
      <c r="W231" s="114" t="n">
        <f aca="false">N231/$R$3</f>
        <v>558.924665417804</v>
      </c>
    </row>
    <row r="232" customFormat="false" ht="12.75" hidden="false" customHeight="false" outlineLevel="0" collapsed="false">
      <c r="A232" s="108" t="n">
        <f aca="false">A231+1</f>
        <v>37118</v>
      </c>
      <c r="B232" s="119" t="str">
        <f aca="false">INDEX('Master Data'!$A$2:$B$8,MATCH(WEEKDAY('EZE Power Trading'!A232,3),'Master Data'!$A$2:$A$8,0),2)</f>
        <v>W</v>
      </c>
      <c r="D232" s="112" t="n">
        <v>0</v>
      </c>
      <c r="E232" s="112" t="n">
        <v>0</v>
      </c>
      <c r="F232" s="112" t="n">
        <v>0</v>
      </c>
      <c r="G232" s="112" t="n">
        <v>0</v>
      </c>
      <c r="I232" s="112" t="n">
        <f aca="false">IF(MONTH($A232)=MONTH($A231),IF(G232=0,I231,G232),G232)</f>
        <v>0</v>
      </c>
      <c r="J232" s="112" t="n">
        <f aca="false">IF(MONTH($A232)=MONTH($A231),SUM(I232-I231),I232)</f>
        <v>0</v>
      </c>
      <c r="K232" s="112" t="n">
        <f aca="false">IF(WEEKDAY(A232,3)&gt;4,0,(IF(A232&lt;K$2,0,IF(A232&lt;=K$3,1,0))))</f>
        <v>0</v>
      </c>
      <c r="L232" s="112" t="n">
        <f aca="false">J232*K232</f>
        <v>0</v>
      </c>
      <c r="M232" s="112" t="n">
        <f aca="false">SUM(J$188:J232)</f>
        <v>24291</v>
      </c>
      <c r="N232" s="112" t="n">
        <f aca="false">SUM(J$6:J232)</f>
        <v>558924.665417804</v>
      </c>
      <c r="P232" s="112" t="n">
        <f aca="false">D232/P$3</f>
        <v>0</v>
      </c>
      <c r="Q232" s="112" t="n">
        <f aca="false">E232/P$3</f>
        <v>0</v>
      </c>
      <c r="R232" s="112" t="n">
        <f aca="false">F232/R$3</f>
        <v>0</v>
      </c>
      <c r="S232" s="114" t="n">
        <f aca="false">J232/$R$3</f>
        <v>0</v>
      </c>
      <c r="T232" s="114" t="n">
        <f aca="false">L232/$R$3</f>
        <v>0</v>
      </c>
      <c r="U232" s="114" t="n">
        <f aca="false">I232/$R$3</f>
        <v>0</v>
      </c>
      <c r="V232" s="114" t="n">
        <f aca="false">M232/$R$3</f>
        <v>24.291</v>
      </c>
      <c r="W232" s="114" t="n">
        <f aca="false">N232/$R$3</f>
        <v>558.924665417804</v>
      </c>
    </row>
    <row r="233" customFormat="false" ht="12.75" hidden="false" customHeight="false" outlineLevel="0" collapsed="false">
      <c r="A233" s="108" t="n">
        <f aca="false">A232+1</f>
        <v>37119</v>
      </c>
      <c r="B233" s="119" t="str">
        <f aca="false">INDEX('Master Data'!$A$2:$B$8,MATCH(WEEKDAY('EZE Power Trading'!A233,3),'Master Data'!$A$2:$A$8,0),2)</f>
        <v>Th</v>
      </c>
      <c r="D233" s="112" t="n">
        <v>0</v>
      </c>
      <c r="E233" s="112" t="n">
        <v>0</v>
      </c>
      <c r="F233" s="112" t="n">
        <v>0</v>
      </c>
      <c r="G233" s="112" t="n">
        <v>0</v>
      </c>
      <c r="I233" s="112" t="n">
        <f aca="false">IF(MONTH($A233)=MONTH($A232),IF(G233=0,I232,G233),G233)</f>
        <v>0</v>
      </c>
      <c r="J233" s="112" t="n">
        <f aca="false">IF(MONTH($A233)=MONTH($A232),SUM(I233-I232),I233)</f>
        <v>0</v>
      </c>
      <c r="K233" s="112" t="n">
        <f aca="false">IF(WEEKDAY(A233,3)&gt;4,0,(IF(A233&lt;K$2,0,IF(A233&lt;=K$3,1,0))))</f>
        <v>0</v>
      </c>
      <c r="L233" s="112" t="n">
        <f aca="false">J233*K233</f>
        <v>0</v>
      </c>
      <c r="M233" s="112" t="n">
        <f aca="false">SUM(J$188:J233)</f>
        <v>24291</v>
      </c>
      <c r="N233" s="112" t="n">
        <f aca="false">SUM(J$6:J233)</f>
        <v>558924.665417804</v>
      </c>
      <c r="P233" s="112" t="n">
        <f aca="false">D233/P$3</f>
        <v>0</v>
      </c>
      <c r="Q233" s="112" t="n">
        <f aca="false">E233/P$3</f>
        <v>0</v>
      </c>
      <c r="R233" s="112" t="n">
        <f aca="false">F233/R$3</f>
        <v>0</v>
      </c>
      <c r="S233" s="114" t="n">
        <f aca="false">J233/$R$3</f>
        <v>0</v>
      </c>
      <c r="T233" s="114" t="n">
        <f aca="false">L233/$R$3</f>
        <v>0</v>
      </c>
      <c r="U233" s="114" t="n">
        <f aca="false">I233/$R$3</f>
        <v>0</v>
      </c>
      <c r="V233" s="114" t="n">
        <f aca="false">M233/$R$3</f>
        <v>24.291</v>
      </c>
      <c r="W233" s="114" t="n">
        <f aca="false">N233/$R$3</f>
        <v>558.924665417804</v>
      </c>
    </row>
    <row r="234" customFormat="false" ht="12.75" hidden="false" customHeight="false" outlineLevel="0" collapsed="false">
      <c r="A234" s="108" t="n">
        <f aca="false">A233+1</f>
        <v>37120</v>
      </c>
      <c r="B234" s="119" t="str">
        <f aca="false">INDEX('Master Data'!$A$2:$B$8,MATCH(WEEKDAY('EZE Power Trading'!A234,3),'Master Data'!$A$2:$A$8,0),2)</f>
        <v>F</v>
      </c>
      <c r="D234" s="112" t="n">
        <v>0</v>
      </c>
      <c r="E234" s="112" t="n">
        <v>0</v>
      </c>
      <c r="F234" s="112" t="n">
        <v>0</v>
      </c>
      <c r="G234" s="112" t="n">
        <v>0</v>
      </c>
      <c r="I234" s="112" t="n">
        <f aca="false">IF(MONTH($A234)=MONTH($A233),IF(G234=0,I233,G234),G234)</f>
        <v>0</v>
      </c>
      <c r="J234" s="112" t="n">
        <f aca="false">IF(MONTH($A234)=MONTH($A233),SUM(I234-I233),I234)</f>
        <v>0</v>
      </c>
      <c r="K234" s="112" t="n">
        <f aca="false">IF(WEEKDAY(A234,3)&gt;4,0,(IF(A234&lt;K$2,0,IF(A234&lt;=K$3,1,0))))</f>
        <v>0</v>
      </c>
      <c r="L234" s="112" t="n">
        <f aca="false">J234*K234</f>
        <v>0</v>
      </c>
      <c r="M234" s="112" t="n">
        <f aca="false">SUM(J$188:J234)</f>
        <v>24291</v>
      </c>
      <c r="N234" s="112" t="n">
        <f aca="false">SUM(J$6:J234)</f>
        <v>558924.665417804</v>
      </c>
      <c r="P234" s="112" t="n">
        <f aca="false">D234/P$3</f>
        <v>0</v>
      </c>
      <c r="Q234" s="112" t="n">
        <f aca="false">E234/P$3</f>
        <v>0</v>
      </c>
      <c r="R234" s="112" t="n">
        <f aca="false">F234/R$3</f>
        <v>0</v>
      </c>
      <c r="S234" s="114" t="n">
        <f aca="false">J234/$R$3</f>
        <v>0</v>
      </c>
      <c r="T234" s="114" t="n">
        <f aca="false">L234/$R$3</f>
        <v>0</v>
      </c>
      <c r="U234" s="114" t="n">
        <f aca="false">I234/$R$3</f>
        <v>0</v>
      </c>
      <c r="V234" s="114" t="n">
        <f aca="false">M234/$R$3</f>
        <v>24.291</v>
      </c>
      <c r="W234" s="114" t="n">
        <f aca="false">N234/$R$3</f>
        <v>558.924665417804</v>
      </c>
    </row>
    <row r="235" customFormat="false" ht="12.75" hidden="false" customHeight="false" outlineLevel="0" collapsed="false">
      <c r="A235" s="108" t="n">
        <f aca="false">A234+1</f>
        <v>37121</v>
      </c>
      <c r="B235" s="119" t="str">
        <f aca="false">INDEX('Master Data'!$A$2:$B$8,MATCH(WEEKDAY('EZE Power Trading'!A235,3),'Master Data'!$A$2:$A$8,0),2)</f>
        <v>Sa</v>
      </c>
      <c r="D235" s="112" t="n">
        <v>0</v>
      </c>
      <c r="E235" s="112" t="n">
        <v>0</v>
      </c>
      <c r="F235" s="112" t="n">
        <v>0</v>
      </c>
      <c r="G235" s="112" t="n">
        <v>0</v>
      </c>
      <c r="I235" s="112" t="n">
        <f aca="false">IF(MONTH($A235)=MONTH($A234),IF(G235=0,I234,G235),G235)</f>
        <v>0</v>
      </c>
      <c r="J235" s="112" t="n">
        <f aca="false">IF(MONTH($A235)=MONTH($A234),SUM(I235-I234),I235)</f>
        <v>0</v>
      </c>
      <c r="K235" s="112" t="n">
        <f aca="false">IF(WEEKDAY(A235,3)&gt;4,0,(IF(A235&lt;K$2,0,IF(A235&lt;=K$3,1,0))))</f>
        <v>0</v>
      </c>
      <c r="L235" s="112" t="n">
        <f aca="false">J235*K235</f>
        <v>0</v>
      </c>
      <c r="M235" s="112" t="n">
        <f aca="false">SUM(J$188:J235)</f>
        <v>24291</v>
      </c>
      <c r="N235" s="112" t="n">
        <f aca="false">SUM(J$6:J235)</f>
        <v>558924.665417804</v>
      </c>
      <c r="P235" s="112" t="n">
        <f aca="false">D235/P$3</f>
        <v>0</v>
      </c>
      <c r="Q235" s="112" t="n">
        <f aca="false">E235/P$3</f>
        <v>0</v>
      </c>
      <c r="R235" s="112" t="n">
        <f aca="false">F235/R$3</f>
        <v>0</v>
      </c>
      <c r="S235" s="114" t="n">
        <f aca="false">J235/$R$3</f>
        <v>0</v>
      </c>
      <c r="T235" s="114" t="n">
        <f aca="false">L235/$R$3</f>
        <v>0</v>
      </c>
      <c r="U235" s="114" t="n">
        <f aca="false">I235/$R$3</f>
        <v>0</v>
      </c>
      <c r="V235" s="114" t="n">
        <f aca="false">M235/$R$3</f>
        <v>24.291</v>
      </c>
      <c r="W235" s="114" t="n">
        <f aca="false">N235/$R$3</f>
        <v>558.924665417804</v>
      </c>
    </row>
    <row r="236" customFormat="false" ht="12.75" hidden="false" customHeight="false" outlineLevel="0" collapsed="false">
      <c r="A236" s="108" t="n">
        <f aca="false">A235+1</f>
        <v>37122</v>
      </c>
      <c r="B236" s="119" t="str">
        <f aca="false">INDEX('Master Data'!$A$2:$B$8,MATCH(WEEKDAY('EZE Power Trading'!A236,3),'Master Data'!$A$2:$A$8,0),2)</f>
        <v>Su</v>
      </c>
      <c r="D236" s="112" t="n">
        <v>0</v>
      </c>
      <c r="E236" s="112" t="n">
        <v>0</v>
      </c>
      <c r="F236" s="112" t="n">
        <v>0</v>
      </c>
      <c r="G236" s="112" t="n">
        <v>0</v>
      </c>
      <c r="I236" s="112" t="n">
        <f aca="false">IF(MONTH($A236)=MONTH($A235),IF(G236=0,I235,G236),G236)</f>
        <v>0</v>
      </c>
      <c r="J236" s="112" t="n">
        <f aca="false">IF(MONTH($A236)=MONTH($A235),SUM(I236-I235),I236)</f>
        <v>0</v>
      </c>
      <c r="K236" s="112" t="n">
        <f aca="false">IF(WEEKDAY(A236,3)&gt;4,0,(IF(A236&lt;K$2,0,IF(A236&lt;=K$3,1,0))))</f>
        <v>0</v>
      </c>
      <c r="L236" s="112" t="n">
        <f aca="false">J236*K236</f>
        <v>0</v>
      </c>
      <c r="M236" s="112" t="n">
        <f aca="false">SUM(J$188:J236)</f>
        <v>24291</v>
      </c>
      <c r="N236" s="112" t="n">
        <f aca="false">SUM(J$6:J236)</f>
        <v>558924.665417804</v>
      </c>
      <c r="P236" s="112" t="n">
        <f aca="false">D236/P$3</f>
        <v>0</v>
      </c>
      <c r="Q236" s="112" t="n">
        <f aca="false">E236/P$3</f>
        <v>0</v>
      </c>
      <c r="R236" s="112" t="n">
        <f aca="false">F236/R$3</f>
        <v>0</v>
      </c>
      <c r="S236" s="114" t="n">
        <f aca="false">J236/$R$3</f>
        <v>0</v>
      </c>
      <c r="T236" s="114" t="n">
        <f aca="false">L236/$R$3</f>
        <v>0</v>
      </c>
      <c r="U236" s="114" t="n">
        <f aca="false">I236/$R$3</f>
        <v>0</v>
      </c>
      <c r="V236" s="114" t="n">
        <f aca="false">M236/$R$3</f>
        <v>24.291</v>
      </c>
      <c r="W236" s="114" t="n">
        <f aca="false">N236/$R$3</f>
        <v>558.924665417804</v>
      </c>
    </row>
    <row r="237" customFormat="false" ht="12.75" hidden="false" customHeight="false" outlineLevel="0" collapsed="false">
      <c r="A237" s="108" t="n">
        <f aca="false">A236+1</f>
        <v>37123</v>
      </c>
      <c r="B237" s="119" t="str">
        <f aca="false">INDEX('Master Data'!$A$2:$B$8,MATCH(WEEKDAY('EZE Power Trading'!A237,3),'Master Data'!$A$2:$A$8,0),2)</f>
        <v>M</v>
      </c>
      <c r="D237" s="112" t="n">
        <v>0</v>
      </c>
      <c r="E237" s="112" t="n">
        <v>0</v>
      </c>
      <c r="F237" s="112" t="n">
        <v>0</v>
      </c>
      <c r="G237" s="112" t="n">
        <v>0</v>
      </c>
      <c r="I237" s="112" t="n">
        <f aca="false">IF(MONTH($A237)=MONTH($A236),IF(G237=0,I236,G237),G237)</f>
        <v>0</v>
      </c>
      <c r="J237" s="112" t="n">
        <f aca="false">IF(MONTH($A237)=MONTH($A236),SUM(I237-I236),I237)</f>
        <v>0</v>
      </c>
      <c r="K237" s="112" t="n">
        <f aca="false">IF(WEEKDAY(A237,3)&gt;4,0,(IF(A237&lt;K$2,0,IF(A237&lt;=K$3,1,0))))</f>
        <v>0</v>
      </c>
      <c r="L237" s="112" t="n">
        <f aca="false">J237*K237</f>
        <v>0</v>
      </c>
      <c r="M237" s="112" t="n">
        <f aca="false">SUM(J$188:J237)</f>
        <v>24291</v>
      </c>
      <c r="N237" s="112" t="n">
        <f aca="false">SUM(J$6:J237)</f>
        <v>558924.665417804</v>
      </c>
      <c r="P237" s="112" t="n">
        <f aca="false">D237/P$3</f>
        <v>0</v>
      </c>
      <c r="Q237" s="112" t="n">
        <f aca="false">E237/P$3</f>
        <v>0</v>
      </c>
      <c r="R237" s="112" t="n">
        <f aca="false">F237/R$3</f>
        <v>0</v>
      </c>
      <c r="S237" s="114" t="n">
        <f aca="false">J237/$R$3</f>
        <v>0</v>
      </c>
      <c r="T237" s="114" t="n">
        <f aca="false">L237/$R$3</f>
        <v>0</v>
      </c>
      <c r="U237" s="114" t="n">
        <f aca="false">I237/$R$3</f>
        <v>0</v>
      </c>
      <c r="V237" s="114" t="n">
        <f aca="false">M237/$R$3</f>
        <v>24.291</v>
      </c>
      <c r="W237" s="114" t="n">
        <f aca="false">N237/$R$3</f>
        <v>558.924665417804</v>
      </c>
    </row>
    <row r="238" customFormat="false" ht="12.75" hidden="false" customHeight="false" outlineLevel="0" collapsed="false">
      <c r="A238" s="108" t="n">
        <f aca="false">A237+1</f>
        <v>37124</v>
      </c>
      <c r="B238" s="119" t="str">
        <f aca="false">INDEX('Master Data'!$A$2:$B$8,MATCH(WEEKDAY('EZE Power Trading'!A238,3),'Master Data'!$A$2:$A$8,0),2)</f>
        <v>T</v>
      </c>
      <c r="D238" s="112" t="n">
        <v>0</v>
      </c>
      <c r="E238" s="112" t="n">
        <v>0</v>
      </c>
      <c r="F238" s="112" t="n">
        <v>0</v>
      </c>
      <c r="G238" s="112" t="n">
        <v>0</v>
      </c>
      <c r="I238" s="112" t="n">
        <f aca="false">IF(MONTH($A238)=MONTH($A237),IF(G238=0,I237,G238),G238)</f>
        <v>0</v>
      </c>
      <c r="J238" s="112" t="n">
        <f aca="false">IF(MONTH($A238)=MONTH($A237),SUM(I238-I237),I238)</f>
        <v>0</v>
      </c>
      <c r="K238" s="112" t="n">
        <f aca="false">IF(WEEKDAY(A238,3)&gt;4,0,(IF(A238&lt;K$2,0,IF(A238&lt;=K$3,1,0))))</f>
        <v>0</v>
      </c>
      <c r="L238" s="112" t="n">
        <f aca="false">J238*K238</f>
        <v>0</v>
      </c>
      <c r="M238" s="112" t="n">
        <f aca="false">SUM(J$188:J238)</f>
        <v>24291</v>
      </c>
      <c r="N238" s="112" t="n">
        <f aca="false">SUM(J$6:J238)</f>
        <v>558924.665417804</v>
      </c>
      <c r="P238" s="112" t="n">
        <f aca="false">D238/P$3</f>
        <v>0</v>
      </c>
      <c r="Q238" s="112" t="n">
        <f aca="false">E238/P$3</f>
        <v>0</v>
      </c>
      <c r="R238" s="112" t="n">
        <f aca="false">F238/R$3</f>
        <v>0</v>
      </c>
      <c r="S238" s="114" t="n">
        <f aca="false">J238/$R$3</f>
        <v>0</v>
      </c>
      <c r="T238" s="114" t="n">
        <f aca="false">L238/$R$3</f>
        <v>0</v>
      </c>
      <c r="U238" s="114" t="n">
        <f aca="false">I238/$R$3</f>
        <v>0</v>
      </c>
      <c r="V238" s="114" t="n">
        <f aca="false">M238/$R$3</f>
        <v>24.291</v>
      </c>
      <c r="W238" s="114" t="n">
        <f aca="false">N238/$R$3</f>
        <v>558.924665417804</v>
      </c>
    </row>
    <row r="239" customFormat="false" ht="12.75" hidden="false" customHeight="false" outlineLevel="0" collapsed="false">
      <c r="A239" s="108" t="n">
        <f aca="false">A238+1</f>
        <v>37125</v>
      </c>
      <c r="B239" s="119" t="str">
        <f aca="false">INDEX('Master Data'!$A$2:$B$8,MATCH(WEEKDAY('EZE Power Trading'!A239,3),'Master Data'!$A$2:$A$8,0),2)</f>
        <v>W</v>
      </c>
      <c r="D239" s="112" t="n">
        <v>0</v>
      </c>
      <c r="E239" s="112" t="n">
        <v>0</v>
      </c>
      <c r="F239" s="112" t="n">
        <v>0</v>
      </c>
      <c r="G239" s="112" t="n">
        <v>0</v>
      </c>
      <c r="I239" s="112" t="n">
        <f aca="false">IF(MONTH($A239)=MONTH($A238),IF(G239=0,I238,G239),G239)</f>
        <v>0</v>
      </c>
      <c r="J239" s="112" t="n">
        <f aca="false">IF(MONTH($A239)=MONTH($A238),SUM(I239-I238),I239)</f>
        <v>0</v>
      </c>
      <c r="K239" s="112" t="n">
        <f aca="false">IF(WEEKDAY(A239,3)&gt;4,0,(IF(A239&lt;K$2,0,IF(A239&lt;=K$3,1,0))))</f>
        <v>0</v>
      </c>
      <c r="L239" s="112" t="n">
        <f aca="false">J239*K239</f>
        <v>0</v>
      </c>
      <c r="M239" s="112" t="n">
        <f aca="false">SUM(J$188:J239)</f>
        <v>24291</v>
      </c>
      <c r="N239" s="112" t="n">
        <f aca="false">SUM(J$6:J239)</f>
        <v>558924.665417804</v>
      </c>
      <c r="P239" s="112" t="n">
        <f aca="false">D239/P$3</f>
        <v>0</v>
      </c>
      <c r="Q239" s="112" t="n">
        <f aca="false">E239/P$3</f>
        <v>0</v>
      </c>
      <c r="R239" s="112" t="n">
        <f aca="false">F239/R$3</f>
        <v>0</v>
      </c>
      <c r="S239" s="114" t="n">
        <f aca="false">J239/$R$3</f>
        <v>0</v>
      </c>
      <c r="T239" s="114" t="n">
        <f aca="false">L239/$R$3</f>
        <v>0</v>
      </c>
      <c r="U239" s="114" t="n">
        <f aca="false">I239/$R$3</f>
        <v>0</v>
      </c>
      <c r="V239" s="114" t="n">
        <f aca="false">M239/$R$3</f>
        <v>24.291</v>
      </c>
      <c r="W239" s="114" t="n">
        <f aca="false">N239/$R$3</f>
        <v>558.924665417804</v>
      </c>
    </row>
    <row r="240" customFormat="false" ht="12.75" hidden="false" customHeight="false" outlineLevel="0" collapsed="false">
      <c r="A240" s="108" t="n">
        <f aca="false">A239+1</f>
        <v>37126</v>
      </c>
      <c r="B240" s="119" t="str">
        <f aca="false">INDEX('Master Data'!$A$2:$B$8,MATCH(WEEKDAY('EZE Power Trading'!A240,3),'Master Data'!$A$2:$A$8,0),2)</f>
        <v>Th</v>
      </c>
      <c r="D240" s="112" t="n">
        <v>0</v>
      </c>
      <c r="E240" s="112" t="n">
        <v>0</v>
      </c>
      <c r="F240" s="112" t="n">
        <v>0</v>
      </c>
      <c r="G240" s="112" t="n">
        <v>0</v>
      </c>
      <c r="I240" s="112" t="n">
        <f aca="false">IF(MONTH($A240)=MONTH($A239),IF(G240=0,I239,G240),G240)</f>
        <v>0</v>
      </c>
      <c r="J240" s="112" t="n">
        <f aca="false">IF(MONTH($A240)=MONTH($A239),SUM(I240-I239),I240)</f>
        <v>0</v>
      </c>
      <c r="K240" s="112" t="n">
        <f aca="false">IF(WEEKDAY(A240,3)&gt;4,0,(IF(A240&lt;K$2,0,IF(A240&lt;=K$3,1,0))))</f>
        <v>0</v>
      </c>
      <c r="L240" s="112" t="n">
        <f aca="false">J240*K240</f>
        <v>0</v>
      </c>
      <c r="M240" s="112" t="n">
        <f aca="false">SUM(J$188:J240)</f>
        <v>24291</v>
      </c>
      <c r="N240" s="112" t="n">
        <f aca="false">SUM(J$6:J240)</f>
        <v>558924.665417804</v>
      </c>
      <c r="P240" s="112" t="n">
        <f aca="false">D240/P$3</f>
        <v>0</v>
      </c>
      <c r="Q240" s="112" t="n">
        <f aca="false">E240/P$3</f>
        <v>0</v>
      </c>
      <c r="R240" s="112" t="n">
        <f aca="false">F240/R$3</f>
        <v>0</v>
      </c>
      <c r="S240" s="114" t="n">
        <f aca="false">J240/$R$3</f>
        <v>0</v>
      </c>
      <c r="T240" s="114" t="n">
        <f aca="false">L240/$R$3</f>
        <v>0</v>
      </c>
      <c r="U240" s="114" t="n">
        <f aca="false">I240/$R$3</f>
        <v>0</v>
      </c>
      <c r="V240" s="114" t="n">
        <f aca="false">M240/$R$3</f>
        <v>24.291</v>
      </c>
      <c r="W240" s="114" t="n">
        <f aca="false">N240/$R$3</f>
        <v>558.924665417804</v>
      </c>
    </row>
    <row r="241" customFormat="false" ht="12.75" hidden="false" customHeight="false" outlineLevel="0" collapsed="false">
      <c r="A241" s="108" t="n">
        <f aca="false">A240+1</f>
        <v>37127</v>
      </c>
      <c r="B241" s="119" t="str">
        <f aca="false">INDEX('Master Data'!$A$2:$B$8,MATCH(WEEKDAY('EZE Power Trading'!A241,3),'Master Data'!$A$2:$A$8,0),2)</f>
        <v>F</v>
      </c>
      <c r="D241" s="112" t="n">
        <v>0</v>
      </c>
      <c r="E241" s="112" t="n">
        <v>0</v>
      </c>
      <c r="F241" s="112" t="n">
        <v>0</v>
      </c>
      <c r="G241" s="112" t="n">
        <v>0</v>
      </c>
      <c r="I241" s="112" t="n">
        <f aca="false">IF(MONTH($A241)=MONTH($A240),IF(G241=0,I240,G241),G241)</f>
        <v>0</v>
      </c>
      <c r="J241" s="112" t="n">
        <f aca="false">IF(MONTH($A241)=MONTH($A240),SUM(I241-I240),I241)</f>
        <v>0</v>
      </c>
      <c r="K241" s="112" t="n">
        <f aca="false">IF(WEEKDAY(A241,3)&gt;4,0,(IF(A241&lt;K$2,0,IF(A241&lt;=K$3,1,0))))</f>
        <v>0</v>
      </c>
      <c r="L241" s="112" t="n">
        <f aca="false">J241*K241</f>
        <v>0</v>
      </c>
      <c r="M241" s="112" t="n">
        <f aca="false">SUM(J$188:J241)</f>
        <v>24291</v>
      </c>
      <c r="N241" s="112" t="n">
        <f aca="false">SUM(J$6:J241)</f>
        <v>558924.665417804</v>
      </c>
      <c r="P241" s="112" t="n">
        <f aca="false">D241/P$3</f>
        <v>0</v>
      </c>
      <c r="Q241" s="112" t="n">
        <f aca="false">E241/P$3</f>
        <v>0</v>
      </c>
      <c r="R241" s="112" t="n">
        <f aca="false">F241/R$3</f>
        <v>0</v>
      </c>
      <c r="S241" s="114" t="n">
        <f aca="false">J241/$R$3</f>
        <v>0</v>
      </c>
      <c r="T241" s="114" t="n">
        <f aca="false">L241/$R$3</f>
        <v>0</v>
      </c>
      <c r="U241" s="114" t="n">
        <f aca="false">I241/$R$3</f>
        <v>0</v>
      </c>
      <c r="V241" s="114" t="n">
        <f aca="false">M241/$R$3</f>
        <v>24.291</v>
      </c>
      <c r="W241" s="114" t="n">
        <f aca="false">N241/$R$3</f>
        <v>558.924665417804</v>
      </c>
    </row>
    <row r="242" customFormat="false" ht="12.75" hidden="false" customHeight="false" outlineLevel="0" collapsed="false">
      <c r="A242" s="108" t="n">
        <f aca="false">A241+1</f>
        <v>37128</v>
      </c>
      <c r="B242" s="119" t="str">
        <f aca="false">INDEX('Master Data'!$A$2:$B$8,MATCH(WEEKDAY('EZE Power Trading'!A242,3),'Master Data'!$A$2:$A$8,0),2)</f>
        <v>Sa</v>
      </c>
      <c r="D242" s="112" t="n">
        <v>0</v>
      </c>
      <c r="E242" s="112" t="n">
        <v>0</v>
      </c>
      <c r="F242" s="112" t="n">
        <v>0</v>
      </c>
      <c r="G242" s="112" t="n">
        <v>0</v>
      </c>
      <c r="I242" s="112" t="n">
        <f aca="false">IF(MONTH($A242)=MONTH($A241),IF(G242=0,I241,G242),G242)</f>
        <v>0</v>
      </c>
      <c r="J242" s="112" t="n">
        <f aca="false">IF(MONTH($A242)=MONTH($A241),SUM(I242-I241),I242)</f>
        <v>0</v>
      </c>
      <c r="K242" s="112" t="n">
        <f aca="false">IF(WEEKDAY(A242,3)&gt;4,0,(IF(A242&lt;K$2,0,IF(A242&lt;=K$3,1,0))))</f>
        <v>0</v>
      </c>
      <c r="L242" s="112" t="n">
        <f aca="false">J242*K242</f>
        <v>0</v>
      </c>
      <c r="M242" s="112" t="n">
        <f aca="false">SUM(J$188:J242)</f>
        <v>24291</v>
      </c>
      <c r="N242" s="112" t="n">
        <f aca="false">SUM(J$6:J242)</f>
        <v>558924.665417804</v>
      </c>
      <c r="P242" s="112" t="n">
        <f aca="false">D242/P$3</f>
        <v>0</v>
      </c>
      <c r="Q242" s="112" t="n">
        <f aca="false">E242/P$3</f>
        <v>0</v>
      </c>
      <c r="R242" s="112" t="n">
        <f aca="false">F242/R$3</f>
        <v>0</v>
      </c>
      <c r="S242" s="114" t="n">
        <f aca="false">J242/$R$3</f>
        <v>0</v>
      </c>
      <c r="T242" s="114" t="n">
        <f aca="false">L242/$R$3</f>
        <v>0</v>
      </c>
      <c r="U242" s="114" t="n">
        <f aca="false">I242/$R$3</f>
        <v>0</v>
      </c>
      <c r="V242" s="114" t="n">
        <f aca="false">M242/$R$3</f>
        <v>24.291</v>
      </c>
      <c r="W242" s="114" t="n">
        <f aca="false">N242/$R$3</f>
        <v>558.924665417804</v>
      </c>
    </row>
    <row r="243" customFormat="false" ht="12.75" hidden="false" customHeight="false" outlineLevel="0" collapsed="false">
      <c r="A243" s="108" t="n">
        <f aca="false">A242+1</f>
        <v>37129</v>
      </c>
      <c r="B243" s="119" t="str">
        <f aca="false">INDEX('Master Data'!$A$2:$B$8,MATCH(WEEKDAY('EZE Power Trading'!A243,3),'Master Data'!$A$2:$A$8,0),2)</f>
        <v>Su</v>
      </c>
      <c r="D243" s="112" t="n">
        <v>0</v>
      </c>
      <c r="E243" s="112" t="n">
        <v>0</v>
      </c>
      <c r="F243" s="112" t="n">
        <v>0</v>
      </c>
      <c r="G243" s="112" t="n">
        <v>0</v>
      </c>
      <c r="I243" s="112" t="n">
        <f aca="false">IF(MONTH($A243)=MONTH($A242),IF(G243=0,I242,G243),G243)</f>
        <v>0</v>
      </c>
      <c r="J243" s="112" t="n">
        <f aca="false">IF(MONTH($A243)=MONTH($A242),SUM(I243-I242),I243)</f>
        <v>0</v>
      </c>
      <c r="K243" s="112" t="n">
        <f aca="false">IF(WEEKDAY(A243,3)&gt;4,0,(IF(A243&lt;K$2,0,IF(A243&lt;=K$3,1,0))))</f>
        <v>0</v>
      </c>
      <c r="L243" s="112" t="n">
        <f aca="false">J243*K243</f>
        <v>0</v>
      </c>
      <c r="M243" s="112" t="n">
        <f aca="false">SUM(J$188:J243)</f>
        <v>24291</v>
      </c>
      <c r="N243" s="112" t="n">
        <f aca="false">SUM(J$6:J243)</f>
        <v>558924.665417804</v>
      </c>
      <c r="P243" s="112" t="n">
        <f aca="false">D243/P$3</f>
        <v>0</v>
      </c>
      <c r="Q243" s="112" t="n">
        <f aca="false">E243/P$3</f>
        <v>0</v>
      </c>
      <c r="R243" s="112" t="n">
        <f aca="false">F243/R$3</f>
        <v>0</v>
      </c>
      <c r="S243" s="114" t="n">
        <f aca="false">J243/$R$3</f>
        <v>0</v>
      </c>
      <c r="T243" s="114" t="n">
        <f aca="false">L243/$R$3</f>
        <v>0</v>
      </c>
      <c r="U243" s="114" t="n">
        <f aca="false">I243/$R$3</f>
        <v>0</v>
      </c>
      <c r="V243" s="114" t="n">
        <f aca="false">M243/$R$3</f>
        <v>24.291</v>
      </c>
      <c r="W243" s="114" t="n">
        <f aca="false">N243/$R$3</f>
        <v>558.924665417804</v>
      </c>
    </row>
    <row r="244" customFormat="false" ht="12.75" hidden="false" customHeight="false" outlineLevel="0" collapsed="false">
      <c r="A244" s="108" t="n">
        <f aca="false">A243+1</f>
        <v>37130</v>
      </c>
      <c r="B244" s="119" t="str">
        <f aca="false">INDEX('Master Data'!$A$2:$B$8,MATCH(WEEKDAY('EZE Power Trading'!A244,3),'Master Data'!$A$2:$A$8,0),2)</f>
        <v>M</v>
      </c>
      <c r="D244" s="112" t="n">
        <v>0</v>
      </c>
      <c r="E244" s="112" t="n">
        <v>0</v>
      </c>
      <c r="F244" s="112" t="n">
        <v>0</v>
      </c>
      <c r="G244" s="112" t="n">
        <v>0</v>
      </c>
      <c r="I244" s="112" t="n">
        <f aca="false">IF(MONTH($A244)=MONTH($A243),IF(G244=0,I243,G244),G244)</f>
        <v>0</v>
      </c>
      <c r="J244" s="112" t="n">
        <f aca="false">IF(MONTH($A244)=MONTH($A243),SUM(I244-I243),I244)</f>
        <v>0</v>
      </c>
      <c r="K244" s="112" t="n">
        <f aca="false">IF(WEEKDAY(A244,3)&gt;4,0,(IF(A244&lt;K$2,0,IF(A244&lt;=K$3,1,0))))</f>
        <v>0</v>
      </c>
      <c r="L244" s="112" t="n">
        <f aca="false">J244*K244</f>
        <v>0</v>
      </c>
      <c r="M244" s="112" t="n">
        <f aca="false">SUM(J$188:J244)</f>
        <v>24291</v>
      </c>
      <c r="N244" s="112" t="n">
        <f aca="false">SUM(J$6:J244)</f>
        <v>558924.665417804</v>
      </c>
      <c r="P244" s="112" t="n">
        <f aca="false">D244/P$3</f>
        <v>0</v>
      </c>
      <c r="Q244" s="112" t="n">
        <f aca="false">E244/P$3</f>
        <v>0</v>
      </c>
      <c r="R244" s="112" t="n">
        <f aca="false">F244/R$3</f>
        <v>0</v>
      </c>
      <c r="S244" s="114" t="n">
        <f aca="false">J244/$R$3</f>
        <v>0</v>
      </c>
      <c r="T244" s="114" t="n">
        <f aca="false">L244/$R$3</f>
        <v>0</v>
      </c>
      <c r="U244" s="114" t="n">
        <f aca="false">I244/$R$3</f>
        <v>0</v>
      </c>
      <c r="V244" s="114" t="n">
        <f aca="false">M244/$R$3</f>
        <v>24.291</v>
      </c>
      <c r="W244" s="114" t="n">
        <f aca="false">N244/$R$3</f>
        <v>558.924665417804</v>
      </c>
    </row>
    <row r="245" customFormat="false" ht="12.75" hidden="false" customHeight="false" outlineLevel="0" collapsed="false">
      <c r="A245" s="108" t="n">
        <f aca="false">A244+1</f>
        <v>37131</v>
      </c>
      <c r="B245" s="119" t="str">
        <f aca="false">INDEX('Master Data'!$A$2:$B$8,MATCH(WEEKDAY('EZE Power Trading'!A245,3),'Master Data'!$A$2:$A$8,0),2)</f>
        <v>T</v>
      </c>
      <c r="D245" s="112" t="n">
        <v>0</v>
      </c>
      <c r="E245" s="112" t="n">
        <v>0</v>
      </c>
      <c r="F245" s="112" t="n">
        <v>0</v>
      </c>
      <c r="G245" s="112" t="n">
        <v>0</v>
      </c>
      <c r="I245" s="112" t="n">
        <f aca="false">IF(MONTH($A245)=MONTH($A244),IF(G245=0,I244,G245),G245)</f>
        <v>0</v>
      </c>
      <c r="J245" s="112" t="n">
        <f aca="false">IF(MONTH($A245)=MONTH($A244),SUM(I245-I244),I245)</f>
        <v>0</v>
      </c>
      <c r="K245" s="112" t="n">
        <f aca="false">IF(WEEKDAY(A245,3)&gt;4,0,(IF(A245&lt;K$2,0,IF(A245&lt;=K$3,1,0))))</f>
        <v>0</v>
      </c>
      <c r="L245" s="112" t="n">
        <f aca="false">J245*K245</f>
        <v>0</v>
      </c>
      <c r="M245" s="112" t="n">
        <f aca="false">SUM(J$188:J245)</f>
        <v>24291</v>
      </c>
      <c r="N245" s="112" t="n">
        <f aca="false">SUM(J$6:J245)</f>
        <v>558924.665417804</v>
      </c>
      <c r="P245" s="112" t="n">
        <f aca="false">D245/P$3</f>
        <v>0</v>
      </c>
      <c r="Q245" s="112" t="n">
        <f aca="false">E245/P$3</f>
        <v>0</v>
      </c>
      <c r="R245" s="112" t="n">
        <f aca="false">F245/R$3</f>
        <v>0</v>
      </c>
      <c r="S245" s="114" t="n">
        <f aca="false">J245/$R$3</f>
        <v>0</v>
      </c>
      <c r="T245" s="114" t="n">
        <f aca="false">L245/$R$3</f>
        <v>0</v>
      </c>
      <c r="U245" s="114" t="n">
        <f aca="false">I245/$R$3</f>
        <v>0</v>
      </c>
      <c r="V245" s="114" t="n">
        <f aca="false">M245/$R$3</f>
        <v>24.291</v>
      </c>
      <c r="W245" s="114" t="n">
        <f aca="false">N245/$R$3</f>
        <v>558.924665417804</v>
      </c>
    </row>
    <row r="246" customFormat="false" ht="12.75" hidden="false" customHeight="false" outlineLevel="0" collapsed="false">
      <c r="A246" s="108" t="n">
        <f aca="false">A245+1</f>
        <v>37132</v>
      </c>
      <c r="B246" s="119" t="str">
        <f aca="false">INDEX('Master Data'!$A$2:$B$8,MATCH(WEEKDAY('EZE Power Trading'!A246,3),'Master Data'!$A$2:$A$8,0),2)</f>
        <v>W</v>
      </c>
      <c r="D246" s="112" t="n">
        <v>0</v>
      </c>
      <c r="E246" s="112" t="n">
        <v>0</v>
      </c>
      <c r="F246" s="112" t="n">
        <v>0</v>
      </c>
      <c r="G246" s="112" t="n">
        <v>0</v>
      </c>
      <c r="I246" s="112" t="n">
        <f aca="false">IF(MONTH($A246)=MONTH($A245),IF(G246=0,I245,G246),G246)</f>
        <v>0</v>
      </c>
      <c r="J246" s="112" t="n">
        <f aca="false">IF(MONTH($A246)=MONTH($A245),SUM(I246-I245),I246)</f>
        <v>0</v>
      </c>
      <c r="K246" s="112" t="n">
        <f aca="false">IF(WEEKDAY(A246,3)&gt;4,0,(IF(A246&lt;K$2,0,IF(A246&lt;=K$3,1,0))))</f>
        <v>0</v>
      </c>
      <c r="L246" s="112" t="n">
        <f aca="false">J246*K246</f>
        <v>0</v>
      </c>
      <c r="M246" s="112" t="n">
        <f aca="false">SUM(J$188:J246)</f>
        <v>24291</v>
      </c>
      <c r="N246" s="112" t="n">
        <f aca="false">SUM(J$6:J246)</f>
        <v>558924.665417804</v>
      </c>
      <c r="P246" s="112" t="n">
        <f aca="false">D246/P$3</f>
        <v>0</v>
      </c>
      <c r="Q246" s="112" t="n">
        <f aca="false">E246/P$3</f>
        <v>0</v>
      </c>
      <c r="R246" s="112" t="n">
        <f aca="false">F246/R$3</f>
        <v>0</v>
      </c>
      <c r="S246" s="114" t="n">
        <f aca="false">J246/$R$3</f>
        <v>0</v>
      </c>
      <c r="T246" s="114" t="n">
        <f aca="false">L246/$R$3</f>
        <v>0</v>
      </c>
      <c r="U246" s="114" t="n">
        <f aca="false">I246/$R$3</f>
        <v>0</v>
      </c>
      <c r="V246" s="114" t="n">
        <f aca="false">M246/$R$3</f>
        <v>24.291</v>
      </c>
      <c r="W246" s="114" t="n">
        <f aca="false">N246/$R$3</f>
        <v>558.924665417804</v>
      </c>
    </row>
    <row r="247" customFormat="false" ht="12.75" hidden="false" customHeight="false" outlineLevel="0" collapsed="false">
      <c r="A247" s="108" t="n">
        <f aca="false">A246+1</f>
        <v>37133</v>
      </c>
      <c r="B247" s="119" t="str">
        <f aca="false">INDEX('Master Data'!$A$2:$B$8,MATCH(WEEKDAY('EZE Power Trading'!A247,3),'Master Data'!$A$2:$A$8,0),2)</f>
        <v>Th</v>
      </c>
      <c r="D247" s="112" t="n">
        <v>0</v>
      </c>
      <c r="E247" s="112" t="n">
        <v>0</v>
      </c>
      <c r="F247" s="112" t="n">
        <v>0</v>
      </c>
      <c r="G247" s="112" t="n">
        <v>0</v>
      </c>
      <c r="I247" s="112" t="n">
        <f aca="false">IF(MONTH($A247)=MONTH($A246),IF(G247=0,I246,G247),G247)</f>
        <v>0</v>
      </c>
      <c r="J247" s="112" t="n">
        <f aca="false">IF(MONTH($A247)=MONTH($A246),SUM(I247-I246),I247)</f>
        <v>0</v>
      </c>
      <c r="K247" s="112" t="n">
        <f aca="false">IF(WEEKDAY(A247,3)&gt;4,0,(IF(A247&lt;K$2,0,IF(A247&lt;=K$3,1,0))))</f>
        <v>0</v>
      </c>
      <c r="L247" s="112" t="n">
        <f aca="false">J247*K247</f>
        <v>0</v>
      </c>
      <c r="M247" s="112" t="n">
        <f aca="false">SUM(J$188:J247)</f>
        <v>24291</v>
      </c>
      <c r="N247" s="112" t="n">
        <f aca="false">SUM(J$6:J247)</f>
        <v>558924.665417804</v>
      </c>
      <c r="P247" s="112" t="n">
        <f aca="false">D247/P$3</f>
        <v>0</v>
      </c>
      <c r="Q247" s="112" t="n">
        <f aca="false">E247/P$3</f>
        <v>0</v>
      </c>
      <c r="R247" s="112" t="n">
        <f aca="false">F247/R$3</f>
        <v>0</v>
      </c>
      <c r="S247" s="114" t="n">
        <f aca="false">J247/$R$3</f>
        <v>0</v>
      </c>
      <c r="T247" s="114" t="n">
        <f aca="false">L247/$R$3</f>
        <v>0</v>
      </c>
      <c r="U247" s="114" t="n">
        <f aca="false">I247/$R$3</f>
        <v>0</v>
      </c>
      <c r="V247" s="114" t="n">
        <f aca="false">M247/$R$3</f>
        <v>24.291</v>
      </c>
      <c r="W247" s="114" t="n">
        <f aca="false">N247/$R$3</f>
        <v>558.924665417804</v>
      </c>
    </row>
    <row r="248" customFormat="false" ht="12.75" hidden="false" customHeight="false" outlineLevel="0" collapsed="false">
      <c r="A248" s="108" t="n">
        <f aca="false">A247+1</f>
        <v>37134</v>
      </c>
      <c r="B248" s="119" t="str">
        <f aca="false">INDEX('Master Data'!$A$2:$B$8,MATCH(WEEKDAY('EZE Power Trading'!A248,3),'Master Data'!$A$2:$A$8,0),2)</f>
        <v>F</v>
      </c>
      <c r="D248" s="112" t="n">
        <v>0</v>
      </c>
      <c r="E248" s="112" t="n">
        <v>0</v>
      </c>
      <c r="F248" s="112" t="n">
        <v>0</v>
      </c>
      <c r="G248" s="112" t="n">
        <v>0</v>
      </c>
      <c r="I248" s="112" t="n">
        <f aca="false">IF(MONTH($A248)=MONTH($A247),IF(G248=0,I247,G248),G248)</f>
        <v>0</v>
      </c>
      <c r="J248" s="112" t="n">
        <f aca="false">IF(MONTH($A248)=MONTH($A247),SUM(I248-I247),I248)</f>
        <v>0</v>
      </c>
      <c r="K248" s="112" t="n">
        <f aca="false">IF(WEEKDAY(A248,3)&gt;4,0,(IF(A248&lt;K$2,0,IF(A248&lt;=K$3,1,0))))</f>
        <v>0</v>
      </c>
      <c r="L248" s="112" t="n">
        <f aca="false">J248*K248</f>
        <v>0</v>
      </c>
      <c r="M248" s="112" t="n">
        <f aca="false">SUM(J$188:J248)</f>
        <v>24291</v>
      </c>
      <c r="N248" s="112" t="n">
        <f aca="false">SUM(J$6:J248)</f>
        <v>558924.665417804</v>
      </c>
      <c r="P248" s="112" t="n">
        <f aca="false">D248/P$3</f>
        <v>0</v>
      </c>
      <c r="Q248" s="112" t="n">
        <f aca="false">E248/P$3</f>
        <v>0</v>
      </c>
      <c r="R248" s="112" t="n">
        <f aca="false">F248/R$3</f>
        <v>0</v>
      </c>
      <c r="S248" s="114" t="n">
        <f aca="false">J248/$R$3</f>
        <v>0</v>
      </c>
      <c r="T248" s="114" t="n">
        <f aca="false">L248/$R$3</f>
        <v>0</v>
      </c>
      <c r="U248" s="114" t="n">
        <f aca="false">I248/$R$3</f>
        <v>0</v>
      </c>
      <c r="V248" s="114" t="n">
        <f aca="false">M248/$R$3</f>
        <v>24.291</v>
      </c>
      <c r="W248" s="114" t="n">
        <f aca="false">N248/$R$3</f>
        <v>558.924665417804</v>
      </c>
    </row>
    <row r="249" customFormat="false" ht="12.75" hidden="false" customHeight="false" outlineLevel="0" collapsed="false">
      <c r="A249" s="108" t="n">
        <f aca="false">A248+1</f>
        <v>37135</v>
      </c>
      <c r="B249" s="119" t="str">
        <f aca="false">INDEX('Master Data'!$A$2:$B$8,MATCH(WEEKDAY('EZE Power Trading'!A249,3),'Master Data'!$A$2:$A$8,0),2)</f>
        <v>Sa</v>
      </c>
      <c r="D249" s="112" t="n">
        <v>0</v>
      </c>
      <c r="E249" s="112" t="n">
        <v>0</v>
      </c>
      <c r="F249" s="112" t="n">
        <v>0</v>
      </c>
      <c r="G249" s="112" t="n">
        <v>0</v>
      </c>
      <c r="I249" s="112" t="n">
        <f aca="false">IF(MONTH($A249)=MONTH($A248),IF(G249=0,I248,G249),G249)</f>
        <v>0</v>
      </c>
      <c r="J249" s="112" t="n">
        <f aca="false">IF(MONTH($A249)=MONTH($A248),SUM(I249-I248),I249)</f>
        <v>0</v>
      </c>
      <c r="K249" s="112" t="n">
        <f aca="false">IF(WEEKDAY(A249,3)&gt;4,0,(IF(A249&lt;K$2,0,IF(A249&lt;=K$3,1,0))))</f>
        <v>0</v>
      </c>
      <c r="L249" s="112" t="n">
        <f aca="false">J249*K249</f>
        <v>0</v>
      </c>
      <c r="M249" s="112" t="n">
        <f aca="false">SUM(J$188:J249)</f>
        <v>24291</v>
      </c>
      <c r="N249" s="112" t="n">
        <f aca="false">SUM(J$6:J249)</f>
        <v>558924.665417804</v>
      </c>
      <c r="P249" s="112" t="n">
        <f aca="false">D249/P$3</f>
        <v>0</v>
      </c>
      <c r="Q249" s="112" t="n">
        <f aca="false">E249/P$3</f>
        <v>0</v>
      </c>
      <c r="R249" s="112" t="n">
        <f aca="false">F249/R$3</f>
        <v>0</v>
      </c>
      <c r="S249" s="114" t="n">
        <f aca="false">J249/$R$3</f>
        <v>0</v>
      </c>
      <c r="T249" s="114" t="n">
        <f aca="false">L249/$R$3</f>
        <v>0</v>
      </c>
      <c r="U249" s="114" t="n">
        <f aca="false">I249/$R$3</f>
        <v>0</v>
      </c>
      <c r="V249" s="114" t="n">
        <f aca="false">M249/$R$3</f>
        <v>24.291</v>
      </c>
      <c r="W249" s="114" t="n">
        <f aca="false">N249/$R$3</f>
        <v>558.924665417804</v>
      </c>
    </row>
    <row r="250" customFormat="false" ht="12.75" hidden="false" customHeight="false" outlineLevel="0" collapsed="false">
      <c r="A250" s="108" t="n">
        <f aca="false">A249+1</f>
        <v>37136</v>
      </c>
      <c r="B250" s="119" t="str">
        <f aca="false">INDEX('Master Data'!$A$2:$B$8,MATCH(WEEKDAY('EZE Power Trading'!A250,3),'Master Data'!$A$2:$A$8,0),2)</f>
        <v>Su</v>
      </c>
      <c r="D250" s="112" t="n">
        <v>0</v>
      </c>
      <c r="E250" s="112" t="n">
        <v>0</v>
      </c>
      <c r="F250" s="112" t="n">
        <v>0</v>
      </c>
      <c r="G250" s="112" t="n">
        <v>0</v>
      </c>
      <c r="I250" s="112" t="n">
        <f aca="false">IF(MONTH($A250)=MONTH($A249),IF(G250=0,I249,G250),G250)</f>
        <v>0</v>
      </c>
      <c r="J250" s="112" t="n">
        <f aca="false">IF(MONTH($A250)=MONTH($A249),SUM(I250-I249),I250)</f>
        <v>0</v>
      </c>
      <c r="K250" s="112" t="n">
        <f aca="false">IF(WEEKDAY(A250,3)&gt;4,0,(IF(A250&lt;K$2,0,IF(A250&lt;=K$3,1,0))))</f>
        <v>0</v>
      </c>
      <c r="L250" s="112" t="n">
        <f aca="false">J250*K250</f>
        <v>0</v>
      </c>
      <c r="M250" s="112" t="n">
        <f aca="false">SUM(J$188:J250)</f>
        <v>24291</v>
      </c>
      <c r="N250" s="112" t="n">
        <f aca="false">SUM(J$6:J250)</f>
        <v>558924.665417804</v>
      </c>
      <c r="P250" s="112" t="n">
        <f aca="false">D250/P$3</f>
        <v>0</v>
      </c>
      <c r="Q250" s="112" t="n">
        <f aca="false">E250/P$3</f>
        <v>0</v>
      </c>
      <c r="R250" s="112" t="n">
        <f aca="false">F250/R$3</f>
        <v>0</v>
      </c>
      <c r="S250" s="114" t="n">
        <f aca="false">J250/$R$3</f>
        <v>0</v>
      </c>
      <c r="T250" s="114" t="n">
        <f aca="false">L250/$R$3</f>
        <v>0</v>
      </c>
      <c r="U250" s="114" t="n">
        <f aca="false">I250/$R$3</f>
        <v>0</v>
      </c>
      <c r="V250" s="114" t="n">
        <f aca="false">M250/$R$3</f>
        <v>24.291</v>
      </c>
      <c r="W250" s="114" t="n">
        <f aca="false">N250/$R$3</f>
        <v>558.924665417804</v>
      </c>
    </row>
    <row r="251" customFormat="false" ht="12.75" hidden="false" customHeight="false" outlineLevel="0" collapsed="false">
      <c r="A251" s="108" t="n">
        <f aca="false">A250+1</f>
        <v>37137</v>
      </c>
      <c r="B251" s="119" t="str">
        <f aca="false">INDEX('Master Data'!$A$2:$B$8,MATCH(WEEKDAY('EZE Power Trading'!A251,3),'Master Data'!$A$2:$A$8,0),2)</f>
        <v>M</v>
      </c>
      <c r="D251" s="112" t="n">
        <v>0</v>
      </c>
      <c r="E251" s="112" t="n">
        <v>0</v>
      </c>
      <c r="F251" s="112" t="n">
        <v>0</v>
      </c>
      <c r="G251" s="112" t="n">
        <v>0</v>
      </c>
      <c r="I251" s="112" t="n">
        <f aca="false">IF(MONTH($A251)=MONTH($A250),IF(G251=0,I250,G251),G251)</f>
        <v>0</v>
      </c>
      <c r="J251" s="112" t="n">
        <f aca="false">IF(MONTH($A251)=MONTH($A250),SUM(I251-I250),I251)</f>
        <v>0</v>
      </c>
      <c r="K251" s="112" t="n">
        <f aca="false">IF(WEEKDAY(A251,3)&gt;4,0,(IF(A251&lt;K$2,0,IF(A251&lt;=K$3,1,0))))</f>
        <v>0</v>
      </c>
      <c r="L251" s="112" t="n">
        <f aca="false">J251*K251</f>
        <v>0</v>
      </c>
      <c r="M251" s="112" t="n">
        <f aca="false">SUM(J$188:J251)</f>
        <v>24291</v>
      </c>
      <c r="N251" s="112" t="n">
        <f aca="false">SUM(J$6:J251)</f>
        <v>558924.665417804</v>
      </c>
      <c r="P251" s="112" t="n">
        <f aca="false">D251/P$3</f>
        <v>0</v>
      </c>
      <c r="Q251" s="112" t="n">
        <f aca="false">E251/P$3</f>
        <v>0</v>
      </c>
      <c r="R251" s="112" t="n">
        <f aca="false">F251/R$3</f>
        <v>0</v>
      </c>
      <c r="S251" s="114" t="n">
        <f aca="false">J251/$R$3</f>
        <v>0</v>
      </c>
      <c r="T251" s="114" t="n">
        <f aca="false">L251/$R$3</f>
        <v>0</v>
      </c>
      <c r="U251" s="114" t="n">
        <f aca="false">I251/$R$3</f>
        <v>0</v>
      </c>
      <c r="V251" s="114" t="n">
        <f aca="false">M251/$R$3</f>
        <v>24.291</v>
      </c>
      <c r="W251" s="114" t="n">
        <f aca="false">N251/$R$3</f>
        <v>558.924665417804</v>
      </c>
    </row>
    <row r="252" customFormat="false" ht="12.75" hidden="false" customHeight="false" outlineLevel="0" collapsed="false">
      <c r="A252" s="108" t="n">
        <f aca="false">A251+1</f>
        <v>37138</v>
      </c>
      <c r="B252" s="119" t="str">
        <f aca="false">INDEX('Master Data'!$A$2:$B$8,MATCH(WEEKDAY('EZE Power Trading'!A252,3),'Master Data'!$A$2:$A$8,0),2)</f>
        <v>T</v>
      </c>
      <c r="D252" s="112" t="n">
        <v>0</v>
      </c>
      <c r="E252" s="112" t="n">
        <v>0</v>
      </c>
      <c r="F252" s="112" t="n">
        <v>0</v>
      </c>
      <c r="G252" s="112" t="n">
        <v>0</v>
      </c>
      <c r="I252" s="112" t="n">
        <f aca="false">IF(MONTH($A252)=MONTH($A251),IF(G252=0,I251,G252),G252)</f>
        <v>0</v>
      </c>
      <c r="J252" s="112" t="n">
        <f aca="false">IF(MONTH($A252)=MONTH($A251),SUM(I252-I251),I252)</f>
        <v>0</v>
      </c>
      <c r="K252" s="112" t="n">
        <f aca="false">IF(WEEKDAY(A252,3)&gt;4,0,(IF(A252&lt;K$2,0,IF(A252&lt;=K$3,1,0))))</f>
        <v>0</v>
      </c>
      <c r="L252" s="112" t="n">
        <f aca="false">J252*K252</f>
        <v>0</v>
      </c>
      <c r="M252" s="112" t="n">
        <f aca="false">SUM(J$188:J252)</f>
        <v>24291</v>
      </c>
      <c r="N252" s="112" t="n">
        <f aca="false">SUM(J$6:J252)</f>
        <v>558924.665417804</v>
      </c>
      <c r="P252" s="112" t="n">
        <f aca="false">D252/P$3</f>
        <v>0</v>
      </c>
      <c r="Q252" s="112" t="n">
        <f aca="false">E252/P$3</f>
        <v>0</v>
      </c>
      <c r="R252" s="112" t="n">
        <f aca="false">F252/R$3</f>
        <v>0</v>
      </c>
      <c r="S252" s="114" t="n">
        <f aca="false">J252/$R$3</f>
        <v>0</v>
      </c>
      <c r="T252" s="114" t="n">
        <f aca="false">L252/$R$3</f>
        <v>0</v>
      </c>
      <c r="U252" s="114" t="n">
        <f aca="false">I252/$R$3</f>
        <v>0</v>
      </c>
      <c r="V252" s="114" t="n">
        <f aca="false">M252/$R$3</f>
        <v>24.291</v>
      </c>
      <c r="W252" s="114" t="n">
        <f aca="false">N252/$R$3</f>
        <v>558.924665417804</v>
      </c>
    </row>
    <row r="253" customFormat="false" ht="12.75" hidden="false" customHeight="false" outlineLevel="0" collapsed="false">
      <c r="A253" s="108" t="n">
        <f aca="false">A252+1</f>
        <v>37139</v>
      </c>
      <c r="B253" s="119" t="str">
        <f aca="false">INDEX('Master Data'!$A$2:$B$8,MATCH(WEEKDAY('EZE Power Trading'!A253,3),'Master Data'!$A$2:$A$8,0),2)</f>
        <v>W</v>
      </c>
      <c r="D253" s="112" t="n">
        <v>0</v>
      </c>
      <c r="E253" s="112" t="n">
        <v>0</v>
      </c>
      <c r="F253" s="112" t="n">
        <v>0</v>
      </c>
      <c r="G253" s="112" t="n">
        <v>0</v>
      </c>
      <c r="I253" s="112" t="n">
        <f aca="false">IF(MONTH($A253)=MONTH($A252),IF(G253=0,I252,G253),G253)</f>
        <v>0</v>
      </c>
      <c r="J253" s="112" t="n">
        <f aca="false">IF(MONTH($A253)=MONTH($A252),SUM(I253-I252),I253)</f>
        <v>0</v>
      </c>
      <c r="K253" s="112" t="n">
        <f aca="false">IF(WEEKDAY(A253,3)&gt;4,0,(IF(A253&lt;K$2,0,IF(A253&lt;=K$3,1,0))))</f>
        <v>0</v>
      </c>
      <c r="L253" s="112" t="n">
        <f aca="false">J253*K253</f>
        <v>0</v>
      </c>
      <c r="M253" s="112" t="n">
        <f aca="false">SUM(J$188:J253)</f>
        <v>24291</v>
      </c>
      <c r="N253" s="112" t="n">
        <f aca="false">SUM(J$6:J253)</f>
        <v>558924.665417804</v>
      </c>
      <c r="P253" s="112" t="n">
        <f aca="false">D253/P$3</f>
        <v>0</v>
      </c>
      <c r="Q253" s="112" t="n">
        <f aca="false">E253/P$3</f>
        <v>0</v>
      </c>
      <c r="R253" s="112" t="n">
        <f aca="false">F253/R$3</f>
        <v>0</v>
      </c>
      <c r="S253" s="114" t="n">
        <f aca="false">J253/$R$3</f>
        <v>0</v>
      </c>
      <c r="T253" s="114" t="n">
        <f aca="false">L253/$R$3</f>
        <v>0</v>
      </c>
      <c r="U253" s="114" t="n">
        <f aca="false">I253/$R$3</f>
        <v>0</v>
      </c>
      <c r="V253" s="114" t="n">
        <f aca="false">M253/$R$3</f>
        <v>24.291</v>
      </c>
      <c r="W253" s="114" t="n">
        <f aca="false">N253/$R$3</f>
        <v>558.924665417804</v>
      </c>
    </row>
    <row r="254" customFormat="false" ht="12.75" hidden="false" customHeight="false" outlineLevel="0" collapsed="false">
      <c r="A254" s="108" t="n">
        <f aca="false">A253+1</f>
        <v>37140</v>
      </c>
      <c r="B254" s="119" t="str">
        <f aca="false">INDEX('Master Data'!$A$2:$B$8,MATCH(WEEKDAY('EZE Power Trading'!A254,3),'Master Data'!$A$2:$A$8,0),2)</f>
        <v>Th</v>
      </c>
      <c r="D254" s="112" t="n">
        <v>0</v>
      </c>
      <c r="E254" s="112" t="n">
        <v>0</v>
      </c>
      <c r="F254" s="112" t="n">
        <v>0</v>
      </c>
      <c r="G254" s="112" t="n">
        <v>0</v>
      </c>
      <c r="I254" s="112" t="n">
        <f aca="false">IF(MONTH($A254)=MONTH($A253),IF(G254=0,I253,G254),G254)</f>
        <v>0</v>
      </c>
      <c r="J254" s="112" t="n">
        <f aca="false">IF(MONTH($A254)=MONTH($A253),SUM(I254-I253),I254)</f>
        <v>0</v>
      </c>
      <c r="K254" s="112" t="n">
        <f aca="false">IF(WEEKDAY(A254,3)&gt;4,0,(IF(A254&lt;K$2,0,IF(A254&lt;=K$3,1,0))))</f>
        <v>0</v>
      </c>
      <c r="L254" s="112" t="n">
        <f aca="false">J254*K254</f>
        <v>0</v>
      </c>
      <c r="M254" s="112" t="n">
        <f aca="false">SUM(J$188:J254)</f>
        <v>24291</v>
      </c>
      <c r="N254" s="112" t="n">
        <f aca="false">SUM(J$6:J254)</f>
        <v>558924.665417804</v>
      </c>
      <c r="P254" s="112" t="n">
        <f aca="false">D254/P$3</f>
        <v>0</v>
      </c>
      <c r="Q254" s="112" t="n">
        <f aca="false">E254/P$3</f>
        <v>0</v>
      </c>
      <c r="R254" s="112" t="n">
        <f aca="false">F254/R$3</f>
        <v>0</v>
      </c>
      <c r="S254" s="114" t="n">
        <f aca="false">J254/$R$3</f>
        <v>0</v>
      </c>
      <c r="T254" s="114" t="n">
        <f aca="false">L254/$R$3</f>
        <v>0</v>
      </c>
      <c r="U254" s="114" t="n">
        <f aca="false">I254/$R$3</f>
        <v>0</v>
      </c>
      <c r="V254" s="114" t="n">
        <f aca="false">M254/$R$3</f>
        <v>24.291</v>
      </c>
      <c r="W254" s="114" t="n">
        <f aca="false">N254/$R$3</f>
        <v>558.924665417804</v>
      </c>
    </row>
    <row r="255" customFormat="false" ht="12.75" hidden="false" customHeight="false" outlineLevel="0" collapsed="false">
      <c r="A255" s="108" t="n">
        <f aca="false">A254+1</f>
        <v>37141</v>
      </c>
      <c r="B255" s="119" t="str">
        <f aca="false">INDEX('Master Data'!$A$2:$B$8,MATCH(WEEKDAY('EZE Power Trading'!A255,3),'Master Data'!$A$2:$A$8,0),2)</f>
        <v>F</v>
      </c>
      <c r="D255" s="112" t="n">
        <v>0</v>
      </c>
      <c r="E255" s="112" t="n">
        <v>0</v>
      </c>
      <c r="F255" s="112" t="n">
        <v>0</v>
      </c>
      <c r="G255" s="112" t="n">
        <v>0</v>
      </c>
      <c r="I255" s="112" t="n">
        <f aca="false">IF(MONTH($A255)=MONTH($A254),IF(G255=0,I254,G255),G255)</f>
        <v>0</v>
      </c>
      <c r="J255" s="112" t="n">
        <f aca="false">IF(MONTH($A255)=MONTH($A254),SUM(I255-I254),I255)</f>
        <v>0</v>
      </c>
      <c r="K255" s="112" t="n">
        <f aca="false">IF(WEEKDAY(A255,3)&gt;4,0,(IF(A255&lt;K$2,0,IF(A255&lt;=K$3,1,0))))</f>
        <v>0</v>
      </c>
      <c r="L255" s="112" t="n">
        <f aca="false">J255*K255</f>
        <v>0</v>
      </c>
      <c r="M255" s="112" t="n">
        <f aca="false">SUM(J$188:J255)</f>
        <v>24291</v>
      </c>
      <c r="N255" s="112" t="n">
        <f aca="false">SUM(J$6:J255)</f>
        <v>558924.665417804</v>
      </c>
      <c r="P255" s="112" t="n">
        <f aca="false">D255/P$3</f>
        <v>0</v>
      </c>
      <c r="Q255" s="112" t="n">
        <f aca="false">E255/P$3</f>
        <v>0</v>
      </c>
      <c r="R255" s="112" t="n">
        <f aca="false">F255/R$3</f>
        <v>0</v>
      </c>
      <c r="S255" s="114" t="n">
        <f aca="false">J255/$R$3</f>
        <v>0</v>
      </c>
      <c r="T255" s="114" t="n">
        <f aca="false">L255/$R$3</f>
        <v>0</v>
      </c>
      <c r="U255" s="114" t="n">
        <f aca="false">I255/$R$3</f>
        <v>0</v>
      </c>
      <c r="V255" s="114" t="n">
        <f aca="false">M255/$R$3</f>
        <v>24.291</v>
      </c>
      <c r="W255" s="114" t="n">
        <f aca="false">N255/$R$3</f>
        <v>558.924665417804</v>
      </c>
    </row>
    <row r="256" customFormat="false" ht="12.75" hidden="false" customHeight="false" outlineLevel="0" collapsed="false">
      <c r="A256" s="108" t="n">
        <f aca="false">A255+1</f>
        <v>37142</v>
      </c>
      <c r="B256" s="119" t="str">
        <f aca="false">INDEX('Master Data'!$A$2:$B$8,MATCH(WEEKDAY('EZE Power Trading'!A256,3),'Master Data'!$A$2:$A$8,0),2)</f>
        <v>Sa</v>
      </c>
      <c r="D256" s="112" t="n">
        <v>0</v>
      </c>
      <c r="E256" s="112" t="n">
        <v>0</v>
      </c>
      <c r="F256" s="112" t="n">
        <v>0</v>
      </c>
      <c r="G256" s="112" t="n">
        <v>0</v>
      </c>
      <c r="I256" s="112" t="n">
        <f aca="false">IF(MONTH($A256)=MONTH($A255),IF(G256=0,I255,G256),G256)</f>
        <v>0</v>
      </c>
      <c r="J256" s="112" t="n">
        <f aca="false">IF(MONTH($A256)=MONTH($A255),SUM(I256-I255),I256)</f>
        <v>0</v>
      </c>
      <c r="K256" s="112" t="n">
        <f aca="false">IF(WEEKDAY(A256,3)&gt;4,0,(IF(A256&lt;K$2,0,IF(A256&lt;=K$3,1,0))))</f>
        <v>0</v>
      </c>
      <c r="L256" s="112" t="n">
        <f aca="false">J256*K256</f>
        <v>0</v>
      </c>
      <c r="M256" s="112" t="n">
        <f aca="false">SUM(J$188:J256)</f>
        <v>24291</v>
      </c>
      <c r="N256" s="112" t="n">
        <f aca="false">SUM(J$6:J256)</f>
        <v>558924.665417804</v>
      </c>
      <c r="P256" s="112" t="n">
        <f aca="false">D256/P$3</f>
        <v>0</v>
      </c>
      <c r="Q256" s="112" t="n">
        <f aca="false">E256/P$3</f>
        <v>0</v>
      </c>
      <c r="R256" s="112" t="n">
        <f aca="false">F256/R$3</f>
        <v>0</v>
      </c>
      <c r="S256" s="114" t="n">
        <f aca="false">J256/$R$3</f>
        <v>0</v>
      </c>
      <c r="T256" s="114" t="n">
        <f aca="false">L256/$R$3</f>
        <v>0</v>
      </c>
      <c r="U256" s="114" t="n">
        <f aca="false">I256/$R$3</f>
        <v>0</v>
      </c>
      <c r="V256" s="114" t="n">
        <f aca="false">M256/$R$3</f>
        <v>24.291</v>
      </c>
      <c r="W256" s="114" t="n">
        <f aca="false">N256/$R$3</f>
        <v>558.924665417804</v>
      </c>
    </row>
    <row r="257" customFormat="false" ht="12.75" hidden="false" customHeight="false" outlineLevel="0" collapsed="false">
      <c r="A257" s="108" t="n">
        <f aca="false">A256+1</f>
        <v>37143</v>
      </c>
      <c r="B257" s="119" t="str">
        <f aca="false">INDEX('Master Data'!$A$2:$B$8,MATCH(WEEKDAY('EZE Power Trading'!A257,3),'Master Data'!$A$2:$A$8,0),2)</f>
        <v>Su</v>
      </c>
      <c r="D257" s="112" t="n">
        <v>0</v>
      </c>
      <c r="E257" s="112" t="n">
        <v>0</v>
      </c>
      <c r="F257" s="112" t="n">
        <v>0</v>
      </c>
      <c r="G257" s="112" t="n">
        <v>0</v>
      </c>
      <c r="I257" s="112" t="n">
        <f aca="false">IF(MONTH($A257)=MONTH($A256),IF(G257=0,I256,G257),G257)</f>
        <v>0</v>
      </c>
      <c r="J257" s="112" t="n">
        <f aca="false">IF(MONTH($A257)=MONTH($A256),SUM(I257-I256),I257)</f>
        <v>0</v>
      </c>
      <c r="K257" s="112" t="n">
        <f aca="false">IF(WEEKDAY(A257,3)&gt;4,0,(IF(A257&lt;K$2,0,IF(A257&lt;=K$3,1,0))))</f>
        <v>0</v>
      </c>
      <c r="L257" s="112" t="n">
        <f aca="false">J257*K257</f>
        <v>0</v>
      </c>
      <c r="M257" s="112" t="n">
        <f aca="false">SUM(J$188:J257)</f>
        <v>24291</v>
      </c>
      <c r="N257" s="112" t="n">
        <f aca="false">SUM(J$6:J257)</f>
        <v>558924.665417804</v>
      </c>
      <c r="P257" s="112" t="n">
        <f aca="false">D257/P$3</f>
        <v>0</v>
      </c>
      <c r="Q257" s="112" t="n">
        <f aca="false">E257/P$3</f>
        <v>0</v>
      </c>
      <c r="R257" s="112" t="n">
        <f aca="false">F257/R$3</f>
        <v>0</v>
      </c>
      <c r="S257" s="114" t="n">
        <f aca="false">J257/$R$3</f>
        <v>0</v>
      </c>
      <c r="T257" s="114" t="n">
        <f aca="false">L257/$R$3</f>
        <v>0</v>
      </c>
      <c r="U257" s="114" t="n">
        <f aca="false">I257/$R$3</f>
        <v>0</v>
      </c>
      <c r="V257" s="114" t="n">
        <f aca="false">M257/$R$3</f>
        <v>24.291</v>
      </c>
      <c r="W257" s="114" t="n">
        <f aca="false">N257/$R$3</f>
        <v>558.924665417804</v>
      </c>
    </row>
    <row r="258" customFormat="false" ht="12.75" hidden="false" customHeight="false" outlineLevel="0" collapsed="false">
      <c r="A258" s="108" t="n">
        <f aca="false">A257+1</f>
        <v>37144</v>
      </c>
      <c r="B258" s="119" t="str">
        <f aca="false">INDEX('Master Data'!$A$2:$B$8,MATCH(WEEKDAY('EZE Power Trading'!A258,3),'Master Data'!$A$2:$A$8,0),2)</f>
        <v>M</v>
      </c>
      <c r="D258" s="112" t="n">
        <v>0</v>
      </c>
      <c r="E258" s="112" t="n">
        <v>0</v>
      </c>
      <c r="F258" s="112" t="n">
        <v>0</v>
      </c>
      <c r="G258" s="112" t="n">
        <v>0</v>
      </c>
      <c r="I258" s="112" t="n">
        <f aca="false">IF(MONTH($A258)=MONTH($A257),IF(G258=0,I257,G258),G258)</f>
        <v>0</v>
      </c>
      <c r="J258" s="112" t="n">
        <f aca="false">IF(MONTH($A258)=MONTH($A257),SUM(I258-I257),I258)</f>
        <v>0</v>
      </c>
      <c r="K258" s="112" t="n">
        <f aca="false">IF(WEEKDAY(A258,3)&gt;4,0,(IF(A258&lt;K$2,0,IF(A258&lt;=K$3,1,0))))</f>
        <v>0</v>
      </c>
      <c r="L258" s="112" t="n">
        <f aca="false">J258*K258</f>
        <v>0</v>
      </c>
      <c r="M258" s="112" t="n">
        <f aca="false">SUM(J$188:J258)</f>
        <v>24291</v>
      </c>
      <c r="N258" s="112" t="n">
        <f aca="false">SUM(J$6:J258)</f>
        <v>558924.665417804</v>
      </c>
      <c r="P258" s="112" t="n">
        <f aca="false">D258/P$3</f>
        <v>0</v>
      </c>
      <c r="Q258" s="112" t="n">
        <f aca="false">E258/P$3</f>
        <v>0</v>
      </c>
      <c r="R258" s="112" t="n">
        <f aca="false">F258/R$3</f>
        <v>0</v>
      </c>
      <c r="S258" s="114" t="n">
        <f aca="false">J258/$R$3</f>
        <v>0</v>
      </c>
      <c r="T258" s="114" t="n">
        <f aca="false">L258/$R$3</f>
        <v>0</v>
      </c>
      <c r="U258" s="114" t="n">
        <f aca="false">I258/$R$3</f>
        <v>0</v>
      </c>
      <c r="V258" s="114" t="n">
        <f aca="false">M258/$R$3</f>
        <v>24.291</v>
      </c>
      <c r="W258" s="114" t="n">
        <f aca="false">N258/$R$3</f>
        <v>558.924665417804</v>
      </c>
    </row>
    <row r="259" customFormat="false" ht="12.75" hidden="false" customHeight="false" outlineLevel="0" collapsed="false">
      <c r="A259" s="108" t="n">
        <f aca="false">A258+1</f>
        <v>37145</v>
      </c>
      <c r="B259" s="119" t="str">
        <f aca="false">INDEX('Master Data'!$A$2:$B$8,MATCH(WEEKDAY('EZE Power Trading'!A259,3),'Master Data'!$A$2:$A$8,0),2)</f>
        <v>T</v>
      </c>
      <c r="D259" s="112" t="n">
        <v>0</v>
      </c>
      <c r="E259" s="112" t="n">
        <v>0</v>
      </c>
      <c r="F259" s="112" t="n">
        <v>0</v>
      </c>
      <c r="G259" s="112" t="n">
        <v>0</v>
      </c>
      <c r="I259" s="112" t="n">
        <f aca="false">IF(MONTH($A259)=MONTH($A258),IF(G259=0,I258,G259),G259)</f>
        <v>0</v>
      </c>
      <c r="J259" s="112" t="n">
        <f aca="false">IF(MONTH($A259)=MONTH($A258),SUM(I259-I258),I259)</f>
        <v>0</v>
      </c>
      <c r="K259" s="112" t="n">
        <f aca="false">IF(WEEKDAY(A259,3)&gt;4,0,(IF(A259&lt;K$2,0,IF(A259&lt;=K$3,1,0))))</f>
        <v>0</v>
      </c>
      <c r="L259" s="112" t="n">
        <f aca="false">J259*K259</f>
        <v>0</v>
      </c>
      <c r="M259" s="112" t="n">
        <f aca="false">SUM(J$188:J259)</f>
        <v>24291</v>
      </c>
      <c r="N259" s="112" t="n">
        <f aca="false">SUM(J$6:J259)</f>
        <v>558924.665417804</v>
      </c>
      <c r="P259" s="112" t="n">
        <f aca="false">D259/P$3</f>
        <v>0</v>
      </c>
      <c r="Q259" s="112" t="n">
        <f aca="false">E259/P$3</f>
        <v>0</v>
      </c>
      <c r="R259" s="112" t="n">
        <f aca="false">F259/R$3</f>
        <v>0</v>
      </c>
      <c r="S259" s="114" t="n">
        <f aca="false">J259/$R$3</f>
        <v>0</v>
      </c>
      <c r="T259" s="114" t="n">
        <f aca="false">L259/$R$3</f>
        <v>0</v>
      </c>
      <c r="U259" s="114" t="n">
        <f aca="false">I259/$R$3</f>
        <v>0</v>
      </c>
      <c r="V259" s="114" t="n">
        <f aca="false">M259/$R$3</f>
        <v>24.291</v>
      </c>
      <c r="W259" s="114" t="n">
        <f aca="false">N259/$R$3</f>
        <v>558.924665417804</v>
      </c>
    </row>
    <row r="260" customFormat="false" ht="12.75" hidden="false" customHeight="false" outlineLevel="0" collapsed="false">
      <c r="A260" s="108" t="n">
        <f aca="false">A259+1</f>
        <v>37146</v>
      </c>
      <c r="B260" s="119" t="str">
        <f aca="false">INDEX('Master Data'!$A$2:$B$8,MATCH(WEEKDAY('EZE Power Trading'!A260,3),'Master Data'!$A$2:$A$8,0),2)</f>
        <v>W</v>
      </c>
      <c r="D260" s="112" t="n">
        <v>0</v>
      </c>
      <c r="E260" s="112" t="n">
        <v>0</v>
      </c>
      <c r="F260" s="112" t="n">
        <v>0</v>
      </c>
      <c r="G260" s="112" t="n">
        <v>0</v>
      </c>
      <c r="I260" s="112" t="n">
        <f aca="false">IF(MONTH($A260)=MONTH($A259),IF(G260=0,I259,G260),G260)</f>
        <v>0</v>
      </c>
      <c r="J260" s="112" t="n">
        <f aca="false">IF(MONTH($A260)=MONTH($A259),SUM(I260-I259),I260)</f>
        <v>0</v>
      </c>
      <c r="K260" s="112" t="n">
        <f aca="false">IF(WEEKDAY(A260,3)&gt;4,0,(IF(A260&lt;K$2,0,IF(A260&lt;=K$3,1,0))))</f>
        <v>0</v>
      </c>
      <c r="L260" s="112" t="n">
        <f aca="false">J260*K260</f>
        <v>0</v>
      </c>
      <c r="M260" s="112" t="n">
        <f aca="false">SUM(J$188:J260)</f>
        <v>24291</v>
      </c>
      <c r="N260" s="112" t="n">
        <f aca="false">SUM(J$6:J260)</f>
        <v>558924.665417804</v>
      </c>
      <c r="P260" s="112" t="n">
        <f aca="false">D260/P$3</f>
        <v>0</v>
      </c>
      <c r="Q260" s="112" t="n">
        <f aca="false">E260/P$3</f>
        <v>0</v>
      </c>
      <c r="R260" s="112" t="n">
        <f aca="false">F260/R$3</f>
        <v>0</v>
      </c>
      <c r="S260" s="114" t="n">
        <f aca="false">J260/$R$3</f>
        <v>0</v>
      </c>
      <c r="T260" s="114" t="n">
        <f aca="false">L260/$R$3</f>
        <v>0</v>
      </c>
      <c r="U260" s="114" t="n">
        <f aca="false">I260/$R$3</f>
        <v>0</v>
      </c>
      <c r="V260" s="114" t="n">
        <f aca="false">M260/$R$3</f>
        <v>24.291</v>
      </c>
      <c r="W260" s="114" t="n">
        <f aca="false">N260/$R$3</f>
        <v>558.924665417804</v>
      </c>
    </row>
    <row r="261" customFormat="false" ht="12.75" hidden="false" customHeight="false" outlineLevel="0" collapsed="false">
      <c r="A261" s="108" t="n">
        <f aca="false">A260+1</f>
        <v>37147</v>
      </c>
      <c r="B261" s="119" t="str">
        <f aca="false">INDEX('Master Data'!$A$2:$B$8,MATCH(WEEKDAY('EZE Power Trading'!A261,3),'Master Data'!$A$2:$A$8,0),2)</f>
        <v>Th</v>
      </c>
      <c r="D261" s="112" t="n">
        <v>0</v>
      </c>
      <c r="E261" s="112" t="n">
        <v>0</v>
      </c>
      <c r="F261" s="112" t="n">
        <v>0</v>
      </c>
      <c r="G261" s="112" t="n">
        <v>0</v>
      </c>
      <c r="I261" s="112" t="n">
        <f aca="false">IF(MONTH($A261)=MONTH($A260),IF(G261=0,I260,G261),G261)</f>
        <v>0</v>
      </c>
      <c r="J261" s="112" t="n">
        <f aca="false">IF(MONTH($A261)=MONTH($A260),SUM(I261-I260),I261)</f>
        <v>0</v>
      </c>
      <c r="K261" s="112" t="n">
        <f aca="false">IF(WEEKDAY(A261,3)&gt;4,0,(IF(A261&lt;K$2,0,IF(A261&lt;=K$3,1,0))))</f>
        <v>0</v>
      </c>
      <c r="L261" s="112" t="n">
        <f aca="false">J261*K261</f>
        <v>0</v>
      </c>
      <c r="M261" s="112" t="n">
        <f aca="false">SUM(J$188:J261)</f>
        <v>24291</v>
      </c>
      <c r="N261" s="112" t="n">
        <f aca="false">SUM(J$6:J261)</f>
        <v>558924.665417804</v>
      </c>
      <c r="P261" s="112" t="n">
        <f aca="false">D261/P$3</f>
        <v>0</v>
      </c>
      <c r="Q261" s="112" t="n">
        <f aca="false">E261/P$3</f>
        <v>0</v>
      </c>
      <c r="R261" s="112" t="n">
        <f aca="false">F261/R$3</f>
        <v>0</v>
      </c>
      <c r="S261" s="114" t="n">
        <f aca="false">J261/$R$3</f>
        <v>0</v>
      </c>
      <c r="T261" s="114" t="n">
        <f aca="false">L261/$R$3</f>
        <v>0</v>
      </c>
      <c r="U261" s="114" t="n">
        <f aca="false">I261/$R$3</f>
        <v>0</v>
      </c>
      <c r="V261" s="114" t="n">
        <f aca="false">M261/$R$3</f>
        <v>24.291</v>
      </c>
      <c r="W261" s="114" t="n">
        <f aca="false">N261/$R$3</f>
        <v>558.924665417804</v>
      </c>
    </row>
    <row r="262" customFormat="false" ht="12.75" hidden="false" customHeight="false" outlineLevel="0" collapsed="false">
      <c r="A262" s="108" t="n">
        <f aca="false">A261+1</f>
        <v>37148</v>
      </c>
      <c r="B262" s="119" t="str">
        <f aca="false">INDEX('Master Data'!$A$2:$B$8,MATCH(WEEKDAY('EZE Power Trading'!A262,3),'Master Data'!$A$2:$A$8,0),2)</f>
        <v>F</v>
      </c>
      <c r="D262" s="112" t="n">
        <v>0</v>
      </c>
      <c r="E262" s="112" t="n">
        <v>0</v>
      </c>
      <c r="F262" s="112" t="n">
        <v>0</v>
      </c>
      <c r="G262" s="112" t="n">
        <v>0</v>
      </c>
      <c r="I262" s="112" t="n">
        <f aca="false">IF(MONTH($A262)=MONTH($A261),IF(G262=0,I261,G262),G262)</f>
        <v>0</v>
      </c>
      <c r="J262" s="112" t="n">
        <f aca="false">IF(MONTH($A262)=MONTH($A261),SUM(I262-I261),I262)</f>
        <v>0</v>
      </c>
      <c r="K262" s="112" t="n">
        <f aca="false">IF(WEEKDAY(A262,3)&gt;4,0,(IF(A262&lt;K$2,0,IF(A262&lt;=K$3,1,0))))</f>
        <v>0</v>
      </c>
      <c r="L262" s="112" t="n">
        <f aca="false">J262*K262</f>
        <v>0</v>
      </c>
      <c r="M262" s="112" t="n">
        <f aca="false">SUM(J$188:J262)</f>
        <v>24291</v>
      </c>
      <c r="N262" s="112" t="n">
        <f aca="false">SUM(J$6:J262)</f>
        <v>558924.665417804</v>
      </c>
      <c r="P262" s="112" t="n">
        <f aca="false">D262/P$3</f>
        <v>0</v>
      </c>
      <c r="Q262" s="112" t="n">
        <f aca="false">E262/P$3</f>
        <v>0</v>
      </c>
      <c r="R262" s="112" t="n">
        <f aca="false">F262/R$3</f>
        <v>0</v>
      </c>
      <c r="S262" s="114" t="n">
        <f aca="false">J262/$R$3</f>
        <v>0</v>
      </c>
      <c r="T262" s="114" t="n">
        <f aca="false">L262/$R$3</f>
        <v>0</v>
      </c>
      <c r="U262" s="114" t="n">
        <f aca="false">I262/$R$3</f>
        <v>0</v>
      </c>
      <c r="V262" s="114" t="n">
        <f aca="false">M262/$R$3</f>
        <v>24.291</v>
      </c>
      <c r="W262" s="114" t="n">
        <f aca="false">N262/$R$3</f>
        <v>558.924665417804</v>
      </c>
    </row>
    <row r="263" customFormat="false" ht="12.75" hidden="false" customHeight="false" outlineLevel="0" collapsed="false">
      <c r="A263" s="108" t="n">
        <f aca="false">A262+1</f>
        <v>37149</v>
      </c>
      <c r="B263" s="119" t="str">
        <f aca="false">INDEX('Master Data'!$A$2:$B$8,MATCH(WEEKDAY('EZE Power Trading'!A263,3),'Master Data'!$A$2:$A$8,0),2)</f>
        <v>Sa</v>
      </c>
      <c r="D263" s="112" t="n">
        <v>0</v>
      </c>
      <c r="E263" s="112" t="n">
        <v>0</v>
      </c>
      <c r="F263" s="112" t="n">
        <v>0</v>
      </c>
      <c r="G263" s="112" t="n">
        <v>0</v>
      </c>
      <c r="I263" s="112" t="n">
        <f aca="false">IF(MONTH($A263)=MONTH($A262),IF(G263=0,I262,G263),G263)</f>
        <v>0</v>
      </c>
      <c r="J263" s="112" t="n">
        <f aca="false">IF(MONTH($A263)=MONTH($A262),SUM(I263-I262),I263)</f>
        <v>0</v>
      </c>
      <c r="K263" s="112" t="n">
        <f aca="false">IF(WEEKDAY(A263,3)&gt;4,0,(IF(A263&lt;K$2,0,IF(A263&lt;=K$3,1,0))))</f>
        <v>0</v>
      </c>
      <c r="L263" s="112" t="n">
        <f aca="false">J263*K263</f>
        <v>0</v>
      </c>
      <c r="M263" s="112" t="n">
        <f aca="false">SUM(J$188:J263)</f>
        <v>24291</v>
      </c>
      <c r="N263" s="112" t="n">
        <f aca="false">SUM(J$6:J263)</f>
        <v>558924.665417804</v>
      </c>
      <c r="P263" s="112" t="n">
        <f aca="false">D263/P$3</f>
        <v>0</v>
      </c>
      <c r="Q263" s="112" t="n">
        <f aca="false">E263/P$3</f>
        <v>0</v>
      </c>
      <c r="R263" s="112" t="n">
        <f aca="false">F263/R$3</f>
        <v>0</v>
      </c>
      <c r="S263" s="114" t="n">
        <f aca="false">J263/$R$3</f>
        <v>0</v>
      </c>
      <c r="T263" s="114" t="n">
        <f aca="false">L263/$R$3</f>
        <v>0</v>
      </c>
      <c r="U263" s="114" t="n">
        <f aca="false">I263/$R$3</f>
        <v>0</v>
      </c>
      <c r="V263" s="114" t="n">
        <f aca="false">M263/$R$3</f>
        <v>24.291</v>
      </c>
      <c r="W263" s="114" t="n">
        <f aca="false">N263/$R$3</f>
        <v>558.924665417804</v>
      </c>
    </row>
    <row r="264" customFormat="false" ht="12.75" hidden="false" customHeight="false" outlineLevel="0" collapsed="false">
      <c r="A264" s="108" t="n">
        <f aca="false">A263+1</f>
        <v>37150</v>
      </c>
      <c r="B264" s="119" t="str">
        <f aca="false">INDEX('Master Data'!$A$2:$B$8,MATCH(WEEKDAY('EZE Power Trading'!A264,3),'Master Data'!$A$2:$A$8,0),2)</f>
        <v>Su</v>
      </c>
      <c r="D264" s="112" t="n">
        <v>0</v>
      </c>
      <c r="E264" s="112" t="n">
        <v>0</v>
      </c>
      <c r="F264" s="112" t="n">
        <v>0</v>
      </c>
      <c r="G264" s="112" t="n">
        <v>0</v>
      </c>
      <c r="I264" s="112" t="n">
        <f aca="false">IF(MONTH($A264)=MONTH($A263),IF(G264=0,I263,G264),G264)</f>
        <v>0</v>
      </c>
      <c r="J264" s="112" t="n">
        <f aca="false">IF(MONTH($A264)=MONTH($A263),SUM(I264-I263),I264)</f>
        <v>0</v>
      </c>
      <c r="K264" s="112" t="n">
        <f aca="false">IF(WEEKDAY(A264,3)&gt;4,0,(IF(A264&lt;K$2,0,IF(A264&lt;=K$3,1,0))))</f>
        <v>0</v>
      </c>
      <c r="L264" s="112" t="n">
        <f aca="false">J264*K264</f>
        <v>0</v>
      </c>
      <c r="M264" s="112" t="n">
        <f aca="false">SUM(J$188:J264)</f>
        <v>24291</v>
      </c>
      <c r="N264" s="112" t="n">
        <f aca="false">SUM(J$6:J264)</f>
        <v>558924.665417804</v>
      </c>
      <c r="P264" s="112" t="n">
        <f aca="false">D264/P$3</f>
        <v>0</v>
      </c>
      <c r="Q264" s="112" t="n">
        <f aca="false">E264/P$3</f>
        <v>0</v>
      </c>
      <c r="R264" s="112" t="n">
        <f aca="false">F264/R$3</f>
        <v>0</v>
      </c>
      <c r="S264" s="114" t="n">
        <f aca="false">J264/$R$3</f>
        <v>0</v>
      </c>
      <c r="T264" s="114" t="n">
        <f aca="false">L264/$R$3</f>
        <v>0</v>
      </c>
      <c r="U264" s="114" t="n">
        <f aca="false">I264/$R$3</f>
        <v>0</v>
      </c>
      <c r="V264" s="114" t="n">
        <f aca="false">M264/$R$3</f>
        <v>24.291</v>
      </c>
      <c r="W264" s="114" t="n">
        <f aca="false">N264/$R$3</f>
        <v>558.924665417804</v>
      </c>
    </row>
    <row r="265" customFormat="false" ht="12.75" hidden="false" customHeight="false" outlineLevel="0" collapsed="false">
      <c r="A265" s="108" t="n">
        <f aca="false">A264+1</f>
        <v>37151</v>
      </c>
      <c r="B265" s="119" t="str">
        <f aca="false">INDEX('Master Data'!$A$2:$B$8,MATCH(WEEKDAY('EZE Power Trading'!A265,3),'Master Data'!$A$2:$A$8,0),2)</f>
        <v>M</v>
      </c>
      <c r="D265" s="112" t="n">
        <v>0</v>
      </c>
      <c r="E265" s="112" t="n">
        <v>0</v>
      </c>
      <c r="F265" s="112" t="n">
        <v>0</v>
      </c>
      <c r="G265" s="112" t="n">
        <v>0</v>
      </c>
      <c r="I265" s="112" t="n">
        <f aca="false">IF(MONTH($A265)=MONTH($A264),IF(G265=0,I264,G265),G265)</f>
        <v>0</v>
      </c>
      <c r="J265" s="112" t="n">
        <f aca="false">IF(MONTH($A265)=MONTH($A264),SUM(I265-I264),I265)</f>
        <v>0</v>
      </c>
      <c r="K265" s="112" t="n">
        <f aca="false">IF(WEEKDAY(A265,3)&gt;4,0,(IF(A265&lt;K$2,0,IF(A265&lt;=K$3,1,0))))</f>
        <v>0</v>
      </c>
      <c r="L265" s="112" t="n">
        <f aca="false">J265*K265</f>
        <v>0</v>
      </c>
      <c r="M265" s="112" t="n">
        <f aca="false">SUM(J$188:J265)</f>
        <v>24291</v>
      </c>
      <c r="N265" s="112" t="n">
        <f aca="false">SUM(J$6:J265)</f>
        <v>558924.665417804</v>
      </c>
      <c r="P265" s="112" t="n">
        <f aca="false">D265/P$3</f>
        <v>0</v>
      </c>
      <c r="Q265" s="112" t="n">
        <f aca="false">E265/P$3</f>
        <v>0</v>
      </c>
      <c r="R265" s="112" t="n">
        <f aca="false">F265/R$3</f>
        <v>0</v>
      </c>
      <c r="S265" s="114" t="n">
        <f aca="false">J265/$R$3</f>
        <v>0</v>
      </c>
      <c r="T265" s="114" t="n">
        <f aca="false">L265/$R$3</f>
        <v>0</v>
      </c>
      <c r="U265" s="114" t="n">
        <f aca="false">I265/$R$3</f>
        <v>0</v>
      </c>
      <c r="V265" s="114" t="n">
        <f aca="false">M265/$R$3</f>
        <v>24.291</v>
      </c>
      <c r="W265" s="114" t="n">
        <f aca="false">N265/$R$3</f>
        <v>558.924665417804</v>
      </c>
    </row>
    <row r="266" customFormat="false" ht="12.75" hidden="false" customHeight="false" outlineLevel="0" collapsed="false">
      <c r="A266" s="108" t="n">
        <f aca="false">A265+1</f>
        <v>37152</v>
      </c>
      <c r="B266" s="119" t="str">
        <f aca="false">INDEX('Master Data'!$A$2:$B$8,MATCH(WEEKDAY('EZE Power Trading'!A266,3),'Master Data'!$A$2:$A$8,0),2)</f>
        <v>T</v>
      </c>
      <c r="D266" s="112" t="n">
        <v>0</v>
      </c>
      <c r="E266" s="112" t="n">
        <v>0</v>
      </c>
      <c r="F266" s="112" t="n">
        <v>0</v>
      </c>
      <c r="G266" s="112" t="n">
        <v>0</v>
      </c>
      <c r="I266" s="112" t="n">
        <f aca="false">IF(MONTH($A266)=MONTH($A265),IF(G266=0,I265,G266),G266)</f>
        <v>0</v>
      </c>
      <c r="J266" s="112" t="n">
        <f aca="false">IF(MONTH($A266)=MONTH($A265),SUM(I266-I265),I266)</f>
        <v>0</v>
      </c>
      <c r="K266" s="112" t="n">
        <f aca="false">IF(WEEKDAY(A266,3)&gt;4,0,(IF(A266&lt;K$2,0,IF(A266&lt;=K$3,1,0))))</f>
        <v>0</v>
      </c>
      <c r="L266" s="112" t="n">
        <f aca="false">J266*K266</f>
        <v>0</v>
      </c>
      <c r="M266" s="112" t="n">
        <f aca="false">SUM(J$188:J266)</f>
        <v>24291</v>
      </c>
      <c r="N266" s="112" t="n">
        <f aca="false">SUM(J$6:J266)</f>
        <v>558924.665417804</v>
      </c>
      <c r="P266" s="112" t="n">
        <f aca="false">D266/P$3</f>
        <v>0</v>
      </c>
      <c r="Q266" s="112" t="n">
        <f aca="false">E266/P$3</f>
        <v>0</v>
      </c>
      <c r="R266" s="112" t="n">
        <f aca="false">F266/R$3</f>
        <v>0</v>
      </c>
      <c r="S266" s="114" t="n">
        <f aca="false">J266/$R$3</f>
        <v>0</v>
      </c>
      <c r="T266" s="114" t="n">
        <f aca="false">L266/$R$3</f>
        <v>0</v>
      </c>
      <c r="U266" s="114" t="n">
        <f aca="false">I266/$R$3</f>
        <v>0</v>
      </c>
      <c r="V266" s="114" t="n">
        <f aca="false">M266/$R$3</f>
        <v>24.291</v>
      </c>
      <c r="W266" s="114" t="n">
        <f aca="false">N266/$R$3</f>
        <v>558.924665417804</v>
      </c>
    </row>
    <row r="267" customFormat="false" ht="12.75" hidden="false" customHeight="false" outlineLevel="0" collapsed="false">
      <c r="A267" s="108" t="n">
        <f aca="false">A266+1</f>
        <v>37153</v>
      </c>
      <c r="B267" s="119" t="str">
        <f aca="false">INDEX('Master Data'!$A$2:$B$8,MATCH(WEEKDAY('EZE Power Trading'!A267,3),'Master Data'!$A$2:$A$8,0),2)</f>
        <v>W</v>
      </c>
      <c r="D267" s="112" t="n">
        <v>0</v>
      </c>
      <c r="E267" s="112" t="n">
        <v>0</v>
      </c>
      <c r="F267" s="112" t="n">
        <v>0</v>
      </c>
      <c r="G267" s="112" t="n">
        <v>0</v>
      </c>
      <c r="I267" s="112" t="n">
        <f aca="false">IF(MONTH($A267)=MONTH($A266),IF(G267=0,I266,G267),G267)</f>
        <v>0</v>
      </c>
      <c r="J267" s="112" t="n">
        <f aca="false">IF(MONTH($A267)=MONTH($A266),SUM(I267-I266),I267)</f>
        <v>0</v>
      </c>
      <c r="K267" s="112" t="n">
        <f aca="false">IF(WEEKDAY(A267,3)&gt;4,0,(IF(A267&lt;K$2,0,IF(A267&lt;=K$3,1,0))))</f>
        <v>0</v>
      </c>
      <c r="L267" s="112" t="n">
        <f aca="false">J267*K267</f>
        <v>0</v>
      </c>
      <c r="M267" s="112" t="n">
        <f aca="false">SUM(J$188:J267)</f>
        <v>24291</v>
      </c>
      <c r="N267" s="112" t="n">
        <f aca="false">SUM(J$6:J267)</f>
        <v>558924.665417804</v>
      </c>
      <c r="P267" s="112" t="n">
        <f aca="false">D267/P$3</f>
        <v>0</v>
      </c>
      <c r="Q267" s="112" t="n">
        <f aca="false">E267/P$3</f>
        <v>0</v>
      </c>
      <c r="R267" s="112" t="n">
        <f aca="false">F267/R$3</f>
        <v>0</v>
      </c>
      <c r="S267" s="114" t="n">
        <f aca="false">J267/$R$3</f>
        <v>0</v>
      </c>
      <c r="T267" s="114" t="n">
        <f aca="false">L267/$R$3</f>
        <v>0</v>
      </c>
      <c r="U267" s="114" t="n">
        <f aca="false">I267/$R$3</f>
        <v>0</v>
      </c>
      <c r="V267" s="114" t="n">
        <f aca="false">M267/$R$3</f>
        <v>24.291</v>
      </c>
      <c r="W267" s="114" t="n">
        <f aca="false">N267/$R$3</f>
        <v>558.924665417804</v>
      </c>
    </row>
    <row r="268" customFormat="false" ht="12.75" hidden="false" customHeight="false" outlineLevel="0" collapsed="false">
      <c r="A268" s="108" t="n">
        <f aca="false">A267+1</f>
        <v>37154</v>
      </c>
      <c r="B268" s="119" t="str">
        <f aca="false">INDEX('Master Data'!$A$2:$B$8,MATCH(WEEKDAY('EZE Power Trading'!A268,3),'Master Data'!$A$2:$A$8,0),2)</f>
        <v>Th</v>
      </c>
      <c r="D268" s="112" t="n">
        <v>0</v>
      </c>
      <c r="E268" s="112" t="n">
        <v>0</v>
      </c>
      <c r="F268" s="112" t="n">
        <v>0</v>
      </c>
      <c r="G268" s="112" t="n">
        <v>0</v>
      </c>
      <c r="I268" s="112" t="n">
        <f aca="false">IF(MONTH($A268)=MONTH($A267),IF(G268=0,I267,G268),G268)</f>
        <v>0</v>
      </c>
      <c r="J268" s="112" t="n">
        <f aca="false">IF(MONTH($A268)=MONTH($A267),SUM(I268-I267),I268)</f>
        <v>0</v>
      </c>
      <c r="K268" s="112" t="n">
        <f aca="false">IF(WEEKDAY(A268,3)&gt;4,0,(IF(A268&lt;K$2,0,IF(A268&lt;=K$3,1,0))))</f>
        <v>0</v>
      </c>
      <c r="L268" s="112" t="n">
        <f aca="false">J268*K268</f>
        <v>0</v>
      </c>
      <c r="M268" s="112" t="n">
        <f aca="false">SUM(J$188:J268)</f>
        <v>24291</v>
      </c>
      <c r="N268" s="112" t="n">
        <f aca="false">SUM(J$6:J268)</f>
        <v>558924.665417804</v>
      </c>
      <c r="P268" s="112" t="n">
        <f aca="false">D268/P$3</f>
        <v>0</v>
      </c>
      <c r="Q268" s="112" t="n">
        <f aca="false">E268/P$3</f>
        <v>0</v>
      </c>
      <c r="R268" s="112" t="n">
        <f aca="false">F268/R$3</f>
        <v>0</v>
      </c>
      <c r="S268" s="114" t="n">
        <f aca="false">J268/$R$3</f>
        <v>0</v>
      </c>
      <c r="T268" s="114" t="n">
        <f aca="false">L268/$R$3</f>
        <v>0</v>
      </c>
      <c r="U268" s="114" t="n">
        <f aca="false">I268/$R$3</f>
        <v>0</v>
      </c>
      <c r="V268" s="114" t="n">
        <f aca="false">M268/$R$3</f>
        <v>24.291</v>
      </c>
      <c r="W268" s="114" t="n">
        <f aca="false">N268/$R$3</f>
        <v>558.924665417804</v>
      </c>
    </row>
    <row r="269" customFormat="false" ht="12.75" hidden="false" customHeight="false" outlineLevel="0" collapsed="false">
      <c r="A269" s="108" t="n">
        <f aca="false">A268+1</f>
        <v>37155</v>
      </c>
      <c r="B269" s="119" t="str">
        <f aca="false">INDEX('Master Data'!$A$2:$B$8,MATCH(WEEKDAY('EZE Power Trading'!A269,3),'Master Data'!$A$2:$A$8,0),2)</f>
        <v>F</v>
      </c>
      <c r="D269" s="112" t="n">
        <v>0</v>
      </c>
      <c r="E269" s="112" t="n">
        <v>0</v>
      </c>
      <c r="F269" s="112" t="n">
        <v>0</v>
      </c>
      <c r="G269" s="112" t="n">
        <v>0</v>
      </c>
      <c r="I269" s="112" t="n">
        <f aca="false">IF(MONTH($A269)=MONTH($A268),IF(G269=0,I268,G269),G269)</f>
        <v>0</v>
      </c>
      <c r="J269" s="112" t="n">
        <f aca="false">IF(MONTH($A269)=MONTH($A268),SUM(I269-I268),I269)</f>
        <v>0</v>
      </c>
      <c r="K269" s="112" t="n">
        <f aca="false">IF(WEEKDAY(A269,3)&gt;4,0,(IF(A269&lt;K$2,0,IF(A269&lt;=K$3,1,0))))</f>
        <v>0</v>
      </c>
      <c r="L269" s="112" t="n">
        <f aca="false">J269*K269</f>
        <v>0</v>
      </c>
      <c r="M269" s="112" t="n">
        <f aca="false">SUM(J$188:J269)</f>
        <v>24291</v>
      </c>
      <c r="N269" s="112" t="n">
        <f aca="false">SUM(J$6:J269)</f>
        <v>558924.665417804</v>
      </c>
      <c r="P269" s="112" t="n">
        <f aca="false">D269/P$3</f>
        <v>0</v>
      </c>
      <c r="Q269" s="112" t="n">
        <f aca="false">E269/P$3</f>
        <v>0</v>
      </c>
      <c r="R269" s="112" t="n">
        <f aca="false">F269/R$3</f>
        <v>0</v>
      </c>
      <c r="S269" s="114" t="n">
        <f aca="false">J269/$R$3</f>
        <v>0</v>
      </c>
      <c r="T269" s="114" t="n">
        <f aca="false">L269/$R$3</f>
        <v>0</v>
      </c>
      <c r="U269" s="114" t="n">
        <f aca="false">I269/$R$3</f>
        <v>0</v>
      </c>
      <c r="V269" s="114" t="n">
        <f aca="false">M269/$R$3</f>
        <v>24.291</v>
      </c>
      <c r="W269" s="114" t="n">
        <f aca="false">N269/$R$3</f>
        <v>558.924665417804</v>
      </c>
    </row>
    <row r="270" customFormat="false" ht="12.75" hidden="false" customHeight="false" outlineLevel="0" collapsed="false">
      <c r="A270" s="108" t="n">
        <f aca="false">A269+1</f>
        <v>37156</v>
      </c>
      <c r="B270" s="119" t="str">
        <f aca="false">INDEX('Master Data'!$A$2:$B$8,MATCH(WEEKDAY('EZE Power Trading'!A270,3),'Master Data'!$A$2:$A$8,0),2)</f>
        <v>Sa</v>
      </c>
      <c r="D270" s="112" t="n">
        <v>0</v>
      </c>
      <c r="E270" s="112" t="n">
        <v>0</v>
      </c>
      <c r="F270" s="112" t="n">
        <v>0</v>
      </c>
      <c r="G270" s="112" t="n">
        <v>0</v>
      </c>
      <c r="I270" s="112" t="n">
        <f aca="false">IF(MONTH($A270)=MONTH($A269),IF(G270=0,I269,G270),G270)</f>
        <v>0</v>
      </c>
      <c r="J270" s="112" t="n">
        <f aca="false">IF(MONTH($A270)=MONTH($A269),SUM(I270-I269),I270)</f>
        <v>0</v>
      </c>
      <c r="K270" s="112" t="n">
        <f aca="false">IF(WEEKDAY(A270,3)&gt;4,0,(IF(A270&lt;K$2,0,IF(A270&lt;=K$3,1,0))))</f>
        <v>0</v>
      </c>
      <c r="L270" s="112" t="n">
        <f aca="false">J270*K270</f>
        <v>0</v>
      </c>
      <c r="M270" s="112" t="n">
        <f aca="false">SUM(J$188:J270)</f>
        <v>24291</v>
      </c>
      <c r="N270" s="112" t="n">
        <f aca="false">SUM(J$6:J270)</f>
        <v>558924.665417804</v>
      </c>
      <c r="P270" s="112" t="n">
        <f aca="false">D270/P$3</f>
        <v>0</v>
      </c>
      <c r="Q270" s="112" t="n">
        <f aca="false">E270/P$3</f>
        <v>0</v>
      </c>
      <c r="R270" s="112" t="n">
        <f aca="false">F270/R$3</f>
        <v>0</v>
      </c>
      <c r="S270" s="114" t="n">
        <f aca="false">J270/$R$3</f>
        <v>0</v>
      </c>
      <c r="T270" s="114" t="n">
        <f aca="false">L270/$R$3</f>
        <v>0</v>
      </c>
      <c r="U270" s="114" t="n">
        <f aca="false">I270/$R$3</f>
        <v>0</v>
      </c>
      <c r="V270" s="114" t="n">
        <f aca="false">M270/$R$3</f>
        <v>24.291</v>
      </c>
      <c r="W270" s="114" t="n">
        <f aca="false">N270/$R$3</f>
        <v>558.924665417804</v>
      </c>
    </row>
    <row r="271" customFormat="false" ht="12.75" hidden="false" customHeight="false" outlineLevel="0" collapsed="false">
      <c r="A271" s="108" t="n">
        <f aca="false">A270+1</f>
        <v>37157</v>
      </c>
      <c r="B271" s="119" t="str">
        <f aca="false">INDEX('Master Data'!$A$2:$B$8,MATCH(WEEKDAY('EZE Power Trading'!A271,3),'Master Data'!$A$2:$A$8,0),2)</f>
        <v>Su</v>
      </c>
      <c r="D271" s="112" t="n">
        <v>0</v>
      </c>
      <c r="E271" s="112" t="n">
        <v>0</v>
      </c>
      <c r="F271" s="112" t="n">
        <v>0</v>
      </c>
      <c r="G271" s="112" t="n">
        <v>0</v>
      </c>
      <c r="I271" s="112" t="n">
        <f aca="false">IF(MONTH($A271)=MONTH($A270),IF(G271=0,I270,G271),G271)</f>
        <v>0</v>
      </c>
      <c r="J271" s="112" t="n">
        <f aca="false">IF(MONTH($A271)=MONTH($A270),SUM(I271-I270),I271)</f>
        <v>0</v>
      </c>
      <c r="K271" s="112" t="n">
        <f aca="false">IF(WEEKDAY(A271,3)&gt;4,0,(IF(A271&lt;K$2,0,IF(A271&lt;=K$3,1,0))))</f>
        <v>0</v>
      </c>
      <c r="L271" s="112" t="n">
        <f aca="false">J271*K271</f>
        <v>0</v>
      </c>
      <c r="M271" s="112" t="n">
        <f aca="false">SUM(J$188:J271)</f>
        <v>24291</v>
      </c>
      <c r="N271" s="112" t="n">
        <f aca="false">SUM(J$6:J271)</f>
        <v>558924.665417804</v>
      </c>
      <c r="P271" s="112" t="n">
        <f aca="false">D271/P$3</f>
        <v>0</v>
      </c>
      <c r="Q271" s="112" t="n">
        <f aca="false">E271/P$3</f>
        <v>0</v>
      </c>
      <c r="R271" s="112" t="n">
        <f aca="false">F271/R$3</f>
        <v>0</v>
      </c>
      <c r="S271" s="114" t="n">
        <f aca="false">J271/$R$3</f>
        <v>0</v>
      </c>
      <c r="T271" s="114" t="n">
        <f aca="false">L271/$R$3</f>
        <v>0</v>
      </c>
      <c r="U271" s="114" t="n">
        <f aca="false">I271/$R$3</f>
        <v>0</v>
      </c>
      <c r="V271" s="114" t="n">
        <f aca="false">M271/$R$3</f>
        <v>24.291</v>
      </c>
      <c r="W271" s="114" t="n">
        <f aca="false">N271/$R$3</f>
        <v>558.924665417804</v>
      </c>
    </row>
    <row r="272" customFormat="false" ht="12.75" hidden="false" customHeight="false" outlineLevel="0" collapsed="false">
      <c r="A272" s="108" t="n">
        <f aca="false">A271+1</f>
        <v>37158</v>
      </c>
      <c r="B272" s="119" t="str">
        <f aca="false">INDEX('Master Data'!$A$2:$B$8,MATCH(WEEKDAY('EZE Power Trading'!A272,3),'Master Data'!$A$2:$A$8,0),2)</f>
        <v>M</v>
      </c>
      <c r="D272" s="112" t="n">
        <v>0</v>
      </c>
      <c r="E272" s="112" t="n">
        <v>0</v>
      </c>
      <c r="F272" s="112" t="n">
        <v>0</v>
      </c>
      <c r="G272" s="112" t="n">
        <v>0</v>
      </c>
      <c r="I272" s="112" t="n">
        <f aca="false">IF(MONTH($A272)=MONTH($A271),IF(G272=0,I271,G272),G272)</f>
        <v>0</v>
      </c>
      <c r="J272" s="112" t="n">
        <f aca="false">IF(MONTH($A272)=MONTH($A271),SUM(I272-I271),I272)</f>
        <v>0</v>
      </c>
      <c r="K272" s="112" t="n">
        <f aca="false">IF(WEEKDAY(A272,3)&gt;4,0,(IF(A272&lt;K$2,0,IF(A272&lt;=K$3,1,0))))</f>
        <v>0</v>
      </c>
      <c r="L272" s="112" t="n">
        <f aca="false">J272*K272</f>
        <v>0</v>
      </c>
      <c r="M272" s="112" t="n">
        <f aca="false">SUM(J$188:J272)</f>
        <v>24291</v>
      </c>
      <c r="N272" s="112" t="n">
        <f aca="false">SUM(J$6:J272)</f>
        <v>558924.665417804</v>
      </c>
      <c r="P272" s="112" t="n">
        <f aca="false">D272/P$3</f>
        <v>0</v>
      </c>
      <c r="Q272" s="112" t="n">
        <f aca="false">E272/P$3</f>
        <v>0</v>
      </c>
      <c r="R272" s="112" t="n">
        <f aca="false">F272/R$3</f>
        <v>0</v>
      </c>
      <c r="S272" s="114" t="n">
        <f aca="false">J272/$R$3</f>
        <v>0</v>
      </c>
      <c r="T272" s="114" t="n">
        <f aca="false">L272/$R$3</f>
        <v>0</v>
      </c>
      <c r="U272" s="114" t="n">
        <f aca="false">I272/$R$3</f>
        <v>0</v>
      </c>
      <c r="V272" s="114" t="n">
        <f aca="false">M272/$R$3</f>
        <v>24.291</v>
      </c>
      <c r="W272" s="114" t="n">
        <f aca="false">N272/$R$3</f>
        <v>558.924665417804</v>
      </c>
    </row>
    <row r="273" customFormat="false" ht="12.75" hidden="false" customHeight="false" outlineLevel="0" collapsed="false">
      <c r="A273" s="108" t="n">
        <f aca="false">A272+1</f>
        <v>37159</v>
      </c>
      <c r="B273" s="119" t="str">
        <f aca="false">INDEX('Master Data'!$A$2:$B$8,MATCH(WEEKDAY('EZE Power Trading'!A273,3),'Master Data'!$A$2:$A$8,0),2)</f>
        <v>T</v>
      </c>
      <c r="D273" s="112" t="n">
        <v>0</v>
      </c>
      <c r="E273" s="112" t="n">
        <v>0</v>
      </c>
      <c r="F273" s="112" t="n">
        <v>0</v>
      </c>
      <c r="G273" s="112" t="n">
        <v>0</v>
      </c>
      <c r="I273" s="112" t="n">
        <f aca="false">IF(MONTH($A273)=MONTH($A272),IF(G273=0,I272,G273),G273)</f>
        <v>0</v>
      </c>
      <c r="J273" s="112" t="n">
        <f aca="false">IF(MONTH($A273)=MONTH($A272),SUM(I273-I272),I273)</f>
        <v>0</v>
      </c>
      <c r="K273" s="112" t="n">
        <f aca="false">IF(WEEKDAY(A273,3)&gt;4,0,(IF(A273&lt;K$2,0,IF(A273&lt;=K$3,1,0))))</f>
        <v>0</v>
      </c>
      <c r="L273" s="112" t="n">
        <f aca="false">J273*K273</f>
        <v>0</v>
      </c>
      <c r="M273" s="112" t="n">
        <f aca="false">SUM(J$188:J273)</f>
        <v>24291</v>
      </c>
      <c r="N273" s="112" t="n">
        <f aca="false">SUM(J$6:J273)</f>
        <v>558924.665417804</v>
      </c>
      <c r="P273" s="112" t="n">
        <f aca="false">D273/P$3</f>
        <v>0</v>
      </c>
      <c r="Q273" s="112" t="n">
        <f aca="false">E273/P$3</f>
        <v>0</v>
      </c>
      <c r="R273" s="112" t="n">
        <f aca="false">F273/R$3</f>
        <v>0</v>
      </c>
      <c r="S273" s="114" t="n">
        <f aca="false">J273/$R$3</f>
        <v>0</v>
      </c>
      <c r="T273" s="114" t="n">
        <f aca="false">L273/$R$3</f>
        <v>0</v>
      </c>
      <c r="U273" s="114" t="n">
        <f aca="false">I273/$R$3</f>
        <v>0</v>
      </c>
      <c r="V273" s="114" t="n">
        <f aca="false">M273/$R$3</f>
        <v>24.291</v>
      </c>
      <c r="W273" s="114" t="n">
        <f aca="false">N273/$R$3</f>
        <v>558.924665417804</v>
      </c>
    </row>
    <row r="274" customFormat="false" ht="12.75" hidden="false" customHeight="false" outlineLevel="0" collapsed="false">
      <c r="A274" s="108" t="n">
        <f aca="false">A273+1</f>
        <v>37160</v>
      </c>
      <c r="B274" s="119" t="str">
        <f aca="false">INDEX('Master Data'!$A$2:$B$8,MATCH(WEEKDAY('EZE Power Trading'!A274,3),'Master Data'!$A$2:$A$8,0),2)</f>
        <v>W</v>
      </c>
      <c r="D274" s="112" t="n">
        <v>0</v>
      </c>
      <c r="E274" s="112" t="n">
        <v>0</v>
      </c>
      <c r="F274" s="112" t="n">
        <v>0</v>
      </c>
      <c r="G274" s="112" t="n">
        <v>0</v>
      </c>
      <c r="I274" s="112" t="n">
        <f aca="false">IF(MONTH($A274)=MONTH($A273),IF(G274=0,I273,G274),G274)</f>
        <v>0</v>
      </c>
      <c r="J274" s="112" t="n">
        <f aca="false">IF(MONTH($A274)=MONTH($A273),SUM(I274-I273),I274)</f>
        <v>0</v>
      </c>
      <c r="K274" s="112" t="n">
        <f aca="false">IF(WEEKDAY(A274,3)&gt;4,0,(IF(A274&lt;K$2,0,IF(A274&lt;=K$3,1,0))))</f>
        <v>0</v>
      </c>
      <c r="L274" s="112" t="n">
        <f aca="false">J274*K274</f>
        <v>0</v>
      </c>
      <c r="M274" s="112" t="n">
        <f aca="false">SUM(J$188:J274)</f>
        <v>24291</v>
      </c>
      <c r="N274" s="112" t="n">
        <f aca="false">SUM(J$6:J274)</f>
        <v>558924.665417804</v>
      </c>
      <c r="P274" s="112" t="n">
        <f aca="false">D274/P$3</f>
        <v>0</v>
      </c>
      <c r="Q274" s="112" t="n">
        <f aca="false">E274/P$3</f>
        <v>0</v>
      </c>
      <c r="R274" s="112" t="n">
        <f aca="false">F274/R$3</f>
        <v>0</v>
      </c>
      <c r="S274" s="114" t="n">
        <f aca="false">J274/$R$3</f>
        <v>0</v>
      </c>
      <c r="T274" s="114" t="n">
        <f aca="false">L274/$R$3</f>
        <v>0</v>
      </c>
      <c r="U274" s="114" t="n">
        <f aca="false">I274/$R$3</f>
        <v>0</v>
      </c>
      <c r="V274" s="114" t="n">
        <f aca="false">M274/$R$3</f>
        <v>24.291</v>
      </c>
      <c r="W274" s="114" t="n">
        <f aca="false">N274/$R$3</f>
        <v>558.924665417804</v>
      </c>
    </row>
    <row r="275" customFormat="false" ht="12.75" hidden="false" customHeight="false" outlineLevel="0" collapsed="false">
      <c r="A275" s="108" t="n">
        <f aca="false">A274+1</f>
        <v>37161</v>
      </c>
      <c r="B275" s="119" t="str">
        <f aca="false">INDEX('Master Data'!$A$2:$B$8,MATCH(WEEKDAY('EZE Power Trading'!A275,3),'Master Data'!$A$2:$A$8,0),2)</f>
        <v>Th</v>
      </c>
      <c r="D275" s="112" t="n">
        <v>0</v>
      </c>
      <c r="E275" s="112" t="n">
        <v>0</v>
      </c>
      <c r="F275" s="112" t="n">
        <v>0</v>
      </c>
      <c r="G275" s="112" t="n">
        <v>0</v>
      </c>
      <c r="I275" s="112" t="n">
        <f aca="false">IF(MONTH($A275)=MONTH($A274),IF(G275=0,I274,G275),G275)</f>
        <v>0</v>
      </c>
      <c r="J275" s="112" t="n">
        <f aca="false">IF(MONTH($A275)=MONTH($A274),SUM(I275-I274),I275)</f>
        <v>0</v>
      </c>
      <c r="K275" s="112" t="n">
        <f aca="false">IF(WEEKDAY(A275,3)&gt;4,0,(IF(A275&lt;K$2,0,IF(A275&lt;=K$3,1,0))))</f>
        <v>0</v>
      </c>
      <c r="L275" s="112" t="n">
        <f aca="false">J275*K275</f>
        <v>0</v>
      </c>
      <c r="M275" s="112" t="n">
        <f aca="false">SUM(J$188:J275)</f>
        <v>24291</v>
      </c>
      <c r="N275" s="112" t="n">
        <f aca="false">SUM(J$6:J275)</f>
        <v>558924.665417804</v>
      </c>
      <c r="P275" s="112" t="n">
        <f aca="false">D275/P$3</f>
        <v>0</v>
      </c>
      <c r="Q275" s="112" t="n">
        <f aca="false">E275/P$3</f>
        <v>0</v>
      </c>
      <c r="R275" s="112" t="n">
        <f aca="false">F275/R$3</f>
        <v>0</v>
      </c>
      <c r="S275" s="114" t="n">
        <f aca="false">J275/$R$3</f>
        <v>0</v>
      </c>
      <c r="T275" s="114" t="n">
        <f aca="false">L275/$R$3</f>
        <v>0</v>
      </c>
      <c r="U275" s="114" t="n">
        <f aca="false">I275/$R$3</f>
        <v>0</v>
      </c>
      <c r="V275" s="114" t="n">
        <f aca="false">M275/$R$3</f>
        <v>24.291</v>
      </c>
      <c r="W275" s="114" t="n">
        <f aca="false">N275/$R$3</f>
        <v>558.924665417804</v>
      </c>
    </row>
    <row r="276" customFormat="false" ht="12.75" hidden="false" customHeight="false" outlineLevel="0" collapsed="false">
      <c r="A276" s="108" t="n">
        <f aca="false">A275+1</f>
        <v>37162</v>
      </c>
      <c r="B276" s="119" t="str">
        <f aca="false">INDEX('Master Data'!$A$2:$B$8,MATCH(WEEKDAY('EZE Power Trading'!A276,3),'Master Data'!$A$2:$A$8,0),2)</f>
        <v>F</v>
      </c>
      <c r="D276" s="112" t="n">
        <v>0</v>
      </c>
      <c r="E276" s="112" t="n">
        <v>0</v>
      </c>
      <c r="F276" s="112" t="n">
        <v>0</v>
      </c>
      <c r="G276" s="112" t="n">
        <v>0</v>
      </c>
      <c r="I276" s="112" t="n">
        <f aca="false">IF(MONTH($A276)=MONTH($A275),IF(G276=0,I275,G276),G276)</f>
        <v>0</v>
      </c>
      <c r="J276" s="112" t="n">
        <f aca="false">IF(MONTH($A276)=MONTH($A275),SUM(I276-I275),I276)</f>
        <v>0</v>
      </c>
      <c r="K276" s="112" t="n">
        <f aca="false">IF(WEEKDAY(A276,3)&gt;4,0,(IF(A276&lt;K$2,0,IF(A276&lt;=K$3,1,0))))</f>
        <v>0</v>
      </c>
      <c r="L276" s="112" t="n">
        <f aca="false">J276*K276</f>
        <v>0</v>
      </c>
      <c r="M276" s="112" t="n">
        <f aca="false">SUM(J$188:J276)</f>
        <v>24291</v>
      </c>
      <c r="N276" s="112" t="n">
        <f aca="false">SUM(J$6:J276)</f>
        <v>558924.665417804</v>
      </c>
      <c r="P276" s="112" t="n">
        <f aca="false">D276/P$3</f>
        <v>0</v>
      </c>
      <c r="Q276" s="112" t="n">
        <f aca="false">E276/P$3</f>
        <v>0</v>
      </c>
      <c r="R276" s="112" t="n">
        <f aca="false">F276/R$3</f>
        <v>0</v>
      </c>
      <c r="S276" s="114" t="n">
        <f aca="false">J276/$R$3</f>
        <v>0</v>
      </c>
      <c r="T276" s="114" t="n">
        <f aca="false">L276/$R$3</f>
        <v>0</v>
      </c>
      <c r="U276" s="114" t="n">
        <f aca="false">I276/$R$3</f>
        <v>0</v>
      </c>
      <c r="V276" s="114" t="n">
        <f aca="false">M276/$R$3</f>
        <v>24.291</v>
      </c>
      <c r="W276" s="114" t="n">
        <f aca="false">N276/$R$3</f>
        <v>558.924665417804</v>
      </c>
    </row>
    <row r="277" customFormat="false" ht="12.75" hidden="false" customHeight="false" outlineLevel="0" collapsed="false">
      <c r="A277" s="108" t="n">
        <f aca="false">A276+1</f>
        <v>37163</v>
      </c>
      <c r="B277" s="119" t="str">
        <f aca="false">INDEX('Master Data'!$A$2:$B$8,MATCH(WEEKDAY('EZE Power Trading'!A277,3),'Master Data'!$A$2:$A$8,0),2)</f>
        <v>Sa</v>
      </c>
      <c r="D277" s="112" t="n">
        <v>0</v>
      </c>
      <c r="E277" s="112" t="n">
        <v>0</v>
      </c>
      <c r="F277" s="112" t="n">
        <v>0</v>
      </c>
      <c r="G277" s="112" t="n">
        <v>0</v>
      </c>
      <c r="I277" s="112" t="n">
        <f aca="false">IF(MONTH($A277)=MONTH($A276),IF(G277=0,I276,G277),G277)</f>
        <v>0</v>
      </c>
      <c r="J277" s="112" t="n">
        <f aca="false">IF(MONTH($A277)=MONTH($A276),SUM(I277-I276),I277)</f>
        <v>0</v>
      </c>
      <c r="K277" s="112" t="n">
        <f aca="false">IF(WEEKDAY(A277,3)&gt;4,0,(IF(A277&lt;K$2,0,IF(A277&lt;=K$3,1,0))))</f>
        <v>0</v>
      </c>
      <c r="L277" s="112" t="n">
        <f aca="false">J277*K277</f>
        <v>0</v>
      </c>
      <c r="M277" s="112" t="n">
        <f aca="false">SUM(J$188:J277)</f>
        <v>24291</v>
      </c>
      <c r="N277" s="112" t="n">
        <f aca="false">SUM(J$6:J277)</f>
        <v>558924.665417804</v>
      </c>
      <c r="P277" s="112" t="n">
        <f aca="false">D277/P$3</f>
        <v>0</v>
      </c>
      <c r="Q277" s="112" t="n">
        <f aca="false">E277/P$3</f>
        <v>0</v>
      </c>
      <c r="R277" s="112" t="n">
        <f aca="false">F277/R$3</f>
        <v>0</v>
      </c>
      <c r="S277" s="114" t="n">
        <f aca="false">J277/$R$3</f>
        <v>0</v>
      </c>
      <c r="T277" s="114" t="n">
        <f aca="false">L277/$R$3</f>
        <v>0</v>
      </c>
      <c r="U277" s="114" t="n">
        <f aca="false">I277/$R$3</f>
        <v>0</v>
      </c>
      <c r="V277" s="114" t="n">
        <f aca="false">M277/$R$3</f>
        <v>24.291</v>
      </c>
      <c r="W277" s="114" t="n">
        <f aca="false">N277/$R$3</f>
        <v>558.924665417804</v>
      </c>
    </row>
    <row r="278" customFormat="false" ht="12.75" hidden="false" customHeight="false" outlineLevel="0" collapsed="false">
      <c r="A278" s="108" t="n">
        <f aca="false">A277+1</f>
        <v>37164</v>
      </c>
      <c r="B278" s="119" t="str">
        <f aca="false">INDEX('Master Data'!$A$2:$B$8,MATCH(WEEKDAY('EZE Power Trading'!A278,3),'Master Data'!$A$2:$A$8,0),2)</f>
        <v>Su</v>
      </c>
      <c r="D278" s="112" t="n">
        <v>0</v>
      </c>
      <c r="E278" s="112" t="n">
        <v>0</v>
      </c>
      <c r="F278" s="112" t="n">
        <v>0</v>
      </c>
      <c r="G278" s="112" t="n">
        <v>0</v>
      </c>
      <c r="I278" s="112" t="n">
        <f aca="false">IF(MONTH($A278)=MONTH($A277),IF(G278=0,I277,G278),G278)</f>
        <v>0</v>
      </c>
      <c r="J278" s="112" t="n">
        <f aca="false">IF(MONTH($A278)=MONTH($A277),SUM(I278-I277),I278)</f>
        <v>0</v>
      </c>
      <c r="K278" s="112" t="n">
        <f aca="false">IF(WEEKDAY(A278,3)&gt;4,0,(IF(A278&lt;K$2,0,IF(A278&lt;=K$3,1,0))))</f>
        <v>0</v>
      </c>
      <c r="L278" s="112" t="n">
        <f aca="false">J278*K278</f>
        <v>0</v>
      </c>
      <c r="M278" s="112" t="n">
        <f aca="false">SUM(J$188:J278)</f>
        <v>24291</v>
      </c>
      <c r="N278" s="112" t="n">
        <f aca="false">SUM(J$6:J278)</f>
        <v>558924.665417804</v>
      </c>
      <c r="P278" s="112" t="n">
        <f aca="false">D278/P$3</f>
        <v>0</v>
      </c>
      <c r="Q278" s="112" t="n">
        <f aca="false">E278/P$3</f>
        <v>0</v>
      </c>
      <c r="R278" s="112" t="n">
        <f aca="false">F278/R$3</f>
        <v>0</v>
      </c>
      <c r="S278" s="114" t="n">
        <f aca="false">J278/$R$3</f>
        <v>0</v>
      </c>
      <c r="T278" s="114" t="n">
        <f aca="false">L278/$R$3</f>
        <v>0</v>
      </c>
      <c r="U278" s="114" t="n">
        <f aca="false">I278/$R$3</f>
        <v>0</v>
      </c>
      <c r="V278" s="114" t="n">
        <f aca="false">M278/$R$3</f>
        <v>24.291</v>
      </c>
      <c r="W278" s="114" t="n">
        <f aca="false">N278/$R$3</f>
        <v>558.924665417804</v>
      </c>
    </row>
    <row r="279" customFormat="false" ht="12.75" hidden="false" customHeight="false" outlineLevel="0" collapsed="false">
      <c r="A279" s="108" t="n">
        <f aca="false">A278+1</f>
        <v>37165</v>
      </c>
      <c r="B279" s="119" t="str">
        <f aca="false">INDEX('Master Data'!$A$2:$B$8,MATCH(WEEKDAY('EZE Power Trading'!A279,3),'Master Data'!$A$2:$A$8,0),2)</f>
        <v>M</v>
      </c>
      <c r="D279" s="112" t="n">
        <v>0</v>
      </c>
      <c r="E279" s="112" t="n">
        <v>0</v>
      </c>
      <c r="F279" s="112" t="n">
        <v>0</v>
      </c>
      <c r="G279" s="112" t="n">
        <v>0</v>
      </c>
      <c r="I279" s="112" t="n">
        <f aca="false">IF(MONTH($A279)=MONTH($A278),IF(G279=0,I278,G279),G279)</f>
        <v>0</v>
      </c>
      <c r="J279" s="112" t="n">
        <f aca="false">IF(MONTH($A279)=MONTH($A278),SUM(I279-I278),I279)</f>
        <v>0</v>
      </c>
      <c r="K279" s="112" t="n">
        <f aca="false">IF(WEEKDAY(A279,3)&gt;4,0,(IF(A279&lt;K$2,0,IF(A279&lt;=K$3,1,0))))</f>
        <v>0</v>
      </c>
      <c r="L279" s="112" t="n">
        <f aca="false">J279*K279</f>
        <v>0</v>
      </c>
      <c r="M279" s="112" t="n">
        <f aca="false">SUM(J$188:J279)</f>
        <v>24291</v>
      </c>
      <c r="N279" s="112" t="n">
        <f aca="false">SUM(J$6:J279)</f>
        <v>558924.665417804</v>
      </c>
      <c r="P279" s="112" t="n">
        <f aca="false">D279/P$3</f>
        <v>0</v>
      </c>
      <c r="Q279" s="112" t="n">
        <f aca="false">E279/P$3</f>
        <v>0</v>
      </c>
      <c r="R279" s="112" t="n">
        <f aca="false">F279/R$3</f>
        <v>0</v>
      </c>
      <c r="S279" s="114" t="n">
        <f aca="false">J279/$R$3</f>
        <v>0</v>
      </c>
      <c r="T279" s="114" t="n">
        <f aca="false">L279/$R$3</f>
        <v>0</v>
      </c>
      <c r="U279" s="114" t="n">
        <f aca="false">I279/$R$3</f>
        <v>0</v>
      </c>
      <c r="V279" s="114" t="n">
        <f aca="false">M279/$R$3</f>
        <v>24.291</v>
      </c>
      <c r="W279" s="114" t="n">
        <f aca="false">N279/$R$3</f>
        <v>558.924665417804</v>
      </c>
    </row>
    <row r="280" customFormat="false" ht="12.75" hidden="false" customHeight="false" outlineLevel="0" collapsed="false">
      <c r="A280" s="108" t="n">
        <f aca="false">A279+1</f>
        <v>37166</v>
      </c>
      <c r="B280" s="119" t="str">
        <f aca="false">INDEX('Master Data'!$A$2:$B$8,MATCH(WEEKDAY('EZE Power Trading'!A280,3),'Master Data'!$A$2:$A$8,0),2)</f>
        <v>T</v>
      </c>
      <c r="D280" s="112" t="n">
        <v>0</v>
      </c>
      <c r="E280" s="112" t="n">
        <v>0</v>
      </c>
      <c r="F280" s="112" t="n">
        <v>0</v>
      </c>
      <c r="G280" s="112" t="n">
        <v>0</v>
      </c>
      <c r="I280" s="112" t="n">
        <f aca="false">IF(MONTH($A280)=MONTH($A279),IF(G280=0,I279,G280),G280)</f>
        <v>0</v>
      </c>
      <c r="J280" s="112" t="n">
        <f aca="false">IF(MONTH($A280)=MONTH($A279),SUM(I280-I279),I280)</f>
        <v>0</v>
      </c>
      <c r="K280" s="112" t="n">
        <f aca="false">IF(WEEKDAY(A280,3)&gt;4,0,(IF(A280&lt;K$2,0,IF(A280&lt;=K$3,1,0))))</f>
        <v>0</v>
      </c>
      <c r="L280" s="112" t="n">
        <f aca="false">J280*K280</f>
        <v>0</v>
      </c>
      <c r="M280" s="112" t="n">
        <f aca="false">SUM(J$280:J280)</f>
        <v>0</v>
      </c>
      <c r="N280" s="112" t="n">
        <f aca="false">SUM(J$6:J280)</f>
        <v>558924.665417804</v>
      </c>
      <c r="P280" s="112" t="n">
        <f aca="false">D280/P$3</f>
        <v>0</v>
      </c>
      <c r="Q280" s="112" t="n">
        <f aca="false">E280/P$3</f>
        <v>0</v>
      </c>
      <c r="R280" s="112" t="n">
        <f aca="false">F280/R$3</f>
        <v>0</v>
      </c>
      <c r="S280" s="114" t="n">
        <f aca="false">J280/$R$3</f>
        <v>0</v>
      </c>
      <c r="T280" s="114" t="n">
        <f aca="false">L280/$R$3</f>
        <v>0</v>
      </c>
      <c r="U280" s="114" t="n">
        <f aca="false">I280/$R$3</f>
        <v>0</v>
      </c>
      <c r="V280" s="114" t="n">
        <f aca="false">M280/$R$3</f>
        <v>0</v>
      </c>
      <c r="W280" s="114" t="n">
        <f aca="false">N280/$R$3</f>
        <v>558.924665417804</v>
      </c>
    </row>
    <row r="281" customFormat="false" ht="12.75" hidden="false" customHeight="false" outlineLevel="0" collapsed="false">
      <c r="A281" s="108" t="n">
        <f aca="false">A280+1</f>
        <v>37167</v>
      </c>
      <c r="B281" s="119" t="str">
        <f aca="false">INDEX('Master Data'!$A$2:$B$8,MATCH(WEEKDAY('EZE Power Trading'!A281,3),'Master Data'!$A$2:$A$8,0),2)</f>
        <v>W</v>
      </c>
      <c r="D281" s="112" t="n">
        <v>0</v>
      </c>
      <c r="E281" s="112" t="n">
        <v>0</v>
      </c>
      <c r="F281" s="112" t="n">
        <v>0</v>
      </c>
      <c r="G281" s="112" t="n">
        <v>0</v>
      </c>
      <c r="I281" s="112" t="n">
        <f aca="false">IF(MONTH($A281)=MONTH($A280),IF(G281=0,I280,G281),G281)</f>
        <v>0</v>
      </c>
      <c r="J281" s="112" t="n">
        <f aca="false">IF(MONTH($A281)=MONTH($A280),SUM(I281-I280),I281)</f>
        <v>0</v>
      </c>
      <c r="K281" s="112" t="n">
        <f aca="false">IF(WEEKDAY(A281,3)&gt;4,0,(IF(A281&lt;K$2,0,IF(A281&lt;=K$3,1,0))))</f>
        <v>0</v>
      </c>
      <c r="L281" s="112" t="n">
        <f aca="false">J281*K281</f>
        <v>0</v>
      </c>
      <c r="M281" s="112" t="n">
        <f aca="false">SUM(J$280:J281)</f>
        <v>0</v>
      </c>
      <c r="N281" s="112" t="n">
        <f aca="false">SUM(J$6:J281)</f>
        <v>558924.665417804</v>
      </c>
      <c r="P281" s="112" t="n">
        <f aca="false">D281/P$3</f>
        <v>0</v>
      </c>
      <c r="Q281" s="112" t="n">
        <f aca="false">E281/P$3</f>
        <v>0</v>
      </c>
      <c r="R281" s="112" t="n">
        <f aca="false">F281/R$3</f>
        <v>0</v>
      </c>
      <c r="S281" s="114" t="n">
        <f aca="false">J281/$R$3</f>
        <v>0</v>
      </c>
      <c r="T281" s="114" t="n">
        <f aca="false">L281/$R$3</f>
        <v>0</v>
      </c>
      <c r="U281" s="114" t="n">
        <f aca="false">I281/$R$3</f>
        <v>0</v>
      </c>
      <c r="V281" s="114" t="n">
        <f aca="false">M281/$R$3</f>
        <v>0</v>
      </c>
      <c r="W281" s="114" t="n">
        <f aca="false">N281/$R$3</f>
        <v>558.924665417804</v>
      </c>
    </row>
    <row r="282" customFormat="false" ht="12.75" hidden="false" customHeight="false" outlineLevel="0" collapsed="false">
      <c r="A282" s="108" t="n">
        <f aca="false">A281+1</f>
        <v>37168</v>
      </c>
      <c r="B282" s="119" t="str">
        <f aca="false">INDEX('Master Data'!$A$2:$B$8,MATCH(WEEKDAY('EZE Power Trading'!A282,3),'Master Data'!$A$2:$A$8,0),2)</f>
        <v>Th</v>
      </c>
      <c r="D282" s="112" t="n">
        <v>0</v>
      </c>
      <c r="E282" s="112" t="n">
        <v>0</v>
      </c>
      <c r="F282" s="112" t="n">
        <v>0</v>
      </c>
      <c r="G282" s="112" t="n">
        <v>0</v>
      </c>
      <c r="I282" s="112" t="n">
        <f aca="false">IF(MONTH($A282)=MONTH($A281),IF(G282=0,I281,G282),G282)</f>
        <v>0</v>
      </c>
      <c r="J282" s="112" t="n">
        <f aca="false">IF(MONTH($A282)=MONTH($A281),SUM(I282-I281),I282)</f>
        <v>0</v>
      </c>
      <c r="K282" s="112" t="n">
        <f aca="false">IF(WEEKDAY(A282,3)&gt;4,0,(IF(A282&lt;K$2,0,IF(A282&lt;=K$3,1,0))))</f>
        <v>0</v>
      </c>
      <c r="L282" s="112" t="n">
        <f aca="false">J282*K282</f>
        <v>0</v>
      </c>
      <c r="M282" s="112" t="n">
        <f aca="false">SUM(J$280:J282)</f>
        <v>0</v>
      </c>
      <c r="N282" s="112" t="n">
        <f aca="false">SUM(J$6:J282)</f>
        <v>558924.665417804</v>
      </c>
      <c r="P282" s="112" t="n">
        <f aca="false">D282/P$3</f>
        <v>0</v>
      </c>
      <c r="Q282" s="112" t="n">
        <f aca="false">E282/P$3</f>
        <v>0</v>
      </c>
      <c r="R282" s="112" t="n">
        <f aca="false">F282/R$3</f>
        <v>0</v>
      </c>
      <c r="S282" s="114" t="n">
        <f aca="false">J282/$R$3</f>
        <v>0</v>
      </c>
      <c r="T282" s="114" t="n">
        <f aca="false">L282/$R$3</f>
        <v>0</v>
      </c>
      <c r="U282" s="114" t="n">
        <f aca="false">I282/$R$3</f>
        <v>0</v>
      </c>
      <c r="V282" s="114" t="n">
        <f aca="false">M282/$R$3</f>
        <v>0</v>
      </c>
      <c r="W282" s="114" t="n">
        <f aca="false">N282/$R$3</f>
        <v>558.924665417804</v>
      </c>
    </row>
    <row r="283" customFormat="false" ht="12.75" hidden="false" customHeight="false" outlineLevel="0" collapsed="false">
      <c r="A283" s="108" t="n">
        <f aca="false">A282+1</f>
        <v>37169</v>
      </c>
      <c r="B283" s="119" t="str">
        <f aca="false">INDEX('Master Data'!$A$2:$B$8,MATCH(WEEKDAY('EZE Power Trading'!A283,3),'Master Data'!$A$2:$A$8,0),2)</f>
        <v>F</v>
      </c>
      <c r="D283" s="112" t="n">
        <v>0</v>
      </c>
      <c r="E283" s="112" t="n">
        <v>0</v>
      </c>
      <c r="F283" s="112" t="n">
        <v>0</v>
      </c>
      <c r="G283" s="112" t="n">
        <v>0</v>
      </c>
      <c r="I283" s="112" t="n">
        <f aca="false">IF(MONTH($A283)=MONTH($A282),IF(G283=0,I282,G283),G283)</f>
        <v>0</v>
      </c>
      <c r="J283" s="112" t="n">
        <f aca="false">IF(MONTH($A283)=MONTH($A282),SUM(I283-I282),I283)</f>
        <v>0</v>
      </c>
      <c r="K283" s="112" t="n">
        <f aca="false">IF(WEEKDAY(A283,3)&gt;4,0,(IF(A283&lt;K$2,0,IF(A283&lt;=K$3,1,0))))</f>
        <v>0</v>
      </c>
      <c r="L283" s="112" t="n">
        <f aca="false">J283*K283</f>
        <v>0</v>
      </c>
      <c r="M283" s="112" t="n">
        <f aca="false">SUM(J$280:J283)</f>
        <v>0</v>
      </c>
      <c r="N283" s="112" t="n">
        <f aca="false">SUM(J$6:J283)</f>
        <v>558924.665417804</v>
      </c>
      <c r="P283" s="112" t="n">
        <f aca="false">D283/P$3</f>
        <v>0</v>
      </c>
      <c r="Q283" s="112" t="n">
        <f aca="false">E283/P$3</f>
        <v>0</v>
      </c>
      <c r="R283" s="112" t="n">
        <f aca="false">F283/R$3</f>
        <v>0</v>
      </c>
      <c r="S283" s="114" t="n">
        <f aca="false">J283/$R$3</f>
        <v>0</v>
      </c>
      <c r="T283" s="114" t="n">
        <f aca="false">L283/$R$3</f>
        <v>0</v>
      </c>
      <c r="U283" s="114" t="n">
        <f aca="false">I283/$R$3</f>
        <v>0</v>
      </c>
      <c r="V283" s="114" t="n">
        <f aca="false">M283/$R$3</f>
        <v>0</v>
      </c>
      <c r="W283" s="114" t="n">
        <f aca="false">N283/$R$3</f>
        <v>558.924665417804</v>
      </c>
    </row>
    <row r="284" customFormat="false" ht="12.75" hidden="false" customHeight="false" outlineLevel="0" collapsed="false">
      <c r="A284" s="108" t="n">
        <f aca="false">A283+1</f>
        <v>37170</v>
      </c>
      <c r="B284" s="119" t="str">
        <f aca="false">INDEX('Master Data'!$A$2:$B$8,MATCH(WEEKDAY('EZE Power Trading'!A284,3),'Master Data'!$A$2:$A$8,0),2)</f>
        <v>Sa</v>
      </c>
      <c r="D284" s="112" t="n">
        <v>0</v>
      </c>
      <c r="E284" s="112" t="n">
        <v>0</v>
      </c>
      <c r="F284" s="112" t="n">
        <v>0</v>
      </c>
      <c r="G284" s="112" t="n">
        <v>0</v>
      </c>
      <c r="I284" s="112" t="n">
        <f aca="false">IF(MONTH($A284)=MONTH($A283),IF(G284=0,I283,G284),G284)</f>
        <v>0</v>
      </c>
      <c r="J284" s="112" t="n">
        <f aca="false">IF(MONTH($A284)=MONTH($A283),SUM(I284-I283),I284)</f>
        <v>0</v>
      </c>
      <c r="K284" s="112" t="n">
        <f aca="false">IF(WEEKDAY(A284,3)&gt;4,0,(IF(A284&lt;K$2,0,IF(A284&lt;=K$3,1,0))))</f>
        <v>0</v>
      </c>
      <c r="L284" s="112" t="n">
        <f aca="false">J284*K284</f>
        <v>0</v>
      </c>
      <c r="M284" s="112" t="n">
        <f aca="false">SUM(J$280:J284)</f>
        <v>0</v>
      </c>
      <c r="N284" s="112" t="n">
        <f aca="false">SUM(J$6:J284)</f>
        <v>558924.665417804</v>
      </c>
      <c r="P284" s="112" t="n">
        <f aca="false">D284/P$3</f>
        <v>0</v>
      </c>
      <c r="Q284" s="112" t="n">
        <f aca="false">E284/P$3</f>
        <v>0</v>
      </c>
      <c r="R284" s="112" t="n">
        <f aca="false">F284/R$3</f>
        <v>0</v>
      </c>
      <c r="S284" s="114" t="n">
        <f aca="false">J284/$R$3</f>
        <v>0</v>
      </c>
      <c r="T284" s="114" t="n">
        <f aca="false">L284/$R$3</f>
        <v>0</v>
      </c>
      <c r="U284" s="114" t="n">
        <f aca="false">I284/$R$3</f>
        <v>0</v>
      </c>
      <c r="V284" s="114" t="n">
        <f aca="false">M284/$R$3</f>
        <v>0</v>
      </c>
      <c r="W284" s="114" t="n">
        <f aca="false">N284/$R$3</f>
        <v>558.924665417804</v>
      </c>
    </row>
    <row r="285" customFormat="false" ht="12.75" hidden="false" customHeight="false" outlineLevel="0" collapsed="false">
      <c r="A285" s="108" t="n">
        <f aca="false">A284+1</f>
        <v>37171</v>
      </c>
      <c r="B285" s="119" t="str">
        <f aca="false">INDEX('Master Data'!$A$2:$B$8,MATCH(WEEKDAY('EZE Power Trading'!A285,3),'Master Data'!$A$2:$A$8,0),2)</f>
        <v>Su</v>
      </c>
      <c r="D285" s="112" t="n">
        <v>0</v>
      </c>
      <c r="E285" s="112" t="n">
        <v>0</v>
      </c>
      <c r="F285" s="112" t="n">
        <v>0</v>
      </c>
      <c r="G285" s="112" t="n">
        <v>0</v>
      </c>
      <c r="I285" s="112" t="n">
        <f aca="false">IF(MONTH($A285)=MONTH($A284),IF(G285=0,I284,G285),G285)</f>
        <v>0</v>
      </c>
      <c r="J285" s="112" t="n">
        <f aca="false">IF(MONTH($A285)=MONTH($A284),SUM(I285-I284),I285)</f>
        <v>0</v>
      </c>
      <c r="K285" s="112" t="n">
        <f aca="false">IF(WEEKDAY(A285,3)&gt;4,0,(IF(A285&lt;K$2,0,IF(A285&lt;=K$3,1,0))))</f>
        <v>0</v>
      </c>
      <c r="L285" s="112" t="n">
        <f aca="false">J285*K285</f>
        <v>0</v>
      </c>
      <c r="M285" s="112" t="n">
        <f aca="false">SUM(J$280:J285)</f>
        <v>0</v>
      </c>
      <c r="N285" s="112" t="n">
        <f aca="false">SUM(J$6:J285)</f>
        <v>558924.665417804</v>
      </c>
      <c r="P285" s="112" t="n">
        <f aca="false">D285/P$3</f>
        <v>0</v>
      </c>
      <c r="Q285" s="112" t="n">
        <f aca="false">E285/P$3</f>
        <v>0</v>
      </c>
      <c r="R285" s="112" t="n">
        <f aca="false">F285/R$3</f>
        <v>0</v>
      </c>
      <c r="S285" s="114" t="n">
        <f aca="false">J285/$R$3</f>
        <v>0</v>
      </c>
      <c r="T285" s="114" t="n">
        <f aca="false">L285/$R$3</f>
        <v>0</v>
      </c>
      <c r="U285" s="114" t="n">
        <f aca="false">I285/$R$3</f>
        <v>0</v>
      </c>
      <c r="V285" s="114" t="n">
        <f aca="false">M285/$R$3</f>
        <v>0</v>
      </c>
      <c r="W285" s="114" t="n">
        <f aca="false">N285/$R$3</f>
        <v>558.924665417804</v>
      </c>
    </row>
    <row r="286" customFormat="false" ht="12.75" hidden="false" customHeight="false" outlineLevel="0" collapsed="false">
      <c r="A286" s="108" t="n">
        <f aca="false">A285+1</f>
        <v>37172</v>
      </c>
      <c r="B286" s="119" t="str">
        <f aca="false">INDEX('Master Data'!$A$2:$B$8,MATCH(WEEKDAY('EZE Power Trading'!A286,3),'Master Data'!$A$2:$A$8,0),2)</f>
        <v>M</v>
      </c>
      <c r="D286" s="112" t="n">
        <v>0</v>
      </c>
      <c r="E286" s="112" t="n">
        <v>0</v>
      </c>
      <c r="F286" s="112" t="n">
        <v>0</v>
      </c>
      <c r="G286" s="112" t="n">
        <v>0</v>
      </c>
      <c r="I286" s="112" t="n">
        <f aca="false">IF(MONTH($A286)=MONTH($A285),IF(G286=0,I285,G286),G286)</f>
        <v>0</v>
      </c>
      <c r="J286" s="112" t="n">
        <f aca="false">IF(MONTH($A286)=MONTH($A285),SUM(I286-I285),I286)</f>
        <v>0</v>
      </c>
      <c r="K286" s="112" t="n">
        <f aca="false">IF(WEEKDAY(A286,3)&gt;4,0,(IF(A286&lt;K$2,0,IF(A286&lt;=K$3,1,0))))</f>
        <v>0</v>
      </c>
      <c r="L286" s="112" t="n">
        <f aca="false">J286*K286</f>
        <v>0</v>
      </c>
      <c r="M286" s="112" t="n">
        <f aca="false">SUM(J$280:J286)</f>
        <v>0</v>
      </c>
      <c r="N286" s="112" t="n">
        <f aca="false">SUM(J$6:J286)</f>
        <v>558924.665417804</v>
      </c>
      <c r="P286" s="112" t="n">
        <f aca="false">D286/P$3</f>
        <v>0</v>
      </c>
      <c r="Q286" s="112" t="n">
        <f aca="false">E286/P$3</f>
        <v>0</v>
      </c>
      <c r="R286" s="112" t="n">
        <f aca="false">F286/R$3</f>
        <v>0</v>
      </c>
      <c r="S286" s="114" t="n">
        <f aca="false">J286/$R$3</f>
        <v>0</v>
      </c>
      <c r="T286" s="114" t="n">
        <f aca="false">L286/$R$3</f>
        <v>0</v>
      </c>
      <c r="U286" s="114" t="n">
        <f aca="false">I286/$R$3</f>
        <v>0</v>
      </c>
      <c r="V286" s="114" t="n">
        <f aca="false">M286/$R$3</f>
        <v>0</v>
      </c>
      <c r="W286" s="114" t="n">
        <f aca="false">N286/$R$3</f>
        <v>558.924665417804</v>
      </c>
    </row>
    <row r="287" customFormat="false" ht="12.75" hidden="false" customHeight="false" outlineLevel="0" collapsed="false">
      <c r="A287" s="108" t="n">
        <f aca="false">A286+1</f>
        <v>37173</v>
      </c>
      <c r="B287" s="119" t="str">
        <f aca="false">INDEX('Master Data'!$A$2:$B$8,MATCH(WEEKDAY('EZE Power Trading'!A287,3),'Master Data'!$A$2:$A$8,0),2)</f>
        <v>T</v>
      </c>
      <c r="D287" s="112" t="n">
        <v>0</v>
      </c>
      <c r="E287" s="112" t="n">
        <v>0</v>
      </c>
      <c r="F287" s="112" t="n">
        <v>0</v>
      </c>
      <c r="G287" s="112" t="n">
        <v>0</v>
      </c>
      <c r="I287" s="112" t="n">
        <f aca="false">IF(MONTH($A287)=MONTH($A286),IF(G287=0,I286,G287),G287)</f>
        <v>0</v>
      </c>
      <c r="J287" s="112" t="n">
        <f aca="false">IF(MONTH($A287)=MONTH($A286),SUM(I287-I286),I287)</f>
        <v>0</v>
      </c>
      <c r="K287" s="112" t="n">
        <f aca="false">IF(WEEKDAY(A287,3)&gt;4,0,(IF(A287&lt;K$2,0,IF(A287&lt;=K$3,1,0))))</f>
        <v>0</v>
      </c>
      <c r="L287" s="112" t="n">
        <f aca="false">J287*K287</f>
        <v>0</v>
      </c>
      <c r="M287" s="112" t="n">
        <f aca="false">SUM(J$280:J287)</f>
        <v>0</v>
      </c>
      <c r="N287" s="112" t="n">
        <f aca="false">SUM(J$6:J287)</f>
        <v>558924.665417804</v>
      </c>
      <c r="P287" s="112" t="n">
        <f aca="false">D287/P$3</f>
        <v>0</v>
      </c>
      <c r="Q287" s="112" t="n">
        <f aca="false">E287/P$3</f>
        <v>0</v>
      </c>
      <c r="R287" s="112" t="n">
        <f aca="false">F287/R$3</f>
        <v>0</v>
      </c>
      <c r="S287" s="114" t="n">
        <f aca="false">J287/$R$3</f>
        <v>0</v>
      </c>
      <c r="T287" s="114" t="n">
        <f aca="false">L287/$R$3</f>
        <v>0</v>
      </c>
      <c r="U287" s="114" t="n">
        <f aca="false">I287/$R$3</f>
        <v>0</v>
      </c>
      <c r="V287" s="114" t="n">
        <f aca="false">M287/$R$3</f>
        <v>0</v>
      </c>
      <c r="W287" s="114" t="n">
        <f aca="false">N287/$R$3</f>
        <v>558.924665417804</v>
      </c>
    </row>
    <row r="288" customFormat="false" ht="12.75" hidden="false" customHeight="false" outlineLevel="0" collapsed="false">
      <c r="A288" s="108" t="n">
        <f aca="false">A287+1</f>
        <v>37174</v>
      </c>
      <c r="B288" s="119" t="str">
        <f aca="false">INDEX('Master Data'!$A$2:$B$8,MATCH(WEEKDAY('EZE Power Trading'!A288,3),'Master Data'!$A$2:$A$8,0),2)</f>
        <v>W</v>
      </c>
      <c r="D288" s="112" t="n">
        <v>0</v>
      </c>
      <c r="E288" s="112" t="n">
        <v>0</v>
      </c>
      <c r="F288" s="112" t="n">
        <v>0</v>
      </c>
      <c r="G288" s="112" t="n">
        <v>0</v>
      </c>
      <c r="I288" s="112" t="n">
        <f aca="false">IF(MONTH($A288)=MONTH($A287),IF(G288=0,I287,G288),G288)</f>
        <v>0</v>
      </c>
      <c r="J288" s="112" t="n">
        <f aca="false">IF(MONTH($A288)=MONTH($A287),SUM(I288-I287),I288)</f>
        <v>0</v>
      </c>
      <c r="K288" s="112" t="n">
        <f aca="false">IF(WEEKDAY(A288,3)&gt;4,0,(IF(A288&lt;K$2,0,IF(A288&lt;=K$3,1,0))))</f>
        <v>0</v>
      </c>
      <c r="L288" s="112" t="n">
        <f aca="false">J288*K288</f>
        <v>0</v>
      </c>
      <c r="M288" s="112" t="n">
        <f aca="false">SUM(J$280:J288)</f>
        <v>0</v>
      </c>
      <c r="N288" s="112" t="n">
        <f aca="false">SUM(J$6:J288)</f>
        <v>558924.665417804</v>
      </c>
      <c r="P288" s="112" t="n">
        <f aca="false">D288/P$3</f>
        <v>0</v>
      </c>
      <c r="Q288" s="112" t="n">
        <f aca="false">E288/P$3</f>
        <v>0</v>
      </c>
      <c r="R288" s="112" t="n">
        <f aca="false">F288/R$3</f>
        <v>0</v>
      </c>
      <c r="S288" s="114" t="n">
        <f aca="false">J288/$R$3</f>
        <v>0</v>
      </c>
      <c r="T288" s="114" t="n">
        <f aca="false">L288/$R$3</f>
        <v>0</v>
      </c>
      <c r="U288" s="114" t="n">
        <f aca="false">I288/$R$3</f>
        <v>0</v>
      </c>
      <c r="V288" s="114" t="n">
        <f aca="false">M288/$R$3</f>
        <v>0</v>
      </c>
      <c r="W288" s="114" t="n">
        <f aca="false">N288/$R$3</f>
        <v>558.924665417804</v>
      </c>
    </row>
    <row r="289" customFormat="false" ht="12.75" hidden="false" customHeight="false" outlineLevel="0" collapsed="false">
      <c r="A289" s="108" t="n">
        <f aca="false">A288+1</f>
        <v>37175</v>
      </c>
      <c r="B289" s="119" t="str">
        <f aca="false">INDEX('Master Data'!$A$2:$B$8,MATCH(WEEKDAY('EZE Power Trading'!A289,3),'Master Data'!$A$2:$A$8,0),2)</f>
        <v>Th</v>
      </c>
      <c r="D289" s="112" t="n">
        <v>0</v>
      </c>
      <c r="E289" s="112" t="n">
        <v>0</v>
      </c>
      <c r="F289" s="112" t="n">
        <v>0</v>
      </c>
      <c r="G289" s="112" t="n">
        <v>0</v>
      </c>
      <c r="I289" s="112" t="n">
        <f aca="false">IF(MONTH($A289)=MONTH($A288),IF(G289=0,I288,G289),G289)</f>
        <v>0</v>
      </c>
      <c r="J289" s="112" t="n">
        <f aca="false">IF(MONTH($A289)=MONTH($A288),SUM(I289-I288),I289)</f>
        <v>0</v>
      </c>
      <c r="K289" s="112" t="n">
        <f aca="false">IF(WEEKDAY(A289,3)&gt;4,0,(IF(A289&lt;K$2,0,IF(A289&lt;=K$3,1,0))))</f>
        <v>0</v>
      </c>
      <c r="L289" s="112" t="n">
        <f aca="false">J289*K289</f>
        <v>0</v>
      </c>
      <c r="M289" s="112" t="n">
        <f aca="false">SUM(J$280:J289)</f>
        <v>0</v>
      </c>
      <c r="N289" s="112" t="n">
        <f aca="false">SUM(J$6:J289)</f>
        <v>558924.665417804</v>
      </c>
      <c r="P289" s="112" t="n">
        <f aca="false">D289/P$3</f>
        <v>0</v>
      </c>
      <c r="Q289" s="112" t="n">
        <f aca="false">E289/P$3</f>
        <v>0</v>
      </c>
      <c r="R289" s="112" t="n">
        <f aca="false">F289/R$3</f>
        <v>0</v>
      </c>
      <c r="S289" s="114" t="n">
        <f aca="false">J289/$R$3</f>
        <v>0</v>
      </c>
      <c r="T289" s="114" t="n">
        <f aca="false">L289/$R$3</f>
        <v>0</v>
      </c>
      <c r="U289" s="114" t="n">
        <f aca="false">I289/$R$3</f>
        <v>0</v>
      </c>
      <c r="V289" s="114" t="n">
        <f aca="false">M289/$R$3</f>
        <v>0</v>
      </c>
      <c r="W289" s="114" t="n">
        <f aca="false">N289/$R$3</f>
        <v>558.924665417804</v>
      </c>
    </row>
    <row r="290" customFormat="false" ht="12.75" hidden="false" customHeight="false" outlineLevel="0" collapsed="false">
      <c r="A290" s="108" t="n">
        <f aca="false">A289+1</f>
        <v>37176</v>
      </c>
      <c r="B290" s="119" t="str">
        <f aca="false">INDEX('Master Data'!$A$2:$B$8,MATCH(WEEKDAY('EZE Power Trading'!A290,3),'Master Data'!$A$2:$A$8,0),2)</f>
        <v>F</v>
      </c>
      <c r="D290" s="112" t="n">
        <v>0</v>
      </c>
      <c r="E290" s="112" t="n">
        <v>0</v>
      </c>
      <c r="F290" s="112" t="n">
        <v>0</v>
      </c>
      <c r="G290" s="112" t="n">
        <v>0</v>
      </c>
      <c r="I290" s="112" t="n">
        <f aca="false">IF(MONTH($A290)=MONTH($A289),IF(G290=0,I289,G290),G290)</f>
        <v>0</v>
      </c>
      <c r="J290" s="112" t="n">
        <f aca="false">IF(MONTH($A290)=MONTH($A289),SUM(I290-I289),I290)</f>
        <v>0</v>
      </c>
      <c r="K290" s="112" t="n">
        <f aca="false">IF(WEEKDAY(A290,3)&gt;4,0,(IF(A290&lt;K$2,0,IF(A290&lt;=K$3,1,0))))</f>
        <v>0</v>
      </c>
      <c r="L290" s="112" t="n">
        <f aca="false">J290*K290</f>
        <v>0</v>
      </c>
      <c r="M290" s="112" t="n">
        <f aca="false">SUM(J$280:J290)</f>
        <v>0</v>
      </c>
      <c r="N290" s="112" t="n">
        <f aca="false">SUM(J$6:J290)</f>
        <v>558924.665417804</v>
      </c>
      <c r="P290" s="112" t="n">
        <f aca="false">D290/P$3</f>
        <v>0</v>
      </c>
      <c r="Q290" s="112" t="n">
        <f aca="false">E290/P$3</f>
        <v>0</v>
      </c>
      <c r="R290" s="112" t="n">
        <f aca="false">F290/R$3</f>
        <v>0</v>
      </c>
      <c r="S290" s="114" t="n">
        <f aca="false">J290/$R$3</f>
        <v>0</v>
      </c>
      <c r="T290" s="114" t="n">
        <f aca="false">L290/$R$3</f>
        <v>0</v>
      </c>
      <c r="U290" s="114" t="n">
        <f aca="false">I290/$R$3</f>
        <v>0</v>
      </c>
      <c r="V290" s="114" t="n">
        <f aca="false">M290/$R$3</f>
        <v>0</v>
      </c>
      <c r="W290" s="114" t="n">
        <f aca="false">N290/$R$3</f>
        <v>558.924665417804</v>
      </c>
    </row>
    <row r="291" customFormat="false" ht="12.75" hidden="false" customHeight="false" outlineLevel="0" collapsed="false">
      <c r="A291" s="108" t="n">
        <f aca="false">A290+1</f>
        <v>37177</v>
      </c>
      <c r="B291" s="119" t="str">
        <f aca="false">INDEX('Master Data'!$A$2:$B$8,MATCH(WEEKDAY('EZE Power Trading'!A291,3),'Master Data'!$A$2:$A$8,0),2)</f>
        <v>Sa</v>
      </c>
      <c r="D291" s="112" t="n">
        <v>0</v>
      </c>
      <c r="E291" s="112" t="n">
        <v>0</v>
      </c>
      <c r="F291" s="112" t="n">
        <v>0</v>
      </c>
      <c r="G291" s="112" t="n">
        <v>0</v>
      </c>
      <c r="I291" s="112" t="n">
        <f aca="false">IF(MONTH($A291)=MONTH($A290),IF(G291=0,I290,G291),G291)</f>
        <v>0</v>
      </c>
      <c r="J291" s="112" t="n">
        <f aca="false">IF(MONTH($A291)=MONTH($A290),SUM(I291-I290),I291)</f>
        <v>0</v>
      </c>
      <c r="K291" s="112" t="n">
        <f aca="false">IF(WEEKDAY(A291,3)&gt;4,0,(IF(A291&lt;K$2,0,IF(A291&lt;=K$3,1,0))))</f>
        <v>0</v>
      </c>
      <c r="L291" s="112" t="n">
        <f aca="false">J291*K291</f>
        <v>0</v>
      </c>
      <c r="M291" s="112" t="n">
        <f aca="false">SUM(J$280:J291)</f>
        <v>0</v>
      </c>
      <c r="N291" s="112" t="n">
        <f aca="false">SUM(J$6:J291)</f>
        <v>558924.665417804</v>
      </c>
      <c r="P291" s="112" t="n">
        <f aca="false">D291/P$3</f>
        <v>0</v>
      </c>
      <c r="Q291" s="112" t="n">
        <f aca="false">E291/P$3</f>
        <v>0</v>
      </c>
      <c r="R291" s="112" t="n">
        <f aca="false">F291/R$3</f>
        <v>0</v>
      </c>
      <c r="S291" s="114" t="n">
        <f aca="false">J291/$R$3</f>
        <v>0</v>
      </c>
      <c r="T291" s="114" t="n">
        <f aca="false">L291/$R$3</f>
        <v>0</v>
      </c>
      <c r="U291" s="114" t="n">
        <f aca="false">I291/$R$3</f>
        <v>0</v>
      </c>
      <c r="V291" s="114" t="n">
        <f aca="false">M291/$R$3</f>
        <v>0</v>
      </c>
      <c r="W291" s="114" t="n">
        <f aca="false">N291/$R$3</f>
        <v>558.924665417804</v>
      </c>
    </row>
    <row r="292" customFormat="false" ht="12.75" hidden="false" customHeight="false" outlineLevel="0" collapsed="false">
      <c r="A292" s="108" t="n">
        <f aca="false">A291+1</f>
        <v>37178</v>
      </c>
      <c r="B292" s="119" t="str">
        <f aca="false">INDEX('Master Data'!$A$2:$B$8,MATCH(WEEKDAY('EZE Power Trading'!A292,3),'Master Data'!$A$2:$A$8,0),2)</f>
        <v>Su</v>
      </c>
      <c r="D292" s="112" t="n">
        <v>0</v>
      </c>
      <c r="E292" s="112" t="n">
        <v>0</v>
      </c>
      <c r="F292" s="112" t="n">
        <v>0</v>
      </c>
      <c r="G292" s="112" t="n">
        <v>0</v>
      </c>
      <c r="I292" s="112" t="n">
        <f aca="false">IF(MONTH($A292)=MONTH($A291),IF(G292=0,I291,G292),G292)</f>
        <v>0</v>
      </c>
      <c r="J292" s="112" t="n">
        <f aca="false">IF(MONTH($A292)=MONTH($A291),SUM(I292-I291),I292)</f>
        <v>0</v>
      </c>
      <c r="K292" s="112" t="n">
        <f aca="false">IF(WEEKDAY(A292,3)&gt;4,0,(IF(A292&lt;K$2,0,IF(A292&lt;=K$3,1,0))))</f>
        <v>0</v>
      </c>
      <c r="L292" s="112" t="n">
        <f aca="false">J292*K292</f>
        <v>0</v>
      </c>
      <c r="M292" s="112" t="n">
        <f aca="false">SUM(J$280:J292)</f>
        <v>0</v>
      </c>
      <c r="N292" s="112" t="n">
        <f aca="false">SUM(J$6:J292)</f>
        <v>558924.665417804</v>
      </c>
      <c r="P292" s="112" t="n">
        <f aca="false">D292/P$3</f>
        <v>0</v>
      </c>
      <c r="Q292" s="112" t="n">
        <f aca="false">E292/P$3</f>
        <v>0</v>
      </c>
      <c r="R292" s="112" t="n">
        <f aca="false">F292/R$3</f>
        <v>0</v>
      </c>
      <c r="S292" s="114" t="n">
        <f aca="false">J292/$R$3</f>
        <v>0</v>
      </c>
      <c r="T292" s="114" t="n">
        <f aca="false">L292/$R$3</f>
        <v>0</v>
      </c>
      <c r="U292" s="114" t="n">
        <f aca="false">I292/$R$3</f>
        <v>0</v>
      </c>
      <c r="V292" s="114" t="n">
        <f aca="false">M292/$R$3</f>
        <v>0</v>
      </c>
      <c r="W292" s="114" t="n">
        <f aca="false">N292/$R$3</f>
        <v>558.924665417804</v>
      </c>
    </row>
    <row r="293" customFormat="false" ht="12.75" hidden="false" customHeight="false" outlineLevel="0" collapsed="false">
      <c r="A293" s="108" t="n">
        <f aca="false">A292+1</f>
        <v>37179</v>
      </c>
      <c r="B293" s="119" t="str">
        <f aca="false">INDEX('Master Data'!$A$2:$B$8,MATCH(WEEKDAY('EZE Power Trading'!A293,3),'Master Data'!$A$2:$A$8,0),2)</f>
        <v>M</v>
      </c>
      <c r="D293" s="112" t="n">
        <v>0</v>
      </c>
      <c r="E293" s="112" t="n">
        <v>0</v>
      </c>
      <c r="F293" s="112" t="n">
        <v>0</v>
      </c>
      <c r="G293" s="112" t="n">
        <v>0</v>
      </c>
      <c r="I293" s="112" t="n">
        <f aca="false">IF(MONTH($A293)=MONTH($A292),IF(G293=0,I292,G293),G293)</f>
        <v>0</v>
      </c>
      <c r="J293" s="112" t="n">
        <f aca="false">IF(MONTH($A293)=MONTH($A292),SUM(I293-I292),I293)</f>
        <v>0</v>
      </c>
      <c r="K293" s="112" t="n">
        <f aca="false">IF(WEEKDAY(A293,3)&gt;4,0,(IF(A293&lt;K$2,0,IF(A293&lt;=K$3,1,0))))</f>
        <v>0</v>
      </c>
      <c r="L293" s="112" t="n">
        <f aca="false">J293*K293</f>
        <v>0</v>
      </c>
      <c r="M293" s="112" t="n">
        <f aca="false">SUM(J$280:J293)</f>
        <v>0</v>
      </c>
      <c r="N293" s="112" t="n">
        <f aca="false">SUM(J$6:J293)</f>
        <v>558924.665417804</v>
      </c>
      <c r="P293" s="112" t="n">
        <f aca="false">D293/P$3</f>
        <v>0</v>
      </c>
      <c r="Q293" s="112" t="n">
        <f aca="false">E293/P$3</f>
        <v>0</v>
      </c>
      <c r="R293" s="112" t="n">
        <f aca="false">F293/R$3</f>
        <v>0</v>
      </c>
      <c r="S293" s="114" t="n">
        <f aca="false">J293/$R$3</f>
        <v>0</v>
      </c>
      <c r="T293" s="114" t="n">
        <f aca="false">L293/$R$3</f>
        <v>0</v>
      </c>
      <c r="U293" s="114" t="n">
        <f aca="false">I293/$R$3</f>
        <v>0</v>
      </c>
      <c r="V293" s="114" t="n">
        <f aca="false">M293/$R$3</f>
        <v>0</v>
      </c>
      <c r="W293" s="114" t="n">
        <f aca="false">N293/$R$3</f>
        <v>558.924665417804</v>
      </c>
    </row>
    <row r="294" customFormat="false" ht="12.75" hidden="false" customHeight="false" outlineLevel="0" collapsed="false">
      <c r="A294" s="108" t="n">
        <f aca="false">A293+1</f>
        <v>37180</v>
      </c>
      <c r="B294" s="119" t="str">
        <f aca="false">INDEX('Master Data'!$A$2:$B$8,MATCH(WEEKDAY('EZE Power Trading'!A294,3),'Master Data'!$A$2:$A$8,0),2)</f>
        <v>T</v>
      </c>
      <c r="D294" s="112" t="n">
        <v>0</v>
      </c>
      <c r="E294" s="112" t="n">
        <v>0</v>
      </c>
      <c r="F294" s="112" t="n">
        <v>0</v>
      </c>
      <c r="G294" s="112" t="n">
        <v>0</v>
      </c>
      <c r="I294" s="112" t="n">
        <f aca="false">IF(MONTH($A294)=MONTH($A293),IF(G294=0,I293,G294),G294)</f>
        <v>0</v>
      </c>
      <c r="J294" s="112" t="n">
        <f aca="false">IF(MONTH($A294)=MONTH($A293),SUM(I294-I293),I294)</f>
        <v>0</v>
      </c>
      <c r="K294" s="112" t="n">
        <f aca="false">IF(WEEKDAY(A294,3)&gt;4,0,(IF(A294&lt;K$2,0,IF(A294&lt;=K$3,1,0))))</f>
        <v>0</v>
      </c>
      <c r="L294" s="112" t="n">
        <f aca="false">J294*K294</f>
        <v>0</v>
      </c>
      <c r="M294" s="112" t="n">
        <f aca="false">SUM(J$280:J294)</f>
        <v>0</v>
      </c>
      <c r="N294" s="112" t="n">
        <f aca="false">SUM(J$6:J294)</f>
        <v>558924.665417804</v>
      </c>
      <c r="P294" s="112" t="n">
        <f aca="false">D294/P$3</f>
        <v>0</v>
      </c>
      <c r="Q294" s="112" t="n">
        <f aca="false">E294/P$3</f>
        <v>0</v>
      </c>
      <c r="R294" s="112" t="n">
        <f aca="false">F294/R$3</f>
        <v>0</v>
      </c>
      <c r="S294" s="114" t="n">
        <f aca="false">J294/$R$3</f>
        <v>0</v>
      </c>
      <c r="T294" s="114" t="n">
        <f aca="false">L294/$R$3</f>
        <v>0</v>
      </c>
      <c r="U294" s="114" t="n">
        <f aca="false">I294/$R$3</f>
        <v>0</v>
      </c>
      <c r="V294" s="114" t="n">
        <f aca="false">M294/$R$3</f>
        <v>0</v>
      </c>
      <c r="W294" s="114" t="n">
        <f aca="false">N294/$R$3</f>
        <v>558.924665417804</v>
      </c>
    </row>
    <row r="295" customFormat="false" ht="12.75" hidden="false" customHeight="false" outlineLevel="0" collapsed="false">
      <c r="A295" s="108" t="n">
        <f aca="false">A294+1</f>
        <v>37181</v>
      </c>
      <c r="B295" s="119" t="str">
        <f aca="false">INDEX('Master Data'!$A$2:$B$8,MATCH(WEEKDAY('EZE Power Trading'!A295,3),'Master Data'!$A$2:$A$8,0),2)</f>
        <v>W</v>
      </c>
      <c r="D295" s="112" t="n">
        <v>0</v>
      </c>
      <c r="E295" s="112" t="n">
        <v>0</v>
      </c>
      <c r="F295" s="112" t="n">
        <v>0</v>
      </c>
      <c r="G295" s="112" t="n">
        <v>0</v>
      </c>
      <c r="I295" s="112" t="n">
        <f aca="false">IF(MONTH($A295)=MONTH($A294),IF(G295=0,I294,G295),G295)</f>
        <v>0</v>
      </c>
      <c r="J295" s="112" t="n">
        <f aca="false">IF(MONTH($A295)=MONTH($A294),SUM(I295-I294),I295)</f>
        <v>0</v>
      </c>
      <c r="K295" s="112" t="n">
        <f aca="false">IF(WEEKDAY(A295,3)&gt;4,0,(IF(A295&lt;K$2,0,IF(A295&lt;=K$3,1,0))))</f>
        <v>0</v>
      </c>
      <c r="L295" s="112" t="n">
        <f aca="false">J295*K295</f>
        <v>0</v>
      </c>
      <c r="M295" s="112" t="n">
        <f aca="false">SUM(J$280:J295)</f>
        <v>0</v>
      </c>
      <c r="N295" s="112" t="n">
        <f aca="false">SUM(J$6:J295)</f>
        <v>558924.665417804</v>
      </c>
      <c r="P295" s="112" t="n">
        <f aca="false">D295/P$3</f>
        <v>0</v>
      </c>
      <c r="Q295" s="112" t="n">
        <f aca="false">E295/P$3</f>
        <v>0</v>
      </c>
      <c r="R295" s="112" t="n">
        <f aca="false">F295/R$3</f>
        <v>0</v>
      </c>
      <c r="S295" s="114" t="n">
        <f aca="false">J295/$R$3</f>
        <v>0</v>
      </c>
      <c r="T295" s="114" t="n">
        <f aca="false">L295/$R$3</f>
        <v>0</v>
      </c>
      <c r="U295" s="114" t="n">
        <f aca="false">I295/$R$3</f>
        <v>0</v>
      </c>
      <c r="V295" s="114" t="n">
        <f aca="false">M295/$R$3</f>
        <v>0</v>
      </c>
      <c r="W295" s="114" t="n">
        <f aca="false">N295/$R$3</f>
        <v>558.924665417804</v>
      </c>
    </row>
    <row r="296" customFormat="false" ht="12.75" hidden="false" customHeight="false" outlineLevel="0" collapsed="false">
      <c r="A296" s="108" t="n">
        <f aca="false">A295+1</f>
        <v>37182</v>
      </c>
      <c r="B296" s="119" t="str">
        <f aca="false">INDEX('Master Data'!$A$2:$B$8,MATCH(WEEKDAY('EZE Power Trading'!A296,3),'Master Data'!$A$2:$A$8,0),2)</f>
        <v>Th</v>
      </c>
      <c r="D296" s="112" t="n">
        <v>0</v>
      </c>
      <c r="E296" s="112" t="n">
        <v>0</v>
      </c>
      <c r="F296" s="112" t="n">
        <v>0</v>
      </c>
      <c r="G296" s="112" t="n">
        <v>0</v>
      </c>
      <c r="I296" s="112" t="n">
        <f aca="false">IF(MONTH($A296)=MONTH($A295),IF(G296=0,I295,G296),G296)</f>
        <v>0</v>
      </c>
      <c r="J296" s="112" t="n">
        <f aca="false">IF(MONTH($A296)=MONTH($A295),SUM(I296-I295),I296)</f>
        <v>0</v>
      </c>
      <c r="K296" s="112" t="n">
        <f aca="false">IF(WEEKDAY(A296,3)&gt;4,0,(IF(A296&lt;K$2,0,IF(A296&lt;=K$3,1,0))))</f>
        <v>0</v>
      </c>
      <c r="L296" s="112" t="n">
        <f aca="false">J296*K296</f>
        <v>0</v>
      </c>
      <c r="M296" s="112" t="n">
        <f aca="false">SUM(J$280:J296)</f>
        <v>0</v>
      </c>
      <c r="N296" s="112" t="n">
        <f aca="false">SUM(J$6:J296)</f>
        <v>558924.665417804</v>
      </c>
      <c r="P296" s="112" t="n">
        <f aca="false">D296/P$3</f>
        <v>0</v>
      </c>
      <c r="Q296" s="112" t="n">
        <f aca="false">E296/P$3</f>
        <v>0</v>
      </c>
      <c r="R296" s="112" t="n">
        <f aca="false">F296/R$3</f>
        <v>0</v>
      </c>
      <c r="S296" s="114" t="n">
        <f aca="false">J296/$R$3</f>
        <v>0</v>
      </c>
      <c r="T296" s="114" t="n">
        <f aca="false">L296/$R$3</f>
        <v>0</v>
      </c>
      <c r="U296" s="114" t="n">
        <f aca="false">I296/$R$3</f>
        <v>0</v>
      </c>
      <c r="V296" s="114" t="n">
        <f aca="false">M296/$R$3</f>
        <v>0</v>
      </c>
      <c r="W296" s="114" t="n">
        <f aca="false">N296/$R$3</f>
        <v>558.924665417804</v>
      </c>
    </row>
    <row r="297" customFormat="false" ht="12.75" hidden="false" customHeight="false" outlineLevel="0" collapsed="false">
      <c r="A297" s="108" t="n">
        <f aca="false">A296+1</f>
        <v>37183</v>
      </c>
      <c r="B297" s="119" t="str">
        <f aca="false">INDEX('Master Data'!$A$2:$B$8,MATCH(WEEKDAY('EZE Power Trading'!A297,3),'Master Data'!$A$2:$A$8,0),2)</f>
        <v>F</v>
      </c>
      <c r="D297" s="112" t="n">
        <v>0</v>
      </c>
      <c r="E297" s="112" t="n">
        <v>0</v>
      </c>
      <c r="F297" s="112" t="n">
        <v>0</v>
      </c>
      <c r="G297" s="112" t="n">
        <v>0</v>
      </c>
      <c r="I297" s="112" t="n">
        <f aca="false">IF(MONTH($A297)=MONTH($A296),IF(G297=0,I296,G297),G297)</f>
        <v>0</v>
      </c>
      <c r="J297" s="112" t="n">
        <f aca="false">IF(MONTH($A297)=MONTH($A296),SUM(I297-I296),I297)</f>
        <v>0</v>
      </c>
      <c r="K297" s="112" t="n">
        <f aca="false">IF(WEEKDAY(A297,3)&gt;4,0,(IF(A297&lt;K$2,0,IF(A297&lt;=K$3,1,0))))</f>
        <v>0</v>
      </c>
      <c r="L297" s="112" t="n">
        <f aca="false">J297*K297</f>
        <v>0</v>
      </c>
      <c r="M297" s="112" t="n">
        <f aca="false">SUM(J$280:J297)</f>
        <v>0</v>
      </c>
      <c r="N297" s="112" t="n">
        <f aca="false">SUM(J$6:J297)</f>
        <v>558924.665417804</v>
      </c>
      <c r="P297" s="112" t="n">
        <f aca="false">D297/P$3</f>
        <v>0</v>
      </c>
      <c r="Q297" s="112" t="n">
        <f aca="false">E297/P$3</f>
        <v>0</v>
      </c>
      <c r="R297" s="112" t="n">
        <f aca="false">F297/R$3</f>
        <v>0</v>
      </c>
      <c r="S297" s="114" t="n">
        <f aca="false">J297/$R$3</f>
        <v>0</v>
      </c>
      <c r="T297" s="114" t="n">
        <f aca="false">L297/$R$3</f>
        <v>0</v>
      </c>
      <c r="U297" s="114" t="n">
        <f aca="false">I297/$R$3</f>
        <v>0</v>
      </c>
      <c r="V297" s="114" t="n">
        <f aca="false">M297/$R$3</f>
        <v>0</v>
      </c>
      <c r="W297" s="114" t="n">
        <f aca="false">N297/$R$3</f>
        <v>558.924665417804</v>
      </c>
    </row>
    <row r="298" customFormat="false" ht="12.75" hidden="false" customHeight="false" outlineLevel="0" collapsed="false">
      <c r="A298" s="108" t="n">
        <f aca="false">A297+1</f>
        <v>37184</v>
      </c>
      <c r="B298" s="119" t="str">
        <f aca="false">INDEX('Master Data'!$A$2:$B$8,MATCH(WEEKDAY('EZE Power Trading'!A298,3),'Master Data'!$A$2:$A$8,0),2)</f>
        <v>Sa</v>
      </c>
      <c r="D298" s="112" t="n">
        <v>0</v>
      </c>
      <c r="E298" s="112" t="n">
        <v>0</v>
      </c>
      <c r="F298" s="112" t="n">
        <v>0</v>
      </c>
      <c r="G298" s="112" t="n">
        <v>0</v>
      </c>
      <c r="I298" s="112" t="n">
        <f aca="false">IF(MONTH($A298)=MONTH($A297),IF(G298=0,I297,G298),G298)</f>
        <v>0</v>
      </c>
      <c r="J298" s="112" t="n">
        <f aca="false">IF(MONTH($A298)=MONTH($A297),SUM(I298-I297),I298)</f>
        <v>0</v>
      </c>
      <c r="K298" s="112" t="n">
        <f aca="false">IF(WEEKDAY(A298,3)&gt;4,0,(IF(A298&lt;K$2,0,IF(A298&lt;=K$3,1,0))))</f>
        <v>0</v>
      </c>
      <c r="L298" s="112" t="n">
        <f aca="false">J298*K298</f>
        <v>0</v>
      </c>
      <c r="M298" s="112" t="n">
        <f aca="false">SUM(J$280:J298)</f>
        <v>0</v>
      </c>
      <c r="N298" s="112" t="n">
        <f aca="false">SUM(J$6:J298)</f>
        <v>558924.665417804</v>
      </c>
      <c r="P298" s="112" t="n">
        <f aca="false">D298/P$3</f>
        <v>0</v>
      </c>
      <c r="Q298" s="112" t="n">
        <f aca="false">E298/P$3</f>
        <v>0</v>
      </c>
      <c r="R298" s="112" t="n">
        <f aca="false">F298/R$3</f>
        <v>0</v>
      </c>
      <c r="S298" s="114" t="n">
        <f aca="false">J298/$R$3</f>
        <v>0</v>
      </c>
      <c r="T298" s="114" t="n">
        <f aca="false">L298/$R$3</f>
        <v>0</v>
      </c>
      <c r="U298" s="114" t="n">
        <f aca="false">I298/$R$3</f>
        <v>0</v>
      </c>
      <c r="V298" s="114" t="n">
        <f aca="false">M298/$R$3</f>
        <v>0</v>
      </c>
      <c r="W298" s="114" t="n">
        <f aca="false">N298/$R$3</f>
        <v>558.924665417804</v>
      </c>
    </row>
    <row r="299" customFormat="false" ht="12.75" hidden="false" customHeight="false" outlineLevel="0" collapsed="false">
      <c r="A299" s="108" t="n">
        <f aca="false">A298+1</f>
        <v>37185</v>
      </c>
      <c r="B299" s="119" t="str">
        <f aca="false">INDEX('Master Data'!$A$2:$B$8,MATCH(WEEKDAY('EZE Power Trading'!A299,3),'Master Data'!$A$2:$A$8,0),2)</f>
        <v>Su</v>
      </c>
      <c r="D299" s="112" t="n">
        <v>0</v>
      </c>
      <c r="E299" s="112" t="n">
        <v>0</v>
      </c>
      <c r="F299" s="112" t="n">
        <v>0</v>
      </c>
      <c r="G299" s="112" t="n">
        <v>0</v>
      </c>
      <c r="I299" s="112" t="n">
        <f aca="false">IF(MONTH($A299)=MONTH($A298),IF(G299=0,I298,G299),G299)</f>
        <v>0</v>
      </c>
      <c r="J299" s="112" t="n">
        <f aca="false">IF(MONTH($A299)=MONTH($A298),SUM(I299-I298),I299)</f>
        <v>0</v>
      </c>
      <c r="K299" s="112" t="n">
        <f aca="false">IF(WEEKDAY(A299,3)&gt;4,0,(IF(A299&lt;K$2,0,IF(A299&lt;=K$3,1,0))))</f>
        <v>0</v>
      </c>
      <c r="L299" s="112" t="n">
        <f aca="false">J299*K299</f>
        <v>0</v>
      </c>
      <c r="M299" s="112" t="n">
        <f aca="false">SUM(J$280:J299)</f>
        <v>0</v>
      </c>
      <c r="N299" s="112" t="n">
        <f aca="false">SUM(J$6:J299)</f>
        <v>558924.665417804</v>
      </c>
      <c r="P299" s="112" t="n">
        <f aca="false">D299/P$3</f>
        <v>0</v>
      </c>
      <c r="Q299" s="112" t="n">
        <f aca="false">E299/P$3</f>
        <v>0</v>
      </c>
      <c r="R299" s="112" t="n">
        <f aca="false">F299/R$3</f>
        <v>0</v>
      </c>
      <c r="S299" s="114" t="n">
        <f aca="false">J299/$R$3</f>
        <v>0</v>
      </c>
      <c r="T299" s="114" t="n">
        <f aca="false">L299/$R$3</f>
        <v>0</v>
      </c>
      <c r="U299" s="114" t="n">
        <f aca="false">I299/$R$3</f>
        <v>0</v>
      </c>
      <c r="V299" s="114" t="n">
        <f aca="false">M299/$R$3</f>
        <v>0</v>
      </c>
      <c r="W299" s="114" t="n">
        <f aca="false">N299/$R$3</f>
        <v>558.924665417804</v>
      </c>
    </row>
    <row r="300" customFormat="false" ht="12.75" hidden="false" customHeight="false" outlineLevel="0" collapsed="false">
      <c r="A300" s="108" t="n">
        <f aca="false">A299+1</f>
        <v>37186</v>
      </c>
      <c r="B300" s="119" t="str">
        <f aca="false">INDEX('Master Data'!$A$2:$B$8,MATCH(WEEKDAY('EZE Power Trading'!A300,3),'Master Data'!$A$2:$A$8,0),2)</f>
        <v>M</v>
      </c>
      <c r="D300" s="112" t="n">
        <v>0</v>
      </c>
      <c r="E300" s="112" t="n">
        <v>0</v>
      </c>
      <c r="F300" s="112" t="n">
        <v>0</v>
      </c>
      <c r="G300" s="112" t="n">
        <v>0</v>
      </c>
      <c r="I300" s="112" t="n">
        <f aca="false">IF(MONTH($A300)=MONTH($A299),IF(G300=0,I299,G300),G300)</f>
        <v>0</v>
      </c>
      <c r="J300" s="112" t="n">
        <f aca="false">IF(MONTH($A300)=MONTH($A299),SUM(I300-I299),I300)</f>
        <v>0</v>
      </c>
      <c r="K300" s="112" t="n">
        <f aca="false">IF(WEEKDAY(A300,3)&gt;4,0,(IF(A300&lt;K$2,0,IF(A300&lt;=K$3,1,0))))</f>
        <v>0</v>
      </c>
      <c r="L300" s="112" t="n">
        <f aca="false">J300*K300</f>
        <v>0</v>
      </c>
      <c r="M300" s="112" t="n">
        <f aca="false">SUM(J$280:J300)</f>
        <v>0</v>
      </c>
      <c r="N300" s="112" t="n">
        <f aca="false">SUM(J$6:J300)</f>
        <v>558924.665417804</v>
      </c>
      <c r="P300" s="112" t="n">
        <f aca="false">D300/P$3</f>
        <v>0</v>
      </c>
      <c r="Q300" s="112" t="n">
        <f aca="false">E300/P$3</f>
        <v>0</v>
      </c>
      <c r="R300" s="112" t="n">
        <f aca="false">F300/R$3</f>
        <v>0</v>
      </c>
      <c r="S300" s="114" t="n">
        <f aca="false">J300/$R$3</f>
        <v>0</v>
      </c>
      <c r="T300" s="114" t="n">
        <f aca="false">L300/$R$3</f>
        <v>0</v>
      </c>
      <c r="U300" s="114" t="n">
        <f aca="false">I300/$R$3</f>
        <v>0</v>
      </c>
      <c r="V300" s="114" t="n">
        <f aca="false">M300/$R$3</f>
        <v>0</v>
      </c>
      <c r="W300" s="114" t="n">
        <f aca="false">N300/$R$3</f>
        <v>558.924665417804</v>
      </c>
    </row>
    <row r="301" customFormat="false" ht="12.75" hidden="false" customHeight="false" outlineLevel="0" collapsed="false">
      <c r="A301" s="108" t="n">
        <f aca="false">A300+1</f>
        <v>37187</v>
      </c>
      <c r="B301" s="119" t="str">
        <f aca="false">INDEX('Master Data'!$A$2:$B$8,MATCH(WEEKDAY('EZE Power Trading'!A301,3),'Master Data'!$A$2:$A$8,0),2)</f>
        <v>T</v>
      </c>
      <c r="D301" s="112" t="n">
        <v>0</v>
      </c>
      <c r="E301" s="112" t="n">
        <v>0</v>
      </c>
      <c r="F301" s="112" t="n">
        <v>0</v>
      </c>
      <c r="G301" s="112" t="n">
        <v>0</v>
      </c>
      <c r="I301" s="112" t="n">
        <f aca="false">IF(MONTH($A301)=MONTH($A300),IF(G301=0,I300,G301),G301)</f>
        <v>0</v>
      </c>
      <c r="J301" s="112" t="n">
        <f aca="false">IF(MONTH($A301)=MONTH($A300),SUM(I301-I300),I301)</f>
        <v>0</v>
      </c>
      <c r="K301" s="112" t="n">
        <f aca="false">IF(WEEKDAY(A301,3)&gt;4,0,(IF(A301&lt;K$2,0,IF(A301&lt;=K$3,1,0))))</f>
        <v>0</v>
      </c>
      <c r="L301" s="112" t="n">
        <f aca="false">J301*K301</f>
        <v>0</v>
      </c>
      <c r="M301" s="112" t="n">
        <f aca="false">SUM(J$280:J301)</f>
        <v>0</v>
      </c>
      <c r="N301" s="112" t="n">
        <f aca="false">SUM(J$6:J301)</f>
        <v>558924.665417804</v>
      </c>
      <c r="P301" s="112" t="n">
        <f aca="false">D301/P$3</f>
        <v>0</v>
      </c>
      <c r="Q301" s="112" t="n">
        <f aca="false">E301/P$3</f>
        <v>0</v>
      </c>
      <c r="R301" s="112" t="n">
        <f aca="false">F301/R$3</f>
        <v>0</v>
      </c>
      <c r="S301" s="114" t="n">
        <f aca="false">J301/$R$3</f>
        <v>0</v>
      </c>
      <c r="T301" s="114" t="n">
        <f aca="false">L301/$R$3</f>
        <v>0</v>
      </c>
      <c r="U301" s="114" t="n">
        <f aca="false">I301/$R$3</f>
        <v>0</v>
      </c>
      <c r="V301" s="114" t="n">
        <f aca="false">M301/$R$3</f>
        <v>0</v>
      </c>
      <c r="W301" s="114" t="n">
        <f aca="false">N301/$R$3</f>
        <v>558.924665417804</v>
      </c>
    </row>
    <row r="302" customFormat="false" ht="12.75" hidden="false" customHeight="false" outlineLevel="0" collapsed="false">
      <c r="A302" s="108" t="n">
        <f aca="false">A301+1</f>
        <v>37188</v>
      </c>
      <c r="B302" s="119" t="str">
        <f aca="false">INDEX('Master Data'!$A$2:$B$8,MATCH(WEEKDAY('EZE Power Trading'!A302,3),'Master Data'!$A$2:$A$8,0),2)</f>
        <v>W</v>
      </c>
      <c r="D302" s="112" t="n">
        <v>0</v>
      </c>
      <c r="E302" s="112" t="n">
        <v>0</v>
      </c>
      <c r="F302" s="112" t="n">
        <v>0</v>
      </c>
      <c r="G302" s="112" t="n">
        <v>0</v>
      </c>
      <c r="I302" s="112" t="n">
        <f aca="false">IF(MONTH($A302)=MONTH($A301),IF(G302=0,I301,G302),G302)</f>
        <v>0</v>
      </c>
      <c r="J302" s="112" t="n">
        <f aca="false">IF(MONTH($A302)=MONTH($A301),SUM(I302-I301),I302)</f>
        <v>0</v>
      </c>
      <c r="K302" s="112" t="n">
        <f aca="false">IF(WEEKDAY(A302,3)&gt;4,0,(IF(A302&lt;K$2,0,IF(A302&lt;=K$3,1,0))))</f>
        <v>0</v>
      </c>
      <c r="L302" s="112" t="n">
        <f aca="false">J302*K302</f>
        <v>0</v>
      </c>
      <c r="M302" s="112" t="n">
        <f aca="false">SUM(J$280:J302)</f>
        <v>0</v>
      </c>
      <c r="N302" s="112" t="n">
        <f aca="false">SUM(J$6:J302)</f>
        <v>558924.665417804</v>
      </c>
      <c r="P302" s="112" t="n">
        <f aca="false">D302/P$3</f>
        <v>0</v>
      </c>
      <c r="Q302" s="112" t="n">
        <f aca="false">E302/P$3</f>
        <v>0</v>
      </c>
      <c r="R302" s="112" t="n">
        <f aca="false">F302/R$3</f>
        <v>0</v>
      </c>
      <c r="S302" s="114" t="n">
        <f aca="false">J302/$R$3</f>
        <v>0</v>
      </c>
      <c r="T302" s="114" t="n">
        <f aca="false">L302/$R$3</f>
        <v>0</v>
      </c>
      <c r="U302" s="114" t="n">
        <f aca="false">I302/$R$3</f>
        <v>0</v>
      </c>
      <c r="V302" s="114" t="n">
        <f aca="false">M302/$R$3</f>
        <v>0</v>
      </c>
      <c r="W302" s="114" t="n">
        <f aca="false">N302/$R$3</f>
        <v>558.924665417804</v>
      </c>
    </row>
    <row r="303" customFormat="false" ht="12.75" hidden="false" customHeight="false" outlineLevel="0" collapsed="false">
      <c r="A303" s="108" t="n">
        <f aca="false">A302+1</f>
        <v>37189</v>
      </c>
      <c r="B303" s="119" t="str">
        <f aca="false">INDEX('Master Data'!$A$2:$B$8,MATCH(WEEKDAY('EZE Power Trading'!A303,3),'Master Data'!$A$2:$A$8,0),2)</f>
        <v>Th</v>
      </c>
      <c r="D303" s="112" t="n">
        <v>0</v>
      </c>
      <c r="E303" s="112" t="n">
        <v>0</v>
      </c>
      <c r="F303" s="112" t="n">
        <v>0</v>
      </c>
      <c r="G303" s="112" t="n">
        <v>0</v>
      </c>
      <c r="I303" s="112" t="n">
        <f aca="false">IF(MONTH($A303)=MONTH($A302),IF(G303=0,I302,G303),G303)</f>
        <v>0</v>
      </c>
      <c r="J303" s="112" t="n">
        <f aca="false">IF(MONTH($A303)=MONTH($A302),SUM(I303-I302),I303)</f>
        <v>0</v>
      </c>
      <c r="K303" s="112" t="n">
        <f aca="false">IF(WEEKDAY(A303,3)&gt;4,0,(IF(A303&lt;K$2,0,IF(A303&lt;=K$3,1,0))))</f>
        <v>0</v>
      </c>
      <c r="L303" s="112" t="n">
        <f aca="false">J303*K303</f>
        <v>0</v>
      </c>
      <c r="M303" s="112" t="n">
        <f aca="false">SUM(J$280:J303)</f>
        <v>0</v>
      </c>
      <c r="N303" s="112" t="n">
        <f aca="false">SUM(J$6:J303)</f>
        <v>558924.665417804</v>
      </c>
      <c r="P303" s="112" t="n">
        <f aca="false">D303/P$3</f>
        <v>0</v>
      </c>
      <c r="Q303" s="112" t="n">
        <f aca="false">E303/P$3</f>
        <v>0</v>
      </c>
      <c r="R303" s="112" t="n">
        <f aca="false">F303/R$3</f>
        <v>0</v>
      </c>
      <c r="S303" s="114" t="n">
        <f aca="false">J303/$R$3</f>
        <v>0</v>
      </c>
      <c r="T303" s="114" t="n">
        <f aca="false">L303/$R$3</f>
        <v>0</v>
      </c>
      <c r="U303" s="114" t="n">
        <f aca="false">I303/$R$3</f>
        <v>0</v>
      </c>
      <c r="V303" s="114" t="n">
        <f aca="false">M303/$R$3</f>
        <v>0</v>
      </c>
      <c r="W303" s="114" t="n">
        <f aca="false">N303/$R$3</f>
        <v>558.924665417804</v>
      </c>
    </row>
    <row r="304" customFormat="false" ht="12.75" hidden="false" customHeight="false" outlineLevel="0" collapsed="false">
      <c r="A304" s="108" t="n">
        <f aca="false">A303+1</f>
        <v>37190</v>
      </c>
      <c r="B304" s="119" t="str">
        <f aca="false">INDEX('Master Data'!$A$2:$B$8,MATCH(WEEKDAY('EZE Power Trading'!A304,3),'Master Data'!$A$2:$A$8,0),2)</f>
        <v>F</v>
      </c>
      <c r="D304" s="112" t="n">
        <v>0</v>
      </c>
      <c r="E304" s="112" t="n">
        <v>0</v>
      </c>
      <c r="F304" s="112" t="n">
        <v>0</v>
      </c>
      <c r="G304" s="112" t="n">
        <v>0</v>
      </c>
      <c r="I304" s="112" t="n">
        <f aca="false">IF(MONTH($A304)=MONTH($A303),IF(G304=0,I303,G304),G304)</f>
        <v>0</v>
      </c>
      <c r="J304" s="112" t="n">
        <f aca="false">IF(MONTH($A304)=MONTH($A303),SUM(I304-I303),I304)</f>
        <v>0</v>
      </c>
      <c r="K304" s="112" t="n">
        <f aca="false">IF(WEEKDAY(A304,3)&gt;4,0,(IF(A304&lt;K$2,0,IF(A304&lt;=K$3,1,0))))</f>
        <v>0</v>
      </c>
      <c r="L304" s="112" t="n">
        <f aca="false">J304*K304</f>
        <v>0</v>
      </c>
      <c r="M304" s="112" t="n">
        <f aca="false">SUM(J$280:J304)</f>
        <v>0</v>
      </c>
      <c r="N304" s="112" t="n">
        <f aca="false">SUM(J$6:J304)</f>
        <v>558924.665417804</v>
      </c>
      <c r="P304" s="112" t="n">
        <f aca="false">D304/P$3</f>
        <v>0</v>
      </c>
      <c r="Q304" s="112" t="n">
        <f aca="false">E304/P$3</f>
        <v>0</v>
      </c>
      <c r="R304" s="112" t="n">
        <f aca="false">F304/R$3</f>
        <v>0</v>
      </c>
      <c r="S304" s="114" t="n">
        <f aca="false">J304/$R$3</f>
        <v>0</v>
      </c>
      <c r="T304" s="114" t="n">
        <f aca="false">L304/$R$3</f>
        <v>0</v>
      </c>
      <c r="U304" s="114" t="n">
        <f aca="false">I304/$R$3</f>
        <v>0</v>
      </c>
      <c r="V304" s="114" t="n">
        <f aca="false">M304/$R$3</f>
        <v>0</v>
      </c>
      <c r="W304" s="114" t="n">
        <f aca="false">N304/$R$3</f>
        <v>558.924665417804</v>
      </c>
    </row>
    <row r="305" customFormat="false" ht="12.75" hidden="false" customHeight="false" outlineLevel="0" collapsed="false">
      <c r="A305" s="108" t="n">
        <f aca="false">A304+1</f>
        <v>37191</v>
      </c>
      <c r="B305" s="119" t="str">
        <f aca="false">INDEX('Master Data'!$A$2:$B$8,MATCH(WEEKDAY('EZE Power Trading'!A305,3),'Master Data'!$A$2:$A$8,0),2)</f>
        <v>Sa</v>
      </c>
      <c r="D305" s="112" t="n">
        <v>0</v>
      </c>
      <c r="E305" s="112" t="n">
        <v>0</v>
      </c>
      <c r="F305" s="112" t="n">
        <v>0</v>
      </c>
      <c r="G305" s="112" t="n">
        <v>0</v>
      </c>
      <c r="I305" s="112" t="n">
        <f aca="false">IF(MONTH($A305)=MONTH($A304),IF(G305=0,I304,G305),G305)</f>
        <v>0</v>
      </c>
      <c r="J305" s="112" t="n">
        <f aca="false">IF(MONTH($A305)=MONTH($A304),SUM(I305-I304),I305)</f>
        <v>0</v>
      </c>
      <c r="K305" s="112" t="n">
        <f aca="false">IF(WEEKDAY(A305,3)&gt;4,0,(IF(A305&lt;K$2,0,IF(A305&lt;=K$3,1,0))))</f>
        <v>0</v>
      </c>
      <c r="L305" s="112" t="n">
        <f aca="false">J305*K305</f>
        <v>0</v>
      </c>
      <c r="M305" s="112" t="n">
        <f aca="false">SUM(J$280:J305)</f>
        <v>0</v>
      </c>
      <c r="N305" s="112" t="n">
        <f aca="false">SUM(J$6:J305)</f>
        <v>558924.665417804</v>
      </c>
      <c r="P305" s="112" t="n">
        <f aca="false">D305/P$3</f>
        <v>0</v>
      </c>
      <c r="Q305" s="112" t="n">
        <f aca="false">E305/P$3</f>
        <v>0</v>
      </c>
      <c r="R305" s="112" t="n">
        <f aca="false">F305/R$3</f>
        <v>0</v>
      </c>
      <c r="S305" s="114" t="n">
        <f aca="false">J305/$R$3</f>
        <v>0</v>
      </c>
      <c r="T305" s="114" t="n">
        <f aca="false">L305/$R$3</f>
        <v>0</v>
      </c>
      <c r="U305" s="114" t="n">
        <f aca="false">I305/$R$3</f>
        <v>0</v>
      </c>
      <c r="V305" s="114" t="n">
        <f aca="false">M305/$R$3</f>
        <v>0</v>
      </c>
      <c r="W305" s="114" t="n">
        <f aca="false">N305/$R$3</f>
        <v>558.924665417804</v>
      </c>
    </row>
    <row r="306" customFormat="false" ht="12.75" hidden="false" customHeight="false" outlineLevel="0" collapsed="false">
      <c r="A306" s="108" t="n">
        <f aca="false">A305+1</f>
        <v>37192</v>
      </c>
      <c r="B306" s="119" t="str">
        <f aca="false">INDEX('Master Data'!$A$2:$B$8,MATCH(WEEKDAY('EZE Power Trading'!A306,3),'Master Data'!$A$2:$A$8,0),2)</f>
        <v>Su</v>
      </c>
      <c r="D306" s="112" t="n">
        <v>0</v>
      </c>
      <c r="E306" s="112" t="n">
        <v>0</v>
      </c>
      <c r="F306" s="112" t="n">
        <v>0</v>
      </c>
      <c r="G306" s="112" t="n">
        <v>0</v>
      </c>
      <c r="I306" s="112" t="n">
        <f aca="false">IF(MONTH($A306)=MONTH($A305),IF(G306=0,I305,G306),G306)</f>
        <v>0</v>
      </c>
      <c r="J306" s="112" t="n">
        <f aca="false">IF(MONTH($A306)=MONTH($A305),SUM(I306-I305),I306)</f>
        <v>0</v>
      </c>
      <c r="K306" s="112" t="n">
        <f aca="false">IF(WEEKDAY(A306,3)&gt;4,0,(IF(A306&lt;K$2,0,IF(A306&lt;=K$3,1,0))))</f>
        <v>0</v>
      </c>
      <c r="L306" s="112" t="n">
        <f aca="false">J306*K306</f>
        <v>0</v>
      </c>
      <c r="M306" s="112" t="n">
        <f aca="false">SUM(J$280:J306)</f>
        <v>0</v>
      </c>
      <c r="N306" s="112" t="n">
        <f aca="false">SUM(J$6:J306)</f>
        <v>558924.665417804</v>
      </c>
      <c r="P306" s="112" t="n">
        <f aca="false">D306/P$3</f>
        <v>0</v>
      </c>
      <c r="Q306" s="112" t="n">
        <f aca="false">E306/P$3</f>
        <v>0</v>
      </c>
      <c r="R306" s="112" t="n">
        <f aca="false">F306/R$3</f>
        <v>0</v>
      </c>
      <c r="S306" s="114" t="n">
        <f aca="false">J306/$R$3</f>
        <v>0</v>
      </c>
      <c r="T306" s="114" t="n">
        <f aca="false">L306/$R$3</f>
        <v>0</v>
      </c>
      <c r="U306" s="114" t="n">
        <f aca="false">I306/$R$3</f>
        <v>0</v>
      </c>
      <c r="V306" s="114" t="n">
        <f aca="false">M306/$R$3</f>
        <v>0</v>
      </c>
      <c r="W306" s="114" t="n">
        <f aca="false">N306/$R$3</f>
        <v>558.924665417804</v>
      </c>
    </row>
    <row r="307" customFormat="false" ht="12.75" hidden="false" customHeight="false" outlineLevel="0" collapsed="false">
      <c r="A307" s="108" t="n">
        <f aca="false">A306+1</f>
        <v>37193</v>
      </c>
      <c r="B307" s="119" t="str">
        <f aca="false">INDEX('Master Data'!$A$2:$B$8,MATCH(WEEKDAY('EZE Power Trading'!A307,3),'Master Data'!$A$2:$A$8,0),2)</f>
        <v>M</v>
      </c>
      <c r="D307" s="112" t="n">
        <v>0</v>
      </c>
      <c r="E307" s="112" t="n">
        <v>0</v>
      </c>
      <c r="F307" s="112" t="n">
        <v>0</v>
      </c>
      <c r="G307" s="112" t="n">
        <v>0</v>
      </c>
      <c r="I307" s="112" t="n">
        <f aca="false">IF(MONTH($A307)=MONTH($A306),IF(G307=0,I306,G307),G307)</f>
        <v>0</v>
      </c>
      <c r="J307" s="112" t="n">
        <f aca="false">IF(MONTH($A307)=MONTH($A306),SUM(I307-I306),I307)</f>
        <v>0</v>
      </c>
      <c r="K307" s="112" t="n">
        <f aca="false">IF(WEEKDAY(A307,3)&gt;4,0,(IF(A307&lt;K$2,0,IF(A307&lt;=K$3,1,0))))</f>
        <v>0</v>
      </c>
      <c r="L307" s="112" t="n">
        <f aca="false">J307*K307</f>
        <v>0</v>
      </c>
      <c r="M307" s="112" t="n">
        <f aca="false">SUM(J$280:J307)</f>
        <v>0</v>
      </c>
      <c r="N307" s="112" t="n">
        <f aca="false">SUM(J$6:J307)</f>
        <v>558924.665417804</v>
      </c>
      <c r="P307" s="112" t="n">
        <f aca="false">D307/P$3</f>
        <v>0</v>
      </c>
      <c r="Q307" s="112" t="n">
        <f aca="false">E307/P$3</f>
        <v>0</v>
      </c>
      <c r="R307" s="112" t="n">
        <f aca="false">F307/R$3</f>
        <v>0</v>
      </c>
      <c r="S307" s="114" t="n">
        <f aca="false">J307/$R$3</f>
        <v>0</v>
      </c>
      <c r="T307" s="114" t="n">
        <f aca="false">L307/$R$3</f>
        <v>0</v>
      </c>
      <c r="U307" s="114" t="n">
        <f aca="false">I307/$R$3</f>
        <v>0</v>
      </c>
      <c r="V307" s="114" t="n">
        <f aca="false">M307/$R$3</f>
        <v>0</v>
      </c>
      <c r="W307" s="114" t="n">
        <f aca="false">N307/$R$3</f>
        <v>558.924665417804</v>
      </c>
    </row>
    <row r="308" customFormat="false" ht="12.75" hidden="false" customHeight="false" outlineLevel="0" collapsed="false">
      <c r="A308" s="108" t="n">
        <f aca="false">A307+1</f>
        <v>37194</v>
      </c>
      <c r="B308" s="119" t="str">
        <f aca="false">INDEX('Master Data'!$A$2:$B$8,MATCH(WEEKDAY('EZE Power Trading'!A308,3),'Master Data'!$A$2:$A$8,0),2)</f>
        <v>T</v>
      </c>
      <c r="D308" s="112" t="n">
        <v>0</v>
      </c>
      <c r="E308" s="112" t="n">
        <v>0</v>
      </c>
      <c r="F308" s="112" t="n">
        <v>0</v>
      </c>
      <c r="G308" s="112" t="n">
        <v>0</v>
      </c>
      <c r="I308" s="112" t="n">
        <f aca="false">IF(MONTH($A308)=MONTH($A307),IF(G308=0,I307,G308),G308)</f>
        <v>0</v>
      </c>
      <c r="J308" s="112" t="n">
        <f aca="false">IF(MONTH($A308)=MONTH($A307),SUM(I308-I307),I308)</f>
        <v>0</v>
      </c>
      <c r="K308" s="112" t="n">
        <f aca="false">IF(WEEKDAY(A308,3)&gt;4,0,(IF(A308&lt;K$2,0,IF(A308&lt;=K$3,1,0))))</f>
        <v>0</v>
      </c>
      <c r="L308" s="112" t="n">
        <f aca="false">J308*K308</f>
        <v>0</v>
      </c>
      <c r="M308" s="112" t="n">
        <f aca="false">SUM(J$280:J308)</f>
        <v>0</v>
      </c>
      <c r="N308" s="112" t="n">
        <f aca="false">SUM(J$6:J308)</f>
        <v>558924.665417804</v>
      </c>
      <c r="P308" s="112" t="n">
        <f aca="false">D308/P$3</f>
        <v>0</v>
      </c>
      <c r="Q308" s="112" t="n">
        <f aca="false">E308/P$3</f>
        <v>0</v>
      </c>
      <c r="R308" s="112" t="n">
        <f aca="false">F308/R$3</f>
        <v>0</v>
      </c>
      <c r="S308" s="114" t="n">
        <f aca="false">J308/$R$3</f>
        <v>0</v>
      </c>
      <c r="T308" s="114" t="n">
        <f aca="false">L308/$R$3</f>
        <v>0</v>
      </c>
      <c r="U308" s="114" t="n">
        <f aca="false">I308/$R$3</f>
        <v>0</v>
      </c>
      <c r="V308" s="114" t="n">
        <f aca="false">M308/$R$3</f>
        <v>0</v>
      </c>
      <c r="W308" s="114" t="n">
        <f aca="false">N308/$R$3</f>
        <v>558.924665417804</v>
      </c>
    </row>
    <row r="309" customFormat="false" ht="12.75" hidden="false" customHeight="false" outlineLevel="0" collapsed="false">
      <c r="A309" s="108" t="n">
        <f aca="false">A308+1</f>
        <v>37195</v>
      </c>
      <c r="B309" s="119" t="str">
        <f aca="false">INDEX('Master Data'!$A$2:$B$8,MATCH(WEEKDAY('EZE Power Trading'!A309,3),'Master Data'!$A$2:$A$8,0),2)</f>
        <v>W</v>
      </c>
      <c r="D309" s="112" t="n">
        <v>0</v>
      </c>
      <c r="E309" s="112" t="n">
        <v>0</v>
      </c>
      <c r="F309" s="112" t="n">
        <v>0</v>
      </c>
      <c r="G309" s="112" t="n">
        <v>0</v>
      </c>
      <c r="I309" s="112" t="n">
        <f aca="false">IF(MONTH($A309)=MONTH($A308),IF(G309=0,I308,G309),G309)</f>
        <v>0</v>
      </c>
      <c r="J309" s="112" t="n">
        <f aca="false">IF(MONTH($A309)=MONTH($A308),SUM(I309-I308),I309)</f>
        <v>0</v>
      </c>
      <c r="K309" s="112" t="n">
        <f aca="false">IF(WEEKDAY(A309,3)&gt;4,0,(IF(A309&lt;K$2,0,IF(A309&lt;=K$3,1,0))))</f>
        <v>0</v>
      </c>
      <c r="L309" s="112" t="n">
        <f aca="false">J309*K309</f>
        <v>0</v>
      </c>
      <c r="M309" s="112" t="n">
        <f aca="false">SUM(J$280:J309)</f>
        <v>0</v>
      </c>
      <c r="N309" s="112" t="n">
        <f aca="false">SUM(J$6:J309)</f>
        <v>558924.665417804</v>
      </c>
      <c r="P309" s="112" t="n">
        <f aca="false">D309/P$3</f>
        <v>0</v>
      </c>
      <c r="Q309" s="112" t="n">
        <f aca="false">E309/P$3</f>
        <v>0</v>
      </c>
      <c r="R309" s="112" t="n">
        <f aca="false">F309/R$3</f>
        <v>0</v>
      </c>
      <c r="S309" s="114" t="n">
        <f aca="false">J309/$R$3</f>
        <v>0</v>
      </c>
      <c r="T309" s="114" t="n">
        <f aca="false">L309/$R$3</f>
        <v>0</v>
      </c>
      <c r="U309" s="114" t="n">
        <f aca="false">I309/$R$3</f>
        <v>0</v>
      </c>
      <c r="V309" s="114" t="n">
        <f aca="false">M309/$R$3</f>
        <v>0</v>
      </c>
      <c r="W309" s="114" t="n">
        <f aca="false">N309/$R$3</f>
        <v>558.924665417804</v>
      </c>
    </row>
    <row r="310" customFormat="false" ht="12.75" hidden="false" customHeight="false" outlineLevel="0" collapsed="false">
      <c r="A310" s="108" t="n">
        <f aca="false">A309+1</f>
        <v>37196</v>
      </c>
      <c r="B310" s="119" t="str">
        <f aca="false">INDEX('Master Data'!$A$2:$B$8,MATCH(WEEKDAY('EZE Power Trading'!A310,3),'Master Data'!$A$2:$A$8,0),2)</f>
        <v>Th</v>
      </c>
      <c r="D310" s="112" t="n">
        <v>0</v>
      </c>
      <c r="E310" s="112" t="n">
        <v>0</v>
      </c>
      <c r="F310" s="112" t="n">
        <v>0</v>
      </c>
      <c r="G310" s="112" t="n">
        <v>0</v>
      </c>
      <c r="I310" s="112" t="n">
        <f aca="false">IF(MONTH($A310)=MONTH($A309),IF(G310=0,I309,G310),G310)</f>
        <v>0</v>
      </c>
      <c r="J310" s="112" t="n">
        <f aca="false">IF(MONTH($A310)=MONTH($A309),SUM(I310-I309),I310)</f>
        <v>0</v>
      </c>
      <c r="K310" s="112" t="n">
        <f aca="false">IF(WEEKDAY(A310,3)&gt;4,0,(IF(A310&lt;K$2,0,IF(A310&lt;=K$3,1,0))))</f>
        <v>0</v>
      </c>
      <c r="L310" s="112" t="n">
        <f aca="false">J310*K310</f>
        <v>0</v>
      </c>
      <c r="M310" s="112" t="n">
        <f aca="false">SUM(J$280:J310)</f>
        <v>0</v>
      </c>
      <c r="N310" s="112" t="n">
        <f aca="false">SUM(J$6:J310)</f>
        <v>558924.665417804</v>
      </c>
      <c r="P310" s="112" t="n">
        <f aca="false">D310/P$3</f>
        <v>0</v>
      </c>
      <c r="Q310" s="112" t="n">
        <f aca="false">E310/P$3</f>
        <v>0</v>
      </c>
      <c r="R310" s="112" t="n">
        <f aca="false">F310/R$3</f>
        <v>0</v>
      </c>
      <c r="S310" s="114" t="n">
        <f aca="false">J310/$R$3</f>
        <v>0</v>
      </c>
      <c r="T310" s="114" t="n">
        <f aca="false">L310/$R$3</f>
        <v>0</v>
      </c>
      <c r="U310" s="114" t="n">
        <f aca="false">I310/$R$3</f>
        <v>0</v>
      </c>
      <c r="V310" s="114" t="n">
        <f aca="false">M310/$R$3</f>
        <v>0</v>
      </c>
      <c r="W310" s="114" t="n">
        <f aca="false">N310/$R$3</f>
        <v>558.924665417804</v>
      </c>
    </row>
    <row r="311" customFormat="false" ht="12.75" hidden="false" customHeight="false" outlineLevel="0" collapsed="false">
      <c r="A311" s="108" t="n">
        <f aca="false">A310+1</f>
        <v>37197</v>
      </c>
      <c r="B311" s="119" t="str">
        <f aca="false">INDEX('Master Data'!$A$2:$B$8,MATCH(WEEKDAY('EZE Power Trading'!A311,3),'Master Data'!$A$2:$A$8,0),2)</f>
        <v>F</v>
      </c>
      <c r="D311" s="112" t="n">
        <v>0</v>
      </c>
      <c r="E311" s="112" t="n">
        <v>0</v>
      </c>
      <c r="F311" s="112" t="n">
        <v>0</v>
      </c>
      <c r="G311" s="112" t="n">
        <v>0</v>
      </c>
      <c r="I311" s="112" t="n">
        <f aca="false">IF(MONTH($A311)=MONTH($A310),IF(G311=0,I310,G311),G311)</f>
        <v>0</v>
      </c>
      <c r="J311" s="112" t="n">
        <f aca="false">IF(MONTH($A311)=MONTH($A310),SUM(I311-I310),I311)</f>
        <v>0</v>
      </c>
      <c r="K311" s="112" t="n">
        <f aca="false">IF(WEEKDAY(A311,3)&gt;4,0,(IF(A311&lt;K$2,0,IF(A311&lt;=K$3,1,0))))</f>
        <v>0</v>
      </c>
      <c r="L311" s="112" t="n">
        <f aca="false">J311*K311</f>
        <v>0</v>
      </c>
      <c r="M311" s="112" t="n">
        <f aca="false">SUM(J$280:J311)</f>
        <v>0</v>
      </c>
      <c r="N311" s="112" t="n">
        <f aca="false">SUM(J$6:J311)</f>
        <v>558924.665417804</v>
      </c>
      <c r="P311" s="112" t="n">
        <f aca="false">D311/P$3</f>
        <v>0</v>
      </c>
      <c r="Q311" s="112" t="n">
        <f aca="false">E311/P$3</f>
        <v>0</v>
      </c>
      <c r="R311" s="112" t="n">
        <f aca="false">F311/R$3</f>
        <v>0</v>
      </c>
      <c r="S311" s="114" t="n">
        <f aca="false">J311/$R$3</f>
        <v>0</v>
      </c>
      <c r="T311" s="114" t="n">
        <f aca="false">L311/$R$3</f>
        <v>0</v>
      </c>
      <c r="U311" s="114" t="n">
        <f aca="false">I311/$R$3</f>
        <v>0</v>
      </c>
      <c r="V311" s="114" t="n">
        <f aca="false">M311/$R$3</f>
        <v>0</v>
      </c>
      <c r="W311" s="114" t="n">
        <f aca="false">N311/$R$3</f>
        <v>558.924665417804</v>
      </c>
    </row>
    <row r="312" customFormat="false" ht="12.75" hidden="false" customHeight="false" outlineLevel="0" collapsed="false">
      <c r="A312" s="108" t="n">
        <f aca="false">A311+1</f>
        <v>37198</v>
      </c>
      <c r="B312" s="119" t="str">
        <f aca="false">INDEX('Master Data'!$A$2:$B$8,MATCH(WEEKDAY('EZE Power Trading'!A312,3),'Master Data'!$A$2:$A$8,0),2)</f>
        <v>Sa</v>
      </c>
      <c r="D312" s="112" t="n">
        <v>0</v>
      </c>
      <c r="E312" s="112" t="n">
        <v>0</v>
      </c>
      <c r="F312" s="112" t="n">
        <v>0</v>
      </c>
      <c r="G312" s="112" t="n">
        <v>0</v>
      </c>
      <c r="I312" s="112" t="n">
        <f aca="false">IF(MONTH($A312)=MONTH($A311),IF(G312=0,I311,G312),G312)</f>
        <v>0</v>
      </c>
      <c r="J312" s="112" t="n">
        <f aca="false">IF(MONTH($A312)=MONTH($A311),SUM(I312-I311),I312)</f>
        <v>0</v>
      </c>
      <c r="K312" s="112" t="n">
        <f aca="false">IF(WEEKDAY(A312,3)&gt;4,0,(IF(A312&lt;K$2,0,IF(A312&lt;=K$3,1,0))))</f>
        <v>0</v>
      </c>
      <c r="L312" s="112" t="n">
        <f aca="false">J312*K312</f>
        <v>0</v>
      </c>
      <c r="M312" s="112" t="n">
        <f aca="false">SUM(J$280:J312)</f>
        <v>0</v>
      </c>
      <c r="N312" s="112" t="n">
        <f aca="false">SUM(J$6:J312)</f>
        <v>558924.665417804</v>
      </c>
      <c r="P312" s="112" t="n">
        <f aca="false">D312/P$3</f>
        <v>0</v>
      </c>
      <c r="Q312" s="112" t="n">
        <f aca="false">E312/P$3</f>
        <v>0</v>
      </c>
      <c r="R312" s="112" t="n">
        <f aca="false">F312/R$3</f>
        <v>0</v>
      </c>
      <c r="S312" s="114" t="n">
        <f aca="false">J312/$R$3</f>
        <v>0</v>
      </c>
      <c r="T312" s="114" t="n">
        <f aca="false">L312/$R$3</f>
        <v>0</v>
      </c>
      <c r="U312" s="114" t="n">
        <f aca="false">I312/$R$3</f>
        <v>0</v>
      </c>
      <c r="V312" s="114" t="n">
        <f aca="false">M312/$R$3</f>
        <v>0</v>
      </c>
      <c r="W312" s="114" t="n">
        <f aca="false">N312/$R$3</f>
        <v>558.924665417804</v>
      </c>
    </row>
    <row r="313" customFormat="false" ht="12.75" hidden="false" customHeight="false" outlineLevel="0" collapsed="false">
      <c r="A313" s="108" t="n">
        <f aca="false">A312+1</f>
        <v>37199</v>
      </c>
      <c r="B313" s="119" t="str">
        <f aca="false">INDEX('Master Data'!$A$2:$B$8,MATCH(WEEKDAY('EZE Power Trading'!A313,3),'Master Data'!$A$2:$A$8,0),2)</f>
        <v>Su</v>
      </c>
      <c r="D313" s="112" t="n">
        <v>0</v>
      </c>
      <c r="E313" s="112" t="n">
        <v>0</v>
      </c>
      <c r="F313" s="112" t="n">
        <v>0</v>
      </c>
      <c r="G313" s="112" t="n">
        <v>0</v>
      </c>
      <c r="I313" s="112" t="n">
        <f aca="false">IF(MONTH($A313)=MONTH($A312),IF(G313=0,I312,G313),G313)</f>
        <v>0</v>
      </c>
      <c r="J313" s="112" t="n">
        <f aca="false">IF(MONTH($A313)=MONTH($A312),SUM(I313-I312),I313)</f>
        <v>0</v>
      </c>
      <c r="K313" s="112" t="n">
        <f aca="false">IF(WEEKDAY(A313,3)&gt;4,0,(IF(A313&lt;K$2,0,IF(A313&lt;=K$3,1,0))))</f>
        <v>0</v>
      </c>
      <c r="L313" s="112" t="n">
        <f aca="false">J313*K313</f>
        <v>0</v>
      </c>
      <c r="M313" s="112" t="n">
        <f aca="false">SUM(J$280:J313)</f>
        <v>0</v>
      </c>
      <c r="N313" s="112" t="n">
        <f aca="false">SUM(J$6:J313)</f>
        <v>558924.665417804</v>
      </c>
      <c r="P313" s="112" t="n">
        <f aca="false">D313/P$3</f>
        <v>0</v>
      </c>
      <c r="Q313" s="112" t="n">
        <f aca="false">E313/P$3</f>
        <v>0</v>
      </c>
      <c r="R313" s="112" t="n">
        <f aca="false">F313/R$3</f>
        <v>0</v>
      </c>
      <c r="S313" s="114" t="n">
        <f aca="false">J313/$R$3</f>
        <v>0</v>
      </c>
      <c r="T313" s="114" t="n">
        <f aca="false">L313/$R$3</f>
        <v>0</v>
      </c>
      <c r="U313" s="114" t="n">
        <f aca="false">I313/$R$3</f>
        <v>0</v>
      </c>
      <c r="V313" s="114" t="n">
        <f aca="false">M313/$R$3</f>
        <v>0</v>
      </c>
      <c r="W313" s="114" t="n">
        <f aca="false">N313/$R$3</f>
        <v>558.924665417804</v>
      </c>
    </row>
    <row r="314" customFormat="false" ht="12.75" hidden="false" customHeight="false" outlineLevel="0" collapsed="false">
      <c r="A314" s="108" t="n">
        <f aca="false">A313+1</f>
        <v>37200</v>
      </c>
      <c r="B314" s="119" t="str">
        <f aca="false">INDEX('Master Data'!$A$2:$B$8,MATCH(WEEKDAY('EZE Power Trading'!A314,3),'Master Data'!$A$2:$A$8,0),2)</f>
        <v>M</v>
      </c>
      <c r="D314" s="112" t="n">
        <v>0</v>
      </c>
      <c r="E314" s="112" t="n">
        <v>0</v>
      </c>
      <c r="F314" s="112" t="n">
        <v>0</v>
      </c>
      <c r="G314" s="112" t="n">
        <v>0</v>
      </c>
      <c r="I314" s="112" t="n">
        <f aca="false">IF(MONTH($A314)=MONTH($A313),IF(G314=0,I313,G314),G314)</f>
        <v>0</v>
      </c>
      <c r="J314" s="112" t="n">
        <f aca="false">IF(MONTH($A314)=MONTH($A313),SUM(I314-I313),I314)</f>
        <v>0</v>
      </c>
      <c r="K314" s="112" t="n">
        <f aca="false">IF(WEEKDAY(A314,3)&gt;4,0,(IF(A314&lt;K$2,0,IF(A314&lt;=K$3,1,0))))</f>
        <v>0</v>
      </c>
      <c r="L314" s="112" t="n">
        <f aca="false">J314*K314</f>
        <v>0</v>
      </c>
      <c r="M314" s="112" t="n">
        <f aca="false">SUM(J$280:J314)</f>
        <v>0</v>
      </c>
      <c r="N314" s="112" t="n">
        <f aca="false">SUM(J$6:J314)</f>
        <v>558924.665417804</v>
      </c>
      <c r="P314" s="112" t="n">
        <f aca="false">D314/P$3</f>
        <v>0</v>
      </c>
      <c r="Q314" s="112" t="n">
        <f aca="false">E314/P$3</f>
        <v>0</v>
      </c>
      <c r="R314" s="112" t="n">
        <f aca="false">F314/R$3</f>
        <v>0</v>
      </c>
      <c r="S314" s="114" t="n">
        <f aca="false">J314/$R$3</f>
        <v>0</v>
      </c>
      <c r="T314" s="114" t="n">
        <f aca="false">L314/$R$3</f>
        <v>0</v>
      </c>
      <c r="U314" s="114" t="n">
        <f aca="false">I314/$R$3</f>
        <v>0</v>
      </c>
      <c r="V314" s="114" t="n">
        <f aca="false">M314/$R$3</f>
        <v>0</v>
      </c>
      <c r="W314" s="114" t="n">
        <f aca="false">N314/$R$3</f>
        <v>558.924665417804</v>
      </c>
    </row>
    <row r="315" customFormat="false" ht="12.75" hidden="false" customHeight="false" outlineLevel="0" collapsed="false">
      <c r="A315" s="108" t="n">
        <f aca="false">A314+1</f>
        <v>37201</v>
      </c>
      <c r="B315" s="119" t="str">
        <f aca="false">INDEX('Master Data'!$A$2:$B$8,MATCH(WEEKDAY('EZE Power Trading'!A315,3),'Master Data'!$A$2:$A$8,0),2)</f>
        <v>T</v>
      </c>
      <c r="D315" s="112" t="n">
        <v>0</v>
      </c>
      <c r="E315" s="112" t="n">
        <v>0</v>
      </c>
      <c r="F315" s="112" t="n">
        <v>0</v>
      </c>
      <c r="G315" s="112" t="n">
        <v>0</v>
      </c>
      <c r="I315" s="112" t="n">
        <f aca="false">IF(MONTH($A315)=MONTH($A314),IF(G315=0,I314,G315),G315)</f>
        <v>0</v>
      </c>
      <c r="J315" s="112" t="n">
        <f aca="false">IF(MONTH($A315)=MONTH($A314),SUM(I315-I314),I315)</f>
        <v>0</v>
      </c>
      <c r="K315" s="112" t="n">
        <f aca="false">IF(WEEKDAY(A315,3)&gt;4,0,(IF(A315&lt;K$2,0,IF(A315&lt;=K$3,1,0))))</f>
        <v>0</v>
      </c>
      <c r="L315" s="112" t="n">
        <f aca="false">J315*K315</f>
        <v>0</v>
      </c>
      <c r="M315" s="112" t="n">
        <f aca="false">SUM(J$280:J315)</f>
        <v>0</v>
      </c>
      <c r="N315" s="112" t="n">
        <f aca="false">SUM(J$6:J315)</f>
        <v>558924.665417804</v>
      </c>
      <c r="P315" s="112" t="n">
        <f aca="false">D315/P$3</f>
        <v>0</v>
      </c>
      <c r="Q315" s="112" t="n">
        <f aca="false">E315/P$3</f>
        <v>0</v>
      </c>
      <c r="R315" s="112" t="n">
        <f aca="false">F315/R$3</f>
        <v>0</v>
      </c>
      <c r="S315" s="114" t="n">
        <f aca="false">J315/$R$3</f>
        <v>0</v>
      </c>
      <c r="T315" s="114" t="n">
        <f aca="false">L315/$R$3</f>
        <v>0</v>
      </c>
      <c r="U315" s="114" t="n">
        <f aca="false">I315/$R$3</f>
        <v>0</v>
      </c>
      <c r="V315" s="114" t="n">
        <f aca="false">M315/$R$3</f>
        <v>0</v>
      </c>
      <c r="W315" s="114" t="n">
        <f aca="false">N315/$R$3</f>
        <v>558.924665417804</v>
      </c>
    </row>
    <row r="316" customFormat="false" ht="12.75" hidden="false" customHeight="false" outlineLevel="0" collapsed="false">
      <c r="A316" s="108" t="n">
        <f aca="false">A315+1</f>
        <v>37202</v>
      </c>
      <c r="B316" s="119" t="str">
        <f aca="false">INDEX('Master Data'!$A$2:$B$8,MATCH(WEEKDAY('EZE Power Trading'!A316,3),'Master Data'!$A$2:$A$8,0),2)</f>
        <v>W</v>
      </c>
      <c r="D316" s="112" t="n">
        <v>0</v>
      </c>
      <c r="E316" s="112" t="n">
        <v>0</v>
      </c>
      <c r="F316" s="112" t="n">
        <v>0</v>
      </c>
      <c r="G316" s="112" t="n">
        <v>0</v>
      </c>
      <c r="I316" s="112" t="n">
        <f aca="false">IF(MONTH($A316)=MONTH($A315),IF(G316=0,I315,G316),G316)</f>
        <v>0</v>
      </c>
      <c r="J316" s="112" t="n">
        <f aca="false">IF(MONTH($A316)=MONTH($A315),SUM(I316-I315),I316)</f>
        <v>0</v>
      </c>
      <c r="K316" s="112" t="n">
        <f aca="false">IF(WEEKDAY(A316,3)&gt;4,0,(IF(A316&lt;K$2,0,IF(A316&lt;=K$3,1,0))))</f>
        <v>0</v>
      </c>
      <c r="L316" s="112" t="n">
        <f aca="false">J316*K316</f>
        <v>0</v>
      </c>
      <c r="M316" s="112" t="n">
        <f aca="false">SUM(J$280:J316)</f>
        <v>0</v>
      </c>
      <c r="N316" s="112" t="n">
        <f aca="false">SUM(J$6:J316)</f>
        <v>558924.665417804</v>
      </c>
      <c r="P316" s="112" t="n">
        <f aca="false">D316/P$3</f>
        <v>0</v>
      </c>
      <c r="Q316" s="112" t="n">
        <f aca="false">E316/P$3</f>
        <v>0</v>
      </c>
      <c r="R316" s="112" t="n">
        <f aca="false">F316/R$3</f>
        <v>0</v>
      </c>
      <c r="S316" s="114" t="n">
        <f aca="false">J316/$R$3</f>
        <v>0</v>
      </c>
      <c r="T316" s="114" t="n">
        <f aca="false">L316/$R$3</f>
        <v>0</v>
      </c>
      <c r="U316" s="114" t="n">
        <f aca="false">I316/$R$3</f>
        <v>0</v>
      </c>
      <c r="V316" s="114" t="n">
        <f aca="false">M316/$R$3</f>
        <v>0</v>
      </c>
      <c r="W316" s="114" t="n">
        <f aca="false">N316/$R$3</f>
        <v>558.924665417804</v>
      </c>
    </row>
    <row r="317" customFormat="false" ht="12.75" hidden="false" customHeight="false" outlineLevel="0" collapsed="false">
      <c r="A317" s="108" t="n">
        <f aca="false">A316+1</f>
        <v>37203</v>
      </c>
      <c r="B317" s="119" t="str">
        <f aca="false">INDEX('Master Data'!$A$2:$B$8,MATCH(WEEKDAY('EZE Power Trading'!A317,3),'Master Data'!$A$2:$A$8,0),2)</f>
        <v>Th</v>
      </c>
      <c r="D317" s="112" t="n">
        <v>0</v>
      </c>
      <c r="E317" s="112" t="n">
        <v>0</v>
      </c>
      <c r="F317" s="112" t="n">
        <v>0</v>
      </c>
      <c r="G317" s="112" t="n">
        <v>0</v>
      </c>
      <c r="I317" s="112" t="n">
        <f aca="false">IF(MONTH($A317)=MONTH($A316),IF(G317=0,I316,G317),G317)</f>
        <v>0</v>
      </c>
      <c r="J317" s="112" t="n">
        <f aca="false">IF(MONTH($A317)=MONTH($A316),SUM(I317-I316),I317)</f>
        <v>0</v>
      </c>
      <c r="K317" s="112" t="n">
        <f aca="false">IF(WEEKDAY(A317,3)&gt;4,0,(IF(A317&lt;K$2,0,IF(A317&lt;=K$3,1,0))))</f>
        <v>0</v>
      </c>
      <c r="L317" s="112" t="n">
        <f aca="false">J317*K317</f>
        <v>0</v>
      </c>
      <c r="M317" s="112" t="n">
        <f aca="false">SUM(J$280:J317)</f>
        <v>0</v>
      </c>
      <c r="N317" s="112" t="n">
        <f aca="false">SUM(J$6:J317)</f>
        <v>558924.665417804</v>
      </c>
      <c r="P317" s="112" t="n">
        <f aca="false">D317/P$3</f>
        <v>0</v>
      </c>
      <c r="Q317" s="112" t="n">
        <f aca="false">E317/P$3</f>
        <v>0</v>
      </c>
      <c r="R317" s="112" t="n">
        <f aca="false">F317/R$3</f>
        <v>0</v>
      </c>
      <c r="S317" s="114" t="n">
        <f aca="false">J317/$R$3</f>
        <v>0</v>
      </c>
      <c r="T317" s="114" t="n">
        <f aca="false">L317/$R$3</f>
        <v>0</v>
      </c>
      <c r="U317" s="114" t="n">
        <f aca="false">I317/$R$3</f>
        <v>0</v>
      </c>
      <c r="V317" s="114" t="n">
        <f aca="false">M317/$R$3</f>
        <v>0</v>
      </c>
      <c r="W317" s="114" t="n">
        <f aca="false">N317/$R$3</f>
        <v>558.924665417804</v>
      </c>
    </row>
    <row r="318" customFormat="false" ht="12.75" hidden="false" customHeight="false" outlineLevel="0" collapsed="false">
      <c r="A318" s="108" t="n">
        <f aca="false">A317+1</f>
        <v>37204</v>
      </c>
      <c r="B318" s="119" t="str">
        <f aca="false">INDEX('Master Data'!$A$2:$B$8,MATCH(WEEKDAY('EZE Power Trading'!A318,3),'Master Data'!$A$2:$A$8,0),2)</f>
        <v>F</v>
      </c>
      <c r="D318" s="112" t="n">
        <v>0</v>
      </c>
      <c r="E318" s="112" t="n">
        <v>0</v>
      </c>
      <c r="F318" s="112" t="n">
        <v>0</v>
      </c>
      <c r="G318" s="112" t="n">
        <v>0</v>
      </c>
      <c r="I318" s="112" t="n">
        <f aca="false">IF(MONTH($A318)=MONTH($A317),IF(G318=0,I317,G318),G318)</f>
        <v>0</v>
      </c>
      <c r="J318" s="112" t="n">
        <f aca="false">IF(MONTH($A318)=MONTH($A317),SUM(I318-I317),I318)</f>
        <v>0</v>
      </c>
      <c r="K318" s="112" t="n">
        <f aca="false">IF(WEEKDAY(A318,3)&gt;4,0,(IF(A318&lt;K$2,0,IF(A318&lt;=K$3,1,0))))</f>
        <v>0</v>
      </c>
      <c r="L318" s="112" t="n">
        <f aca="false">J318*K318</f>
        <v>0</v>
      </c>
      <c r="M318" s="112" t="n">
        <f aca="false">SUM(J$280:J318)</f>
        <v>0</v>
      </c>
      <c r="N318" s="112" t="n">
        <f aca="false">SUM(J$6:J318)</f>
        <v>558924.665417804</v>
      </c>
      <c r="P318" s="112" t="n">
        <f aca="false">D318/P$3</f>
        <v>0</v>
      </c>
      <c r="Q318" s="112" t="n">
        <f aca="false">E318/P$3</f>
        <v>0</v>
      </c>
      <c r="R318" s="112" t="n">
        <f aca="false">F318/R$3</f>
        <v>0</v>
      </c>
      <c r="S318" s="114" t="n">
        <f aca="false">J318/$R$3</f>
        <v>0</v>
      </c>
      <c r="T318" s="114" t="n">
        <f aca="false">L318/$R$3</f>
        <v>0</v>
      </c>
      <c r="U318" s="114" t="n">
        <f aca="false">I318/$R$3</f>
        <v>0</v>
      </c>
      <c r="V318" s="114" t="n">
        <f aca="false">M318/$R$3</f>
        <v>0</v>
      </c>
      <c r="W318" s="114" t="n">
        <f aca="false">N318/$R$3</f>
        <v>558.924665417804</v>
      </c>
    </row>
    <row r="319" customFormat="false" ht="12.75" hidden="false" customHeight="false" outlineLevel="0" collapsed="false">
      <c r="A319" s="108" t="n">
        <f aca="false">A318+1</f>
        <v>37205</v>
      </c>
      <c r="B319" s="119" t="str">
        <f aca="false">INDEX('Master Data'!$A$2:$B$8,MATCH(WEEKDAY('EZE Power Trading'!A319,3),'Master Data'!$A$2:$A$8,0),2)</f>
        <v>Sa</v>
      </c>
      <c r="D319" s="112" t="n">
        <v>0</v>
      </c>
      <c r="E319" s="112" t="n">
        <v>0</v>
      </c>
      <c r="F319" s="112" t="n">
        <v>0</v>
      </c>
      <c r="G319" s="112" t="n">
        <v>0</v>
      </c>
      <c r="I319" s="112" t="n">
        <f aca="false">IF(MONTH($A319)=MONTH($A318),IF(G319=0,I318,G319),G319)</f>
        <v>0</v>
      </c>
      <c r="J319" s="112" t="n">
        <f aca="false">IF(MONTH($A319)=MONTH($A318),SUM(I319-I318),I319)</f>
        <v>0</v>
      </c>
      <c r="K319" s="112" t="n">
        <f aca="false">IF(WEEKDAY(A319,3)&gt;4,0,(IF(A319&lt;K$2,0,IF(A319&lt;=K$3,1,0))))</f>
        <v>0</v>
      </c>
      <c r="L319" s="112" t="n">
        <f aca="false">J319*K319</f>
        <v>0</v>
      </c>
      <c r="M319" s="112" t="n">
        <f aca="false">SUM(J$280:J319)</f>
        <v>0</v>
      </c>
      <c r="N319" s="112" t="n">
        <f aca="false">SUM(J$6:J319)</f>
        <v>558924.665417804</v>
      </c>
      <c r="P319" s="112" t="n">
        <f aca="false">D319/P$3</f>
        <v>0</v>
      </c>
      <c r="Q319" s="112" t="n">
        <f aca="false">E319/P$3</f>
        <v>0</v>
      </c>
      <c r="R319" s="112" t="n">
        <f aca="false">F319/R$3</f>
        <v>0</v>
      </c>
      <c r="S319" s="114" t="n">
        <f aca="false">J319/$R$3</f>
        <v>0</v>
      </c>
      <c r="T319" s="114" t="n">
        <f aca="false">L319/$R$3</f>
        <v>0</v>
      </c>
      <c r="U319" s="114" t="n">
        <f aca="false">I319/$R$3</f>
        <v>0</v>
      </c>
      <c r="V319" s="114" t="n">
        <f aca="false">M319/$R$3</f>
        <v>0</v>
      </c>
      <c r="W319" s="114" t="n">
        <f aca="false">N319/$R$3</f>
        <v>558.924665417804</v>
      </c>
    </row>
    <row r="320" customFormat="false" ht="12.75" hidden="false" customHeight="false" outlineLevel="0" collapsed="false">
      <c r="A320" s="108" t="n">
        <f aca="false">A319+1</f>
        <v>37206</v>
      </c>
      <c r="B320" s="119" t="str">
        <f aca="false">INDEX('Master Data'!$A$2:$B$8,MATCH(WEEKDAY('EZE Power Trading'!A320,3),'Master Data'!$A$2:$A$8,0),2)</f>
        <v>Su</v>
      </c>
      <c r="D320" s="112" t="n">
        <v>0</v>
      </c>
      <c r="E320" s="112" t="n">
        <v>0</v>
      </c>
      <c r="F320" s="112" t="n">
        <v>0</v>
      </c>
      <c r="G320" s="112" t="n">
        <v>0</v>
      </c>
      <c r="I320" s="112" t="n">
        <f aca="false">IF(MONTH($A320)=MONTH($A319),IF(G320=0,I319,G320),G320)</f>
        <v>0</v>
      </c>
      <c r="J320" s="112" t="n">
        <f aca="false">IF(MONTH($A320)=MONTH($A319),SUM(I320-I319),I320)</f>
        <v>0</v>
      </c>
      <c r="K320" s="112" t="n">
        <f aca="false">IF(WEEKDAY(A320,3)&gt;4,0,(IF(A320&lt;K$2,0,IF(A320&lt;=K$3,1,0))))</f>
        <v>0</v>
      </c>
      <c r="L320" s="112" t="n">
        <f aca="false">J320*K320</f>
        <v>0</v>
      </c>
      <c r="M320" s="112" t="n">
        <f aca="false">SUM(J$280:J320)</f>
        <v>0</v>
      </c>
      <c r="N320" s="112" t="n">
        <f aca="false">SUM(J$6:J320)</f>
        <v>558924.665417804</v>
      </c>
      <c r="P320" s="112" t="n">
        <f aca="false">D320/P$3</f>
        <v>0</v>
      </c>
      <c r="Q320" s="112" t="n">
        <f aca="false">E320/P$3</f>
        <v>0</v>
      </c>
      <c r="R320" s="112" t="n">
        <f aca="false">F320/R$3</f>
        <v>0</v>
      </c>
      <c r="S320" s="114" t="n">
        <f aca="false">J320/$R$3</f>
        <v>0</v>
      </c>
      <c r="T320" s="114" t="n">
        <f aca="false">L320/$R$3</f>
        <v>0</v>
      </c>
      <c r="U320" s="114" t="n">
        <f aca="false">I320/$R$3</f>
        <v>0</v>
      </c>
      <c r="V320" s="114" t="n">
        <f aca="false">M320/$R$3</f>
        <v>0</v>
      </c>
      <c r="W320" s="114" t="n">
        <f aca="false">N320/$R$3</f>
        <v>558.924665417804</v>
      </c>
    </row>
    <row r="321" customFormat="false" ht="12.75" hidden="false" customHeight="false" outlineLevel="0" collapsed="false">
      <c r="A321" s="108" t="n">
        <f aca="false">A320+1</f>
        <v>37207</v>
      </c>
      <c r="B321" s="119" t="str">
        <f aca="false">INDEX('Master Data'!$A$2:$B$8,MATCH(WEEKDAY('EZE Power Trading'!A321,3),'Master Data'!$A$2:$A$8,0),2)</f>
        <v>M</v>
      </c>
      <c r="D321" s="112" t="n">
        <v>0</v>
      </c>
      <c r="E321" s="112" t="n">
        <v>0</v>
      </c>
      <c r="F321" s="112" t="n">
        <v>0</v>
      </c>
      <c r="G321" s="112" t="n">
        <v>0</v>
      </c>
      <c r="I321" s="112" t="n">
        <f aca="false">IF(MONTH($A321)=MONTH($A320),IF(G321=0,I320,G321),G321)</f>
        <v>0</v>
      </c>
      <c r="J321" s="112" t="n">
        <f aca="false">IF(MONTH($A321)=MONTH($A320),SUM(I321-I320),I321)</f>
        <v>0</v>
      </c>
      <c r="K321" s="112" t="n">
        <f aca="false">IF(WEEKDAY(A321,3)&gt;4,0,(IF(A321&lt;K$2,0,IF(A321&lt;=K$3,1,0))))</f>
        <v>0</v>
      </c>
      <c r="L321" s="112" t="n">
        <f aca="false">J321*K321</f>
        <v>0</v>
      </c>
      <c r="M321" s="112" t="n">
        <f aca="false">SUM(J$280:J321)</f>
        <v>0</v>
      </c>
      <c r="N321" s="112" t="n">
        <f aca="false">SUM(J$6:J321)</f>
        <v>558924.665417804</v>
      </c>
      <c r="P321" s="112" t="n">
        <f aca="false">D321/P$3</f>
        <v>0</v>
      </c>
      <c r="Q321" s="112" t="n">
        <f aca="false">E321/P$3</f>
        <v>0</v>
      </c>
      <c r="R321" s="112" t="n">
        <f aca="false">F321/R$3</f>
        <v>0</v>
      </c>
      <c r="S321" s="114" t="n">
        <f aca="false">J321/$R$3</f>
        <v>0</v>
      </c>
      <c r="T321" s="114" t="n">
        <f aca="false">L321/$R$3</f>
        <v>0</v>
      </c>
      <c r="U321" s="114" t="n">
        <f aca="false">I321/$R$3</f>
        <v>0</v>
      </c>
      <c r="V321" s="114" t="n">
        <f aca="false">M321/$R$3</f>
        <v>0</v>
      </c>
      <c r="W321" s="114" t="n">
        <f aca="false">N321/$R$3</f>
        <v>558.924665417804</v>
      </c>
    </row>
    <row r="322" customFormat="false" ht="12.75" hidden="false" customHeight="false" outlineLevel="0" collapsed="false">
      <c r="A322" s="108" t="n">
        <f aca="false">A321+1</f>
        <v>37208</v>
      </c>
      <c r="B322" s="119" t="str">
        <f aca="false">INDEX('Master Data'!$A$2:$B$8,MATCH(WEEKDAY('EZE Power Trading'!A322,3),'Master Data'!$A$2:$A$8,0),2)</f>
        <v>T</v>
      </c>
      <c r="D322" s="112" t="n">
        <v>0</v>
      </c>
      <c r="E322" s="112" t="n">
        <v>0</v>
      </c>
      <c r="F322" s="112" t="n">
        <v>0</v>
      </c>
      <c r="G322" s="112" t="n">
        <v>0</v>
      </c>
      <c r="I322" s="112" t="n">
        <f aca="false">IF(MONTH($A322)=MONTH($A321),IF(G322=0,I321,G322),G322)</f>
        <v>0</v>
      </c>
      <c r="J322" s="112" t="n">
        <f aca="false">IF(MONTH($A322)=MONTH($A321),SUM(I322-I321),I322)</f>
        <v>0</v>
      </c>
      <c r="K322" s="112" t="n">
        <f aca="false">IF(WEEKDAY(A322,3)&gt;4,0,(IF(A322&lt;K$2,0,IF(A322&lt;=K$3,1,0))))</f>
        <v>0</v>
      </c>
      <c r="L322" s="112" t="n">
        <f aca="false">J322*K322</f>
        <v>0</v>
      </c>
      <c r="M322" s="112" t="n">
        <f aca="false">SUM(J$280:J322)</f>
        <v>0</v>
      </c>
      <c r="N322" s="112" t="n">
        <f aca="false">SUM(J$6:J322)</f>
        <v>558924.665417804</v>
      </c>
      <c r="P322" s="112" t="n">
        <f aca="false">D322/P$3</f>
        <v>0</v>
      </c>
      <c r="Q322" s="112" t="n">
        <f aca="false">E322/P$3</f>
        <v>0</v>
      </c>
      <c r="R322" s="112" t="n">
        <f aca="false">F322/R$3</f>
        <v>0</v>
      </c>
      <c r="S322" s="114" t="n">
        <f aca="false">J322/$R$3</f>
        <v>0</v>
      </c>
      <c r="T322" s="114" t="n">
        <f aca="false">L322/$R$3</f>
        <v>0</v>
      </c>
      <c r="U322" s="114" t="n">
        <f aca="false">I322/$R$3</f>
        <v>0</v>
      </c>
      <c r="V322" s="114" t="n">
        <f aca="false">M322/$R$3</f>
        <v>0</v>
      </c>
      <c r="W322" s="114" t="n">
        <f aca="false">N322/$R$3</f>
        <v>558.924665417804</v>
      </c>
    </row>
    <row r="323" customFormat="false" ht="12.75" hidden="false" customHeight="false" outlineLevel="0" collapsed="false">
      <c r="A323" s="108" t="n">
        <f aca="false">A322+1</f>
        <v>37209</v>
      </c>
      <c r="B323" s="119" t="str">
        <f aca="false">INDEX('Master Data'!$A$2:$B$8,MATCH(WEEKDAY('EZE Power Trading'!A323,3),'Master Data'!$A$2:$A$8,0),2)</f>
        <v>W</v>
      </c>
      <c r="D323" s="112" t="n">
        <v>0</v>
      </c>
      <c r="E323" s="112" t="n">
        <v>0</v>
      </c>
      <c r="F323" s="112" t="n">
        <v>0</v>
      </c>
      <c r="G323" s="112" t="n">
        <v>0</v>
      </c>
      <c r="I323" s="112" t="n">
        <f aca="false">IF(MONTH($A323)=MONTH($A322),IF(G323=0,I322,G323),G323)</f>
        <v>0</v>
      </c>
      <c r="J323" s="112" t="n">
        <f aca="false">IF(MONTH($A323)=MONTH($A322),SUM(I323-I322),I323)</f>
        <v>0</v>
      </c>
      <c r="K323" s="112" t="n">
        <f aca="false">IF(WEEKDAY(A323,3)&gt;4,0,(IF(A323&lt;K$2,0,IF(A323&lt;=K$3,1,0))))</f>
        <v>0</v>
      </c>
      <c r="L323" s="112" t="n">
        <f aca="false">J323*K323</f>
        <v>0</v>
      </c>
      <c r="M323" s="112" t="n">
        <f aca="false">SUM(J$280:J323)</f>
        <v>0</v>
      </c>
      <c r="N323" s="112" t="n">
        <f aca="false">SUM(J$6:J323)</f>
        <v>558924.665417804</v>
      </c>
      <c r="P323" s="112" t="n">
        <f aca="false">D323/P$3</f>
        <v>0</v>
      </c>
      <c r="Q323" s="112" t="n">
        <f aca="false">E323/P$3</f>
        <v>0</v>
      </c>
      <c r="R323" s="112" t="n">
        <f aca="false">F323/R$3</f>
        <v>0</v>
      </c>
      <c r="S323" s="114" t="n">
        <f aca="false">J323/$R$3</f>
        <v>0</v>
      </c>
      <c r="T323" s="114" t="n">
        <f aca="false">L323/$R$3</f>
        <v>0</v>
      </c>
      <c r="U323" s="114" t="n">
        <f aca="false">I323/$R$3</f>
        <v>0</v>
      </c>
      <c r="V323" s="114" t="n">
        <f aca="false">M323/$R$3</f>
        <v>0</v>
      </c>
      <c r="W323" s="114" t="n">
        <f aca="false">N323/$R$3</f>
        <v>558.924665417804</v>
      </c>
    </row>
    <row r="324" customFormat="false" ht="12.75" hidden="false" customHeight="false" outlineLevel="0" collapsed="false">
      <c r="A324" s="108" t="n">
        <f aca="false">A323+1</f>
        <v>37210</v>
      </c>
      <c r="B324" s="119" t="str">
        <f aca="false">INDEX('Master Data'!$A$2:$B$8,MATCH(WEEKDAY('EZE Power Trading'!A324,3),'Master Data'!$A$2:$A$8,0),2)</f>
        <v>Th</v>
      </c>
      <c r="D324" s="112" t="n">
        <v>0</v>
      </c>
      <c r="E324" s="112" t="n">
        <v>0</v>
      </c>
      <c r="F324" s="112" t="n">
        <v>0</v>
      </c>
      <c r="G324" s="112" t="n">
        <v>0</v>
      </c>
      <c r="I324" s="112" t="n">
        <f aca="false">IF(MONTH($A324)=MONTH($A323),IF(G324=0,I323,G324),G324)</f>
        <v>0</v>
      </c>
      <c r="J324" s="112" t="n">
        <f aca="false">IF(MONTH($A324)=MONTH($A323),SUM(I324-I323),I324)</f>
        <v>0</v>
      </c>
      <c r="K324" s="112" t="n">
        <f aca="false">IF(WEEKDAY(A324,3)&gt;4,0,(IF(A324&lt;K$2,0,IF(A324&lt;=K$3,1,0))))</f>
        <v>0</v>
      </c>
      <c r="L324" s="112" t="n">
        <f aca="false">J324*K324</f>
        <v>0</v>
      </c>
      <c r="M324" s="112" t="n">
        <f aca="false">SUM(J$280:J324)</f>
        <v>0</v>
      </c>
      <c r="N324" s="112" t="n">
        <f aca="false">SUM(J$6:J324)</f>
        <v>558924.665417804</v>
      </c>
      <c r="P324" s="112" t="n">
        <f aca="false">D324/P$3</f>
        <v>0</v>
      </c>
      <c r="Q324" s="112" t="n">
        <f aca="false">E324/P$3</f>
        <v>0</v>
      </c>
      <c r="R324" s="112" t="n">
        <f aca="false">F324/R$3</f>
        <v>0</v>
      </c>
      <c r="S324" s="114" t="n">
        <f aca="false">J324/$R$3</f>
        <v>0</v>
      </c>
      <c r="T324" s="114" t="n">
        <f aca="false">L324/$R$3</f>
        <v>0</v>
      </c>
      <c r="U324" s="114" t="n">
        <f aca="false">I324/$R$3</f>
        <v>0</v>
      </c>
      <c r="V324" s="114" t="n">
        <f aca="false">M324/$R$3</f>
        <v>0</v>
      </c>
      <c r="W324" s="114" t="n">
        <f aca="false">N324/$R$3</f>
        <v>558.924665417804</v>
      </c>
    </row>
    <row r="325" customFormat="false" ht="12.75" hidden="false" customHeight="false" outlineLevel="0" collapsed="false">
      <c r="A325" s="108" t="n">
        <f aca="false">A324+1</f>
        <v>37211</v>
      </c>
      <c r="B325" s="119" t="str">
        <f aca="false">INDEX('Master Data'!$A$2:$B$8,MATCH(WEEKDAY('EZE Power Trading'!A325,3),'Master Data'!$A$2:$A$8,0),2)</f>
        <v>F</v>
      </c>
      <c r="D325" s="112" t="n">
        <v>0</v>
      </c>
      <c r="E325" s="112" t="n">
        <v>0</v>
      </c>
      <c r="F325" s="112" t="n">
        <v>0</v>
      </c>
      <c r="G325" s="112" t="n">
        <v>0</v>
      </c>
      <c r="I325" s="112" t="n">
        <f aca="false">IF(MONTH($A325)=MONTH($A324),IF(G325=0,I324,G325),G325)</f>
        <v>0</v>
      </c>
      <c r="J325" s="112" t="n">
        <f aca="false">IF(MONTH($A325)=MONTH($A324),SUM(I325-I324),I325)</f>
        <v>0</v>
      </c>
      <c r="K325" s="112" t="n">
        <f aca="false">IF(WEEKDAY(A325,3)&gt;4,0,(IF(A325&lt;K$2,0,IF(A325&lt;=K$3,1,0))))</f>
        <v>0</v>
      </c>
      <c r="L325" s="112" t="n">
        <f aca="false">J325*K325</f>
        <v>0</v>
      </c>
      <c r="M325" s="112" t="n">
        <f aca="false">SUM(J$280:J325)</f>
        <v>0</v>
      </c>
      <c r="N325" s="112" t="n">
        <f aca="false">SUM(J$6:J325)</f>
        <v>558924.665417804</v>
      </c>
      <c r="P325" s="112" t="n">
        <f aca="false">D325/P$3</f>
        <v>0</v>
      </c>
      <c r="Q325" s="112" t="n">
        <f aca="false">E325/P$3</f>
        <v>0</v>
      </c>
      <c r="R325" s="112" t="n">
        <f aca="false">F325/R$3</f>
        <v>0</v>
      </c>
      <c r="S325" s="114" t="n">
        <f aca="false">J325/$R$3</f>
        <v>0</v>
      </c>
      <c r="T325" s="114" t="n">
        <f aca="false">L325/$R$3</f>
        <v>0</v>
      </c>
      <c r="U325" s="114" t="n">
        <f aca="false">I325/$R$3</f>
        <v>0</v>
      </c>
      <c r="V325" s="114" t="n">
        <f aca="false">M325/$R$3</f>
        <v>0</v>
      </c>
      <c r="W325" s="114" t="n">
        <f aca="false">N325/$R$3</f>
        <v>558.924665417804</v>
      </c>
    </row>
    <row r="326" customFormat="false" ht="12.75" hidden="false" customHeight="false" outlineLevel="0" collapsed="false">
      <c r="A326" s="108" t="n">
        <f aca="false">A325+1</f>
        <v>37212</v>
      </c>
      <c r="B326" s="119" t="str">
        <f aca="false">INDEX('Master Data'!$A$2:$B$8,MATCH(WEEKDAY('EZE Power Trading'!A326,3),'Master Data'!$A$2:$A$8,0),2)</f>
        <v>Sa</v>
      </c>
      <c r="D326" s="112" t="n">
        <v>0</v>
      </c>
      <c r="E326" s="112" t="n">
        <v>0</v>
      </c>
      <c r="F326" s="112" t="n">
        <v>0</v>
      </c>
      <c r="G326" s="112" t="n">
        <v>0</v>
      </c>
      <c r="I326" s="112" t="n">
        <f aca="false">IF(MONTH($A326)=MONTH($A325),IF(G326=0,I325,G326),G326)</f>
        <v>0</v>
      </c>
      <c r="J326" s="112" t="n">
        <f aca="false">IF(MONTH($A326)=MONTH($A325),SUM(I326-I325),I326)</f>
        <v>0</v>
      </c>
      <c r="K326" s="112" t="n">
        <f aca="false">IF(WEEKDAY(A326,3)&gt;4,0,(IF(A326&lt;K$2,0,IF(A326&lt;=K$3,1,0))))</f>
        <v>0</v>
      </c>
      <c r="L326" s="112" t="n">
        <f aca="false">J326*K326</f>
        <v>0</v>
      </c>
      <c r="M326" s="112" t="n">
        <f aca="false">SUM(J$280:J326)</f>
        <v>0</v>
      </c>
      <c r="N326" s="112" t="n">
        <f aca="false">SUM(J$6:J326)</f>
        <v>558924.665417804</v>
      </c>
      <c r="P326" s="112" t="n">
        <f aca="false">D326/P$3</f>
        <v>0</v>
      </c>
      <c r="Q326" s="112" t="n">
        <f aca="false">E326/P$3</f>
        <v>0</v>
      </c>
      <c r="R326" s="112" t="n">
        <f aca="false">F326/R$3</f>
        <v>0</v>
      </c>
      <c r="S326" s="114" t="n">
        <f aca="false">J326/$R$3</f>
        <v>0</v>
      </c>
      <c r="T326" s="114" t="n">
        <f aca="false">L326/$R$3</f>
        <v>0</v>
      </c>
      <c r="U326" s="114" t="n">
        <f aca="false">I326/$R$3</f>
        <v>0</v>
      </c>
      <c r="V326" s="114" t="n">
        <f aca="false">M326/$R$3</f>
        <v>0</v>
      </c>
      <c r="W326" s="114" t="n">
        <f aca="false">N326/$R$3</f>
        <v>558.924665417804</v>
      </c>
    </row>
    <row r="327" customFormat="false" ht="12.75" hidden="false" customHeight="false" outlineLevel="0" collapsed="false">
      <c r="A327" s="108" t="n">
        <f aca="false">A326+1</f>
        <v>37213</v>
      </c>
      <c r="B327" s="119" t="str">
        <f aca="false">INDEX('Master Data'!$A$2:$B$8,MATCH(WEEKDAY('EZE Power Trading'!A327,3),'Master Data'!$A$2:$A$8,0),2)</f>
        <v>Su</v>
      </c>
      <c r="D327" s="112" t="n">
        <v>0</v>
      </c>
      <c r="E327" s="112" t="n">
        <v>0</v>
      </c>
      <c r="F327" s="112" t="n">
        <v>0</v>
      </c>
      <c r="G327" s="112" t="n">
        <v>0</v>
      </c>
      <c r="I327" s="112" t="n">
        <f aca="false">IF(MONTH($A327)=MONTH($A326),IF(G327=0,I326,G327),G327)</f>
        <v>0</v>
      </c>
      <c r="J327" s="112" t="n">
        <f aca="false">IF(MONTH($A327)=MONTH($A326),SUM(I327-I326),I327)</f>
        <v>0</v>
      </c>
      <c r="K327" s="112" t="n">
        <f aca="false">IF(WEEKDAY(A327,3)&gt;4,0,(IF(A327&lt;K$2,0,IF(A327&lt;=K$3,1,0))))</f>
        <v>0</v>
      </c>
      <c r="L327" s="112" t="n">
        <f aca="false">J327*K327</f>
        <v>0</v>
      </c>
      <c r="M327" s="112" t="n">
        <f aca="false">SUM(J$280:J327)</f>
        <v>0</v>
      </c>
      <c r="N327" s="112" t="n">
        <f aca="false">SUM(J$6:J327)</f>
        <v>558924.665417804</v>
      </c>
      <c r="P327" s="112" t="n">
        <f aca="false">D327/P$3</f>
        <v>0</v>
      </c>
      <c r="Q327" s="112" t="n">
        <f aca="false">E327/P$3</f>
        <v>0</v>
      </c>
      <c r="R327" s="112" t="n">
        <f aca="false">F327/R$3</f>
        <v>0</v>
      </c>
      <c r="S327" s="114" t="n">
        <f aca="false">J327/$R$3</f>
        <v>0</v>
      </c>
      <c r="T327" s="114" t="n">
        <f aca="false">L327/$R$3</f>
        <v>0</v>
      </c>
      <c r="U327" s="114" t="n">
        <f aca="false">I327/$R$3</f>
        <v>0</v>
      </c>
      <c r="V327" s="114" t="n">
        <f aca="false">M327/$R$3</f>
        <v>0</v>
      </c>
      <c r="W327" s="114" t="n">
        <f aca="false">N327/$R$3</f>
        <v>558.924665417804</v>
      </c>
    </row>
    <row r="328" customFormat="false" ht="12.75" hidden="false" customHeight="false" outlineLevel="0" collapsed="false">
      <c r="A328" s="108" t="n">
        <f aca="false">A327+1</f>
        <v>37214</v>
      </c>
      <c r="B328" s="119" t="str">
        <f aca="false">INDEX('Master Data'!$A$2:$B$8,MATCH(WEEKDAY('EZE Power Trading'!A328,3),'Master Data'!$A$2:$A$8,0),2)</f>
        <v>M</v>
      </c>
      <c r="D328" s="112" t="n">
        <v>0</v>
      </c>
      <c r="E328" s="112" t="n">
        <v>0</v>
      </c>
      <c r="F328" s="112" t="n">
        <v>0</v>
      </c>
      <c r="G328" s="112" t="n">
        <v>0</v>
      </c>
      <c r="I328" s="112" t="n">
        <f aca="false">IF(MONTH($A328)=MONTH($A327),IF(G328=0,I327,G328),G328)</f>
        <v>0</v>
      </c>
      <c r="J328" s="112" t="n">
        <f aca="false">IF(MONTH($A328)=MONTH($A327),SUM(I328-I327),I328)</f>
        <v>0</v>
      </c>
      <c r="K328" s="112" t="n">
        <f aca="false">IF(WEEKDAY(A328,3)&gt;4,0,(IF(A328&lt;K$2,0,IF(A328&lt;=K$3,1,0))))</f>
        <v>0</v>
      </c>
      <c r="L328" s="112" t="n">
        <f aca="false">J328*K328</f>
        <v>0</v>
      </c>
      <c r="M328" s="112" t="n">
        <f aca="false">SUM(J$280:J328)</f>
        <v>0</v>
      </c>
      <c r="N328" s="112" t="n">
        <f aca="false">SUM(J$6:J328)</f>
        <v>558924.665417804</v>
      </c>
      <c r="P328" s="112" t="n">
        <f aca="false">D328/P$3</f>
        <v>0</v>
      </c>
      <c r="Q328" s="112" t="n">
        <f aca="false">E328/P$3</f>
        <v>0</v>
      </c>
      <c r="R328" s="112" t="n">
        <f aca="false">F328/R$3</f>
        <v>0</v>
      </c>
      <c r="S328" s="114" t="n">
        <f aca="false">J328/$R$3</f>
        <v>0</v>
      </c>
      <c r="T328" s="114" t="n">
        <f aca="false">L328/$R$3</f>
        <v>0</v>
      </c>
      <c r="U328" s="114" t="n">
        <f aca="false">I328/$R$3</f>
        <v>0</v>
      </c>
      <c r="V328" s="114" t="n">
        <f aca="false">M328/$R$3</f>
        <v>0</v>
      </c>
      <c r="W328" s="114" t="n">
        <f aca="false">N328/$R$3</f>
        <v>558.924665417804</v>
      </c>
    </row>
    <row r="329" customFormat="false" ht="12.75" hidden="false" customHeight="false" outlineLevel="0" collapsed="false">
      <c r="A329" s="108" t="n">
        <f aca="false">A328+1</f>
        <v>37215</v>
      </c>
      <c r="B329" s="119" t="str">
        <f aca="false">INDEX('Master Data'!$A$2:$B$8,MATCH(WEEKDAY('EZE Power Trading'!A329,3),'Master Data'!$A$2:$A$8,0),2)</f>
        <v>T</v>
      </c>
      <c r="D329" s="112" t="n">
        <v>0</v>
      </c>
      <c r="E329" s="112" t="n">
        <v>0</v>
      </c>
      <c r="F329" s="112" t="n">
        <v>0</v>
      </c>
      <c r="G329" s="112" t="n">
        <v>0</v>
      </c>
      <c r="I329" s="112" t="n">
        <f aca="false">IF(MONTH($A329)=MONTH($A328),IF(G329=0,I328,G329),G329)</f>
        <v>0</v>
      </c>
      <c r="J329" s="112" t="n">
        <f aca="false">IF(MONTH($A329)=MONTH($A328),SUM(I329-I328),I329)</f>
        <v>0</v>
      </c>
      <c r="K329" s="112" t="n">
        <f aca="false">IF(WEEKDAY(A329,3)&gt;4,0,(IF(A329&lt;K$2,0,IF(A329&lt;=K$3,1,0))))</f>
        <v>0</v>
      </c>
      <c r="L329" s="112" t="n">
        <f aca="false">J329*K329</f>
        <v>0</v>
      </c>
      <c r="M329" s="112" t="n">
        <f aca="false">SUM(J$280:J329)</f>
        <v>0</v>
      </c>
      <c r="N329" s="112" t="n">
        <f aca="false">SUM(J$6:J329)</f>
        <v>558924.665417804</v>
      </c>
      <c r="P329" s="112" t="n">
        <f aca="false">D329/P$3</f>
        <v>0</v>
      </c>
      <c r="Q329" s="112" t="n">
        <f aca="false">E329/P$3</f>
        <v>0</v>
      </c>
      <c r="R329" s="112" t="n">
        <f aca="false">F329/R$3</f>
        <v>0</v>
      </c>
      <c r="S329" s="114" t="n">
        <f aca="false">J329/$R$3</f>
        <v>0</v>
      </c>
      <c r="T329" s="114" t="n">
        <f aca="false">L329/$R$3</f>
        <v>0</v>
      </c>
      <c r="U329" s="114" t="n">
        <f aca="false">I329/$R$3</f>
        <v>0</v>
      </c>
      <c r="V329" s="114" t="n">
        <f aca="false">M329/$R$3</f>
        <v>0</v>
      </c>
      <c r="W329" s="114" t="n">
        <f aca="false">N329/$R$3</f>
        <v>558.924665417804</v>
      </c>
    </row>
    <row r="330" customFormat="false" ht="12.75" hidden="false" customHeight="false" outlineLevel="0" collapsed="false">
      <c r="A330" s="108" t="n">
        <f aca="false">A329+1</f>
        <v>37216</v>
      </c>
      <c r="B330" s="119" t="str">
        <f aca="false">INDEX('Master Data'!$A$2:$B$8,MATCH(WEEKDAY('EZE Power Trading'!A330,3),'Master Data'!$A$2:$A$8,0),2)</f>
        <v>W</v>
      </c>
      <c r="D330" s="112" t="n">
        <v>0</v>
      </c>
      <c r="E330" s="112" t="n">
        <v>0</v>
      </c>
      <c r="F330" s="112" t="n">
        <v>0</v>
      </c>
      <c r="G330" s="112" t="n">
        <v>0</v>
      </c>
      <c r="I330" s="112" t="n">
        <f aca="false">IF(MONTH($A330)=MONTH($A329),IF(G330=0,I329,G330),G330)</f>
        <v>0</v>
      </c>
      <c r="J330" s="112" t="n">
        <f aca="false">IF(MONTH($A330)=MONTH($A329),SUM(I330-I329),I330)</f>
        <v>0</v>
      </c>
      <c r="K330" s="112" t="n">
        <f aca="false">IF(WEEKDAY(A330,3)&gt;4,0,(IF(A330&lt;K$2,0,IF(A330&lt;=K$3,1,0))))</f>
        <v>0</v>
      </c>
      <c r="L330" s="112" t="n">
        <f aca="false">J330*K330</f>
        <v>0</v>
      </c>
      <c r="M330" s="112" t="n">
        <f aca="false">SUM(J$280:J330)</f>
        <v>0</v>
      </c>
      <c r="N330" s="112" t="n">
        <f aca="false">SUM(J$6:J330)</f>
        <v>558924.665417804</v>
      </c>
      <c r="P330" s="112" t="n">
        <f aca="false">D330/P$3</f>
        <v>0</v>
      </c>
      <c r="Q330" s="112" t="n">
        <f aca="false">E330/P$3</f>
        <v>0</v>
      </c>
      <c r="R330" s="112" t="n">
        <f aca="false">F330/R$3</f>
        <v>0</v>
      </c>
      <c r="S330" s="114" t="n">
        <f aca="false">J330/$R$3</f>
        <v>0</v>
      </c>
      <c r="T330" s="114" t="n">
        <f aca="false">L330/$R$3</f>
        <v>0</v>
      </c>
      <c r="U330" s="114" t="n">
        <f aca="false">I330/$R$3</f>
        <v>0</v>
      </c>
      <c r="V330" s="114" t="n">
        <f aca="false">M330/$R$3</f>
        <v>0</v>
      </c>
      <c r="W330" s="114" t="n">
        <f aca="false">N330/$R$3</f>
        <v>558.924665417804</v>
      </c>
    </row>
    <row r="331" customFormat="false" ht="12.75" hidden="false" customHeight="false" outlineLevel="0" collapsed="false">
      <c r="A331" s="108" t="n">
        <f aca="false">A330+1</f>
        <v>37217</v>
      </c>
      <c r="B331" s="119" t="str">
        <f aca="false">INDEX('Master Data'!$A$2:$B$8,MATCH(WEEKDAY('EZE Power Trading'!A331,3),'Master Data'!$A$2:$A$8,0),2)</f>
        <v>Th</v>
      </c>
      <c r="D331" s="112" t="n">
        <v>0</v>
      </c>
      <c r="E331" s="112" t="n">
        <v>0</v>
      </c>
      <c r="F331" s="112" t="n">
        <v>0</v>
      </c>
      <c r="G331" s="112" t="n">
        <v>0</v>
      </c>
      <c r="I331" s="112" t="n">
        <f aca="false">IF(MONTH($A331)=MONTH($A330),IF(G331=0,I330,G331),G331)</f>
        <v>0</v>
      </c>
      <c r="J331" s="112" t="n">
        <f aca="false">IF(MONTH($A331)=MONTH($A330),SUM(I331-I330),I331)</f>
        <v>0</v>
      </c>
      <c r="K331" s="112" t="n">
        <f aca="false">IF(WEEKDAY(A331,3)&gt;4,0,(IF(A331&lt;K$2,0,IF(A331&lt;=K$3,1,0))))</f>
        <v>0</v>
      </c>
      <c r="L331" s="112" t="n">
        <f aca="false">J331*K331</f>
        <v>0</v>
      </c>
      <c r="M331" s="112" t="n">
        <f aca="false">SUM(J$280:J331)</f>
        <v>0</v>
      </c>
      <c r="N331" s="112" t="n">
        <f aca="false">SUM(J$6:J331)</f>
        <v>558924.665417804</v>
      </c>
      <c r="P331" s="112" t="n">
        <f aca="false">D331/P$3</f>
        <v>0</v>
      </c>
      <c r="Q331" s="112" t="n">
        <f aca="false">E331/P$3</f>
        <v>0</v>
      </c>
      <c r="R331" s="112" t="n">
        <f aca="false">F331/R$3</f>
        <v>0</v>
      </c>
      <c r="S331" s="114" t="n">
        <f aca="false">J331/$R$3</f>
        <v>0</v>
      </c>
      <c r="T331" s="114" t="n">
        <f aca="false">L331/$R$3</f>
        <v>0</v>
      </c>
      <c r="U331" s="114" t="n">
        <f aca="false">I331/$R$3</f>
        <v>0</v>
      </c>
      <c r="V331" s="114" t="n">
        <f aca="false">M331/$R$3</f>
        <v>0</v>
      </c>
      <c r="W331" s="114" t="n">
        <f aca="false">N331/$R$3</f>
        <v>558.924665417804</v>
      </c>
    </row>
    <row r="332" customFormat="false" ht="12.75" hidden="false" customHeight="false" outlineLevel="0" collapsed="false">
      <c r="A332" s="108" t="n">
        <f aca="false">A331+1</f>
        <v>37218</v>
      </c>
      <c r="B332" s="119" t="str">
        <f aca="false">INDEX('Master Data'!$A$2:$B$8,MATCH(WEEKDAY('EZE Power Trading'!A332,3),'Master Data'!$A$2:$A$8,0),2)</f>
        <v>F</v>
      </c>
      <c r="D332" s="112" t="n">
        <v>0</v>
      </c>
      <c r="E332" s="112" t="n">
        <v>0</v>
      </c>
      <c r="F332" s="112" t="n">
        <v>0</v>
      </c>
      <c r="G332" s="112" t="n">
        <v>0</v>
      </c>
      <c r="I332" s="112" t="n">
        <f aca="false">IF(MONTH($A332)=MONTH($A331),IF(G332=0,I331,G332),G332)</f>
        <v>0</v>
      </c>
      <c r="J332" s="112" t="n">
        <f aca="false">IF(MONTH($A332)=MONTH($A331),SUM(I332-I331),I332)</f>
        <v>0</v>
      </c>
      <c r="K332" s="112" t="n">
        <f aca="false">IF(WEEKDAY(A332,3)&gt;4,0,(IF(A332&lt;K$2,0,IF(A332&lt;=K$3,1,0))))</f>
        <v>0</v>
      </c>
      <c r="L332" s="112" t="n">
        <f aca="false">J332*K332</f>
        <v>0</v>
      </c>
      <c r="M332" s="112" t="n">
        <f aca="false">SUM(J$280:J332)</f>
        <v>0</v>
      </c>
      <c r="N332" s="112" t="n">
        <f aca="false">SUM(J$6:J332)</f>
        <v>558924.665417804</v>
      </c>
      <c r="P332" s="112" t="n">
        <f aca="false">D332/P$3</f>
        <v>0</v>
      </c>
      <c r="Q332" s="112" t="n">
        <f aca="false">E332/P$3</f>
        <v>0</v>
      </c>
      <c r="R332" s="112" t="n">
        <f aca="false">F332/R$3</f>
        <v>0</v>
      </c>
      <c r="S332" s="114" t="n">
        <f aca="false">J332/$R$3</f>
        <v>0</v>
      </c>
      <c r="T332" s="114" t="n">
        <f aca="false">L332/$R$3</f>
        <v>0</v>
      </c>
      <c r="U332" s="114" t="n">
        <f aca="false">I332/$R$3</f>
        <v>0</v>
      </c>
      <c r="V332" s="114" t="n">
        <f aca="false">M332/$R$3</f>
        <v>0</v>
      </c>
      <c r="W332" s="114" t="n">
        <f aca="false">N332/$R$3</f>
        <v>558.924665417804</v>
      </c>
    </row>
    <row r="333" customFormat="false" ht="12.75" hidden="false" customHeight="false" outlineLevel="0" collapsed="false">
      <c r="A333" s="108" t="n">
        <f aca="false">A332+1</f>
        <v>37219</v>
      </c>
      <c r="B333" s="119" t="str">
        <f aca="false">INDEX('Master Data'!$A$2:$B$8,MATCH(WEEKDAY('EZE Power Trading'!A333,3),'Master Data'!$A$2:$A$8,0),2)</f>
        <v>Sa</v>
      </c>
      <c r="D333" s="112" t="n">
        <v>0</v>
      </c>
      <c r="E333" s="112" t="n">
        <v>0</v>
      </c>
      <c r="F333" s="112" t="n">
        <v>0</v>
      </c>
      <c r="G333" s="112" t="n">
        <v>0</v>
      </c>
      <c r="I333" s="112" t="n">
        <f aca="false">IF(MONTH($A333)=MONTH($A332),IF(G333=0,I332,G333),G333)</f>
        <v>0</v>
      </c>
      <c r="J333" s="112" t="n">
        <f aca="false">IF(MONTH($A333)=MONTH($A332),SUM(I333-I332),I333)</f>
        <v>0</v>
      </c>
      <c r="K333" s="112" t="n">
        <f aca="false">IF(WEEKDAY(A333,3)&gt;4,0,(IF(A333&lt;K$2,0,IF(A333&lt;=K$3,1,0))))</f>
        <v>0</v>
      </c>
      <c r="L333" s="112" t="n">
        <f aca="false">J333*K333</f>
        <v>0</v>
      </c>
      <c r="M333" s="112" t="n">
        <f aca="false">SUM(J$280:J333)</f>
        <v>0</v>
      </c>
      <c r="N333" s="112" t="n">
        <f aca="false">SUM(J$6:J333)</f>
        <v>558924.665417804</v>
      </c>
      <c r="P333" s="112" t="n">
        <f aca="false">D333/P$3</f>
        <v>0</v>
      </c>
      <c r="Q333" s="112" t="n">
        <f aca="false">E333/P$3</f>
        <v>0</v>
      </c>
      <c r="R333" s="112" t="n">
        <f aca="false">F333/R$3</f>
        <v>0</v>
      </c>
      <c r="S333" s="114" t="n">
        <f aca="false">J333/$R$3</f>
        <v>0</v>
      </c>
      <c r="T333" s="114" t="n">
        <f aca="false">L333/$R$3</f>
        <v>0</v>
      </c>
      <c r="U333" s="114" t="n">
        <f aca="false">I333/$R$3</f>
        <v>0</v>
      </c>
      <c r="V333" s="114" t="n">
        <f aca="false">M333/$R$3</f>
        <v>0</v>
      </c>
      <c r="W333" s="114" t="n">
        <f aca="false">N333/$R$3</f>
        <v>558.924665417804</v>
      </c>
    </row>
    <row r="334" customFormat="false" ht="12.75" hidden="false" customHeight="false" outlineLevel="0" collapsed="false">
      <c r="A334" s="108" t="n">
        <f aca="false">A333+1</f>
        <v>37220</v>
      </c>
      <c r="B334" s="119" t="str">
        <f aca="false">INDEX('Master Data'!$A$2:$B$8,MATCH(WEEKDAY('EZE Power Trading'!A334,3),'Master Data'!$A$2:$A$8,0),2)</f>
        <v>Su</v>
      </c>
      <c r="D334" s="112" t="n">
        <v>0</v>
      </c>
      <c r="E334" s="112" t="n">
        <v>0</v>
      </c>
      <c r="F334" s="112" t="n">
        <v>0</v>
      </c>
      <c r="G334" s="112" t="n">
        <v>0</v>
      </c>
      <c r="I334" s="112" t="n">
        <f aca="false">IF(MONTH($A334)=MONTH($A333),IF(G334=0,I333,G334),G334)</f>
        <v>0</v>
      </c>
      <c r="J334" s="112" t="n">
        <f aca="false">IF(MONTH($A334)=MONTH($A333),SUM(I334-I333),I334)</f>
        <v>0</v>
      </c>
      <c r="K334" s="112" t="n">
        <f aca="false">IF(WEEKDAY(A334,3)&gt;4,0,(IF(A334&lt;K$2,0,IF(A334&lt;=K$3,1,0))))</f>
        <v>0</v>
      </c>
      <c r="L334" s="112" t="n">
        <f aca="false">J334*K334</f>
        <v>0</v>
      </c>
      <c r="M334" s="112" t="n">
        <f aca="false">SUM(J$280:J334)</f>
        <v>0</v>
      </c>
      <c r="N334" s="112" t="n">
        <f aca="false">SUM(J$6:J334)</f>
        <v>558924.665417804</v>
      </c>
      <c r="P334" s="112" t="n">
        <f aca="false">D334/P$3</f>
        <v>0</v>
      </c>
      <c r="Q334" s="112" t="n">
        <f aca="false">E334/P$3</f>
        <v>0</v>
      </c>
      <c r="R334" s="112" t="n">
        <f aca="false">F334/R$3</f>
        <v>0</v>
      </c>
      <c r="S334" s="114" t="n">
        <f aca="false">J334/$R$3</f>
        <v>0</v>
      </c>
      <c r="T334" s="114" t="n">
        <f aca="false">L334/$R$3</f>
        <v>0</v>
      </c>
      <c r="U334" s="114" t="n">
        <f aca="false">I334/$R$3</f>
        <v>0</v>
      </c>
      <c r="V334" s="114" t="n">
        <f aca="false">M334/$R$3</f>
        <v>0</v>
      </c>
      <c r="W334" s="114" t="n">
        <f aca="false">N334/$R$3</f>
        <v>558.924665417804</v>
      </c>
    </row>
    <row r="335" customFormat="false" ht="12.75" hidden="false" customHeight="false" outlineLevel="0" collapsed="false">
      <c r="A335" s="108" t="n">
        <f aca="false">A334+1</f>
        <v>37221</v>
      </c>
      <c r="B335" s="119" t="str">
        <f aca="false">INDEX('Master Data'!$A$2:$B$8,MATCH(WEEKDAY('EZE Power Trading'!A335,3),'Master Data'!$A$2:$A$8,0),2)</f>
        <v>M</v>
      </c>
      <c r="D335" s="112" t="n">
        <v>0</v>
      </c>
      <c r="E335" s="112" t="n">
        <v>0</v>
      </c>
      <c r="F335" s="112" t="n">
        <v>0</v>
      </c>
      <c r="G335" s="112" t="n">
        <v>0</v>
      </c>
      <c r="I335" s="112" t="n">
        <f aca="false">IF(MONTH($A335)=MONTH($A334),IF(G335=0,I334,G335),G335)</f>
        <v>0</v>
      </c>
      <c r="J335" s="112" t="n">
        <f aca="false">IF(MONTH($A335)=MONTH($A334),SUM(I335-I334),I335)</f>
        <v>0</v>
      </c>
      <c r="K335" s="112" t="n">
        <f aca="false">IF(WEEKDAY(A335,3)&gt;4,0,(IF(A335&lt;K$2,0,IF(A335&lt;=K$3,1,0))))</f>
        <v>0</v>
      </c>
      <c r="L335" s="112" t="n">
        <f aca="false">J335*K335</f>
        <v>0</v>
      </c>
      <c r="M335" s="112" t="n">
        <f aca="false">SUM(J$280:J335)</f>
        <v>0</v>
      </c>
      <c r="N335" s="112" t="n">
        <f aca="false">SUM(J$6:J335)</f>
        <v>558924.665417804</v>
      </c>
      <c r="P335" s="112" t="n">
        <f aca="false">D335/P$3</f>
        <v>0</v>
      </c>
      <c r="Q335" s="112" t="n">
        <f aca="false">E335/P$3</f>
        <v>0</v>
      </c>
      <c r="R335" s="112" t="n">
        <f aca="false">F335/R$3</f>
        <v>0</v>
      </c>
      <c r="S335" s="114" t="n">
        <f aca="false">J335/$R$3</f>
        <v>0</v>
      </c>
      <c r="T335" s="114" t="n">
        <f aca="false">L335/$R$3</f>
        <v>0</v>
      </c>
      <c r="U335" s="114" t="n">
        <f aca="false">I335/$R$3</f>
        <v>0</v>
      </c>
      <c r="V335" s="114" t="n">
        <f aca="false">M335/$R$3</f>
        <v>0</v>
      </c>
      <c r="W335" s="114" t="n">
        <f aca="false">N335/$R$3</f>
        <v>558.924665417804</v>
      </c>
    </row>
    <row r="336" customFormat="false" ht="12.75" hidden="false" customHeight="false" outlineLevel="0" collapsed="false">
      <c r="A336" s="108" t="n">
        <f aca="false">A335+1</f>
        <v>37222</v>
      </c>
      <c r="B336" s="119" t="str">
        <f aca="false">INDEX('Master Data'!$A$2:$B$8,MATCH(WEEKDAY('EZE Power Trading'!A336,3),'Master Data'!$A$2:$A$8,0),2)</f>
        <v>T</v>
      </c>
      <c r="D336" s="112" t="n">
        <v>0</v>
      </c>
      <c r="E336" s="112" t="n">
        <v>0</v>
      </c>
      <c r="F336" s="112" t="n">
        <v>0</v>
      </c>
      <c r="G336" s="112" t="n">
        <v>0</v>
      </c>
      <c r="I336" s="112" t="n">
        <f aca="false">IF(MONTH($A336)=MONTH($A335),IF(G336=0,I335,G336),G336)</f>
        <v>0</v>
      </c>
      <c r="J336" s="112" t="n">
        <f aca="false">IF(MONTH($A336)=MONTH($A335),SUM(I336-I335),I336)</f>
        <v>0</v>
      </c>
      <c r="K336" s="112" t="n">
        <f aca="false">IF(WEEKDAY(A336,3)&gt;4,0,(IF(A336&lt;K$2,0,IF(A336&lt;=K$3,1,0))))</f>
        <v>0</v>
      </c>
      <c r="L336" s="112" t="n">
        <f aca="false">J336*K336</f>
        <v>0</v>
      </c>
      <c r="M336" s="112" t="n">
        <f aca="false">SUM(J$280:J336)</f>
        <v>0</v>
      </c>
      <c r="N336" s="112" t="n">
        <f aca="false">SUM(J$6:J336)</f>
        <v>558924.665417804</v>
      </c>
      <c r="P336" s="112" t="n">
        <f aca="false">D336/P$3</f>
        <v>0</v>
      </c>
      <c r="Q336" s="112" t="n">
        <f aca="false">E336/P$3</f>
        <v>0</v>
      </c>
      <c r="R336" s="112" t="n">
        <f aca="false">F336/R$3</f>
        <v>0</v>
      </c>
      <c r="S336" s="114" t="n">
        <f aca="false">J336/$R$3</f>
        <v>0</v>
      </c>
      <c r="T336" s="114" t="n">
        <f aca="false">L336/$R$3</f>
        <v>0</v>
      </c>
      <c r="U336" s="114" t="n">
        <f aca="false">I336/$R$3</f>
        <v>0</v>
      </c>
      <c r="V336" s="114" t="n">
        <f aca="false">M336/$R$3</f>
        <v>0</v>
      </c>
      <c r="W336" s="114" t="n">
        <f aca="false">N336/$R$3</f>
        <v>558.924665417804</v>
      </c>
    </row>
    <row r="337" customFormat="false" ht="12.75" hidden="false" customHeight="false" outlineLevel="0" collapsed="false">
      <c r="A337" s="108" t="n">
        <f aca="false">A336+1</f>
        <v>37223</v>
      </c>
      <c r="B337" s="119" t="str">
        <f aca="false">INDEX('Master Data'!$A$2:$B$8,MATCH(WEEKDAY('EZE Power Trading'!A337,3),'Master Data'!$A$2:$A$8,0),2)</f>
        <v>W</v>
      </c>
      <c r="D337" s="112" t="n">
        <v>0</v>
      </c>
      <c r="E337" s="112" t="n">
        <v>0</v>
      </c>
      <c r="F337" s="112" t="n">
        <v>0</v>
      </c>
      <c r="G337" s="112" t="n">
        <v>0</v>
      </c>
      <c r="I337" s="112" t="n">
        <f aca="false">IF(MONTH($A337)=MONTH($A336),IF(G337=0,I336,G337),G337)</f>
        <v>0</v>
      </c>
      <c r="J337" s="112" t="n">
        <f aca="false">IF(MONTH($A337)=MONTH($A336),SUM(I337-I336),I337)</f>
        <v>0</v>
      </c>
      <c r="K337" s="112" t="n">
        <f aca="false">IF(WEEKDAY(A337,3)&gt;4,0,(IF(A337&lt;K$2,0,IF(A337&lt;=K$3,1,0))))</f>
        <v>0</v>
      </c>
      <c r="L337" s="112" t="n">
        <f aca="false">J337*K337</f>
        <v>0</v>
      </c>
      <c r="M337" s="112" t="n">
        <f aca="false">SUM(J$280:J337)</f>
        <v>0</v>
      </c>
      <c r="N337" s="112" t="n">
        <f aca="false">SUM(J$6:J337)</f>
        <v>558924.665417804</v>
      </c>
      <c r="P337" s="112" t="n">
        <f aca="false">D337/P$3</f>
        <v>0</v>
      </c>
      <c r="Q337" s="112" t="n">
        <f aca="false">E337/P$3</f>
        <v>0</v>
      </c>
      <c r="R337" s="112" t="n">
        <f aca="false">F337/R$3</f>
        <v>0</v>
      </c>
      <c r="S337" s="114" t="n">
        <f aca="false">J337/$R$3</f>
        <v>0</v>
      </c>
      <c r="T337" s="114" t="n">
        <f aca="false">L337/$R$3</f>
        <v>0</v>
      </c>
      <c r="U337" s="114" t="n">
        <f aca="false">I337/$R$3</f>
        <v>0</v>
      </c>
      <c r="V337" s="114" t="n">
        <f aca="false">M337/$R$3</f>
        <v>0</v>
      </c>
      <c r="W337" s="114" t="n">
        <f aca="false">N337/$R$3</f>
        <v>558.924665417804</v>
      </c>
    </row>
    <row r="338" customFormat="false" ht="12.75" hidden="false" customHeight="false" outlineLevel="0" collapsed="false">
      <c r="A338" s="108" t="n">
        <f aca="false">A337+1</f>
        <v>37224</v>
      </c>
      <c r="B338" s="119" t="str">
        <f aca="false">INDEX('Master Data'!$A$2:$B$8,MATCH(WEEKDAY('EZE Power Trading'!A338,3),'Master Data'!$A$2:$A$8,0),2)</f>
        <v>Th</v>
      </c>
      <c r="D338" s="112" t="n">
        <v>0</v>
      </c>
      <c r="E338" s="112" t="n">
        <v>0</v>
      </c>
      <c r="F338" s="112" t="n">
        <v>0</v>
      </c>
      <c r="G338" s="112" t="n">
        <v>0</v>
      </c>
      <c r="I338" s="112" t="n">
        <f aca="false">IF(MONTH($A338)=MONTH($A337),IF(G338=0,I337,G338),G338)</f>
        <v>0</v>
      </c>
      <c r="J338" s="112" t="n">
        <f aca="false">IF(MONTH($A338)=MONTH($A337),SUM(I338-I337),I338)</f>
        <v>0</v>
      </c>
      <c r="K338" s="112" t="n">
        <f aca="false">IF(WEEKDAY(A338,3)&gt;4,0,(IF(A338&lt;K$2,0,IF(A338&lt;=K$3,1,0))))</f>
        <v>0</v>
      </c>
      <c r="L338" s="112" t="n">
        <f aca="false">J338*K338</f>
        <v>0</v>
      </c>
      <c r="M338" s="112" t="n">
        <f aca="false">SUM(J$280:J338)</f>
        <v>0</v>
      </c>
      <c r="N338" s="112" t="n">
        <f aca="false">SUM(J$6:J338)</f>
        <v>558924.665417804</v>
      </c>
      <c r="P338" s="112" t="n">
        <f aca="false">D338/P$3</f>
        <v>0</v>
      </c>
      <c r="Q338" s="112" t="n">
        <f aca="false">E338/P$3</f>
        <v>0</v>
      </c>
      <c r="R338" s="112" t="n">
        <f aca="false">F338/R$3</f>
        <v>0</v>
      </c>
      <c r="S338" s="114" t="n">
        <f aca="false">J338/$R$3</f>
        <v>0</v>
      </c>
      <c r="T338" s="114" t="n">
        <f aca="false">L338/$R$3</f>
        <v>0</v>
      </c>
      <c r="U338" s="114" t="n">
        <f aca="false">I338/$R$3</f>
        <v>0</v>
      </c>
      <c r="V338" s="114" t="n">
        <f aca="false">M338/$R$3</f>
        <v>0</v>
      </c>
      <c r="W338" s="114" t="n">
        <f aca="false">N338/$R$3</f>
        <v>558.924665417804</v>
      </c>
    </row>
    <row r="339" customFormat="false" ht="12.75" hidden="false" customHeight="false" outlineLevel="0" collapsed="false">
      <c r="A339" s="108" t="n">
        <f aca="false">A338+1</f>
        <v>37225</v>
      </c>
      <c r="B339" s="119" t="str">
        <f aca="false">INDEX('Master Data'!$A$2:$B$8,MATCH(WEEKDAY('EZE Power Trading'!A339,3),'Master Data'!$A$2:$A$8,0),2)</f>
        <v>F</v>
      </c>
      <c r="D339" s="112" t="n">
        <v>0</v>
      </c>
      <c r="E339" s="112" t="n">
        <v>0</v>
      </c>
      <c r="F339" s="112" t="n">
        <v>0</v>
      </c>
      <c r="G339" s="112" t="n">
        <v>0</v>
      </c>
      <c r="I339" s="112" t="n">
        <f aca="false">IF(MONTH($A339)=MONTH($A338),IF(G339=0,I338,G339),G339)</f>
        <v>0</v>
      </c>
      <c r="J339" s="112" t="n">
        <f aca="false">IF(MONTH($A339)=MONTH($A338),SUM(I339-I338),I339)</f>
        <v>0</v>
      </c>
      <c r="K339" s="112" t="n">
        <f aca="false">IF(WEEKDAY(A339,3)&gt;4,0,(IF(A339&lt;K$2,0,IF(A339&lt;=K$3,1,0))))</f>
        <v>0</v>
      </c>
      <c r="L339" s="112" t="n">
        <f aca="false">J339*K339</f>
        <v>0</v>
      </c>
      <c r="M339" s="112" t="n">
        <f aca="false">SUM(J$280:J339)</f>
        <v>0</v>
      </c>
      <c r="N339" s="112" t="n">
        <f aca="false">SUM(J$6:J339)</f>
        <v>558924.665417804</v>
      </c>
      <c r="P339" s="112" t="n">
        <f aca="false">D339/P$3</f>
        <v>0</v>
      </c>
      <c r="Q339" s="112" t="n">
        <f aca="false">E339/P$3</f>
        <v>0</v>
      </c>
      <c r="R339" s="112" t="n">
        <f aca="false">F339/R$3</f>
        <v>0</v>
      </c>
      <c r="S339" s="114" t="n">
        <f aca="false">J339/$R$3</f>
        <v>0</v>
      </c>
      <c r="T339" s="114" t="n">
        <f aca="false">L339/$R$3</f>
        <v>0</v>
      </c>
      <c r="U339" s="114" t="n">
        <f aca="false">I339/$R$3</f>
        <v>0</v>
      </c>
      <c r="V339" s="114" t="n">
        <f aca="false">M339/$R$3</f>
        <v>0</v>
      </c>
      <c r="W339" s="114" t="n">
        <f aca="false">N339/$R$3</f>
        <v>558.924665417804</v>
      </c>
    </row>
    <row r="340" customFormat="false" ht="12.75" hidden="false" customHeight="false" outlineLevel="0" collapsed="false">
      <c r="A340" s="108" t="n">
        <f aca="false">A339+1</f>
        <v>37226</v>
      </c>
      <c r="B340" s="119" t="str">
        <f aca="false">INDEX('Master Data'!$A$2:$B$8,MATCH(WEEKDAY('EZE Power Trading'!A340,3),'Master Data'!$A$2:$A$8,0),2)</f>
        <v>Sa</v>
      </c>
      <c r="D340" s="112" t="n">
        <v>0</v>
      </c>
      <c r="E340" s="112" t="n">
        <v>0</v>
      </c>
      <c r="F340" s="112" t="n">
        <v>0</v>
      </c>
      <c r="G340" s="112" t="n">
        <v>0</v>
      </c>
      <c r="I340" s="112" t="n">
        <f aca="false">IF(MONTH($A340)=MONTH($A339),IF(G340=0,I339,G340),G340)</f>
        <v>0</v>
      </c>
      <c r="J340" s="112" t="n">
        <f aca="false">IF(MONTH($A340)=MONTH($A339),SUM(I340-I339),I340)</f>
        <v>0</v>
      </c>
      <c r="K340" s="112" t="n">
        <f aca="false">IF(WEEKDAY(A340,3)&gt;4,0,(IF(A340&lt;K$2,0,IF(A340&lt;=K$3,1,0))))</f>
        <v>0</v>
      </c>
      <c r="L340" s="112" t="n">
        <f aca="false">J340*K340</f>
        <v>0</v>
      </c>
      <c r="M340" s="112" t="n">
        <f aca="false">SUM(J$280:J340)</f>
        <v>0</v>
      </c>
      <c r="N340" s="112" t="n">
        <f aca="false">SUM(J$6:J340)</f>
        <v>558924.665417804</v>
      </c>
      <c r="P340" s="112" t="n">
        <f aca="false">D340/P$3</f>
        <v>0</v>
      </c>
      <c r="Q340" s="112" t="n">
        <f aca="false">E340/P$3</f>
        <v>0</v>
      </c>
      <c r="R340" s="112" t="n">
        <f aca="false">F340/R$3</f>
        <v>0</v>
      </c>
      <c r="S340" s="114" t="n">
        <f aca="false">J340/$R$3</f>
        <v>0</v>
      </c>
      <c r="T340" s="114" t="n">
        <f aca="false">L340/$R$3</f>
        <v>0</v>
      </c>
      <c r="U340" s="114" t="n">
        <f aca="false">I340/$R$3</f>
        <v>0</v>
      </c>
      <c r="V340" s="114" t="n">
        <f aca="false">M340/$R$3</f>
        <v>0</v>
      </c>
      <c r="W340" s="114" t="n">
        <f aca="false">N340/$R$3</f>
        <v>558.924665417804</v>
      </c>
    </row>
    <row r="341" customFormat="false" ht="12.75" hidden="false" customHeight="false" outlineLevel="0" collapsed="false">
      <c r="A341" s="108" t="n">
        <f aca="false">A340+1</f>
        <v>37227</v>
      </c>
      <c r="B341" s="119" t="str">
        <f aca="false">INDEX('Master Data'!$A$2:$B$8,MATCH(WEEKDAY('EZE Power Trading'!A341,3),'Master Data'!$A$2:$A$8,0),2)</f>
        <v>Su</v>
      </c>
      <c r="D341" s="112" t="n">
        <v>0</v>
      </c>
      <c r="E341" s="112" t="n">
        <v>0</v>
      </c>
      <c r="F341" s="112" t="n">
        <v>0</v>
      </c>
      <c r="G341" s="112" t="n">
        <v>0</v>
      </c>
      <c r="I341" s="112" t="n">
        <f aca="false">IF(MONTH($A341)=MONTH($A340),IF(G341=0,I340,G341),G341)</f>
        <v>0</v>
      </c>
      <c r="J341" s="112" t="n">
        <f aca="false">IF(MONTH($A341)=MONTH($A340),SUM(I341-I340),I341)</f>
        <v>0</v>
      </c>
      <c r="K341" s="112" t="n">
        <f aca="false">IF(WEEKDAY(A341,3)&gt;4,0,(IF(A341&lt;K$2,0,IF(A341&lt;=K$3,1,0))))</f>
        <v>0</v>
      </c>
      <c r="L341" s="112" t="n">
        <f aca="false">J341*K341</f>
        <v>0</v>
      </c>
      <c r="M341" s="112" t="n">
        <f aca="false">SUM(J$280:J341)</f>
        <v>0</v>
      </c>
      <c r="N341" s="112" t="n">
        <f aca="false">SUM(J$6:J341)</f>
        <v>558924.665417804</v>
      </c>
      <c r="P341" s="112" t="n">
        <f aca="false">D341/P$3</f>
        <v>0</v>
      </c>
      <c r="Q341" s="112" t="n">
        <f aca="false">E341/P$3</f>
        <v>0</v>
      </c>
      <c r="R341" s="112" t="n">
        <f aca="false">F341/R$3</f>
        <v>0</v>
      </c>
      <c r="S341" s="114" t="n">
        <f aca="false">J341/$R$3</f>
        <v>0</v>
      </c>
      <c r="T341" s="114" t="n">
        <f aca="false">L341/$R$3</f>
        <v>0</v>
      </c>
      <c r="U341" s="114" t="n">
        <f aca="false">I341/$R$3</f>
        <v>0</v>
      </c>
      <c r="V341" s="114" t="n">
        <f aca="false">M341/$R$3</f>
        <v>0</v>
      </c>
      <c r="W341" s="114" t="n">
        <f aca="false">N341/$R$3</f>
        <v>558.924665417804</v>
      </c>
    </row>
    <row r="342" customFormat="false" ht="12.75" hidden="false" customHeight="false" outlineLevel="0" collapsed="false">
      <c r="A342" s="108" t="n">
        <f aca="false">A341+1</f>
        <v>37228</v>
      </c>
      <c r="B342" s="119" t="str">
        <f aca="false">INDEX('Master Data'!$A$2:$B$8,MATCH(WEEKDAY('EZE Power Trading'!A342,3),'Master Data'!$A$2:$A$8,0),2)</f>
        <v>M</v>
      </c>
      <c r="D342" s="112" t="n">
        <v>0</v>
      </c>
      <c r="E342" s="112" t="n">
        <v>0</v>
      </c>
      <c r="F342" s="112" t="n">
        <v>0</v>
      </c>
      <c r="G342" s="112" t="n">
        <v>0</v>
      </c>
      <c r="I342" s="112" t="n">
        <f aca="false">IF(MONTH($A342)=MONTH($A341),IF(G342=0,I341,G342),G342)</f>
        <v>0</v>
      </c>
      <c r="J342" s="112" t="n">
        <f aca="false">IF(MONTH($A342)=MONTH($A341),SUM(I342-I341),I342)</f>
        <v>0</v>
      </c>
      <c r="K342" s="112" t="n">
        <f aca="false">IF(WEEKDAY(A342,3)&gt;4,0,(IF(A342&lt;K$2,0,IF(A342&lt;=K$3,1,0))))</f>
        <v>0</v>
      </c>
      <c r="L342" s="112" t="n">
        <f aca="false">J342*K342</f>
        <v>0</v>
      </c>
      <c r="M342" s="112" t="n">
        <f aca="false">SUM(J$280:J342)</f>
        <v>0</v>
      </c>
      <c r="N342" s="112" t="n">
        <f aca="false">SUM(J$6:J342)</f>
        <v>558924.665417804</v>
      </c>
      <c r="P342" s="112" t="n">
        <f aca="false">D342/P$3</f>
        <v>0</v>
      </c>
      <c r="Q342" s="112" t="n">
        <f aca="false">E342/P$3</f>
        <v>0</v>
      </c>
      <c r="R342" s="112" t="n">
        <f aca="false">F342/R$3</f>
        <v>0</v>
      </c>
      <c r="S342" s="114" t="n">
        <f aca="false">J342/$R$3</f>
        <v>0</v>
      </c>
      <c r="T342" s="114" t="n">
        <f aca="false">L342/$R$3</f>
        <v>0</v>
      </c>
      <c r="U342" s="114" t="n">
        <f aca="false">I342/$R$3</f>
        <v>0</v>
      </c>
      <c r="V342" s="114" t="n">
        <f aca="false">M342/$R$3</f>
        <v>0</v>
      </c>
      <c r="W342" s="114" t="n">
        <f aca="false">N342/$R$3</f>
        <v>558.924665417804</v>
      </c>
    </row>
    <row r="343" customFormat="false" ht="12.75" hidden="false" customHeight="false" outlineLevel="0" collapsed="false">
      <c r="A343" s="108" t="n">
        <f aca="false">A342+1</f>
        <v>37229</v>
      </c>
      <c r="B343" s="119" t="str">
        <f aca="false">INDEX('Master Data'!$A$2:$B$8,MATCH(WEEKDAY('EZE Power Trading'!A343,3),'Master Data'!$A$2:$A$8,0),2)</f>
        <v>T</v>
      </c>
      <c r="D343" s="112" t="n">
        <v>0</v>
      </c>
      <c r="E343" s="112" t="n">
        <v>0</v>
      </c>
      <c r="F343" s="112" t="n">
        <v>0</v>
      </c>
      <c r="G343" s="112" t="n">
        <v>0</v>
      </c>
      <c r="I343" s="112" t="n">
        <f aca="false">IF(MONTH($A343)=MONTH($A342),IF(G343=0,I342,G343),G343)</f>
        <v>0</v>
      </c>
      <c r="J343" s="112" t="n">
        <f aca="false">IF(MONTH($A343)=MONTH($A342),SUM(I343-I342),I343)</f>
        <v>0</v>
      </c>
      <c r="K343" s="112" t="n">
        <f aca="false">IF(WEEKDAY(A343,3)&gt;4,0,(IF(A343&lt;K$2,0,IF(A343&lt;=K$3,1,0))))</f>
        <v>0</v>
      </c>
      <c r="L343" s="112" t="n">
        <f aca="false">J343*K343</f>
        <v>0</v>
      </c>
      <c r="M343" s="112" t="n">
        <f aca="false">SUM(J$280:J343)</f>
        <v>0</v>
      </c>
      <c r="N343" s="112" t="n">
        <f aca="false">SUM(J$6:J343)</f>
        <v>558924.665417804</v>
      </c>
      <c r="P343" s="112" t="n">
        <f aca="false">D343/P$3</f>
        <v>0</v>
      </c>
      <c r="Q343" s="112" t="n">
        <f aca="false">E343/P$3</f>
        <v>0</v>
      </c>
      <c r="R343" s="112" t="n">
        <f aca="false">F343/R$3</f>
        <v>0</v>
      </c>
      <c r="S343" s="114" t="n">
        <f aca="false">J343/$R$3</f>
        <v>0</v>
      </c>
      <c r="T343" s="114" t="n">
        <f aca="false">L343/$R$3</f>
        <v>0</v>
      </c>
      <c r="U343" s="114" t="n">
        <f aca="false">I343/$R$3</f>
        <v>0</v>
      </c>
      <c r="V343" s="114" t="n">
        <f aca="false">M343/$R$3</f>
        <v>0</v>
      </c>
      <c r="W343" s="114" t="n">
        <f aca="false">N343/$R$3</f>
        <v>558.924665417804</v>
      </c>
    </row>
    <row r="344" customFormat="false" ht="12.75" hidden="false" customHeight="false" outlineLevel="0" collapsed="false">
      <c r="A344" s="108" t="n">
        <f aca="false">A343+1</f>
        <v>37230</v>
      </c>
      <c r="B344" s="119" t="str">
        <f aca="false">INDEX('Master Data'!$A$2:$B$8,MATCH(WEEKDAY('EZE Power Trading'!A344,3),'Master Data'!$A$2:$A$8,0),2)</f>
        <v>W</v>
      </c>
      <c r="D344" s="112" t="n">
        <v>0</v>
      </c>
      <c r="E344" s="112" t="n">
        <v>0</v>
      </c>
      <c r="F344" s="112" t="n">
        <v>0</v>
      </c>
      <c r="G344" s="112" t="n">
        <v>0</v>
      </c>
      <c r="I344" s="112" t="n">
        <f aca="false">IF(MONTH($A344)=MONTH($A343),IF(G344=0,I343,G344),G344)</f>
        <v>0</v>
      </c>
      <c r="J344" s="112" t="n">
        <f aca="false">IF(MONTH($A344)=MONTH($A343),SUM(I344-I343),I344)</f>
        <v>0</v>
      </c>
      <c r="K344" s="112" t="n">
        <f aca="false">IF(WEEKDAY(A344,3)&gt;4,0,(IF(A344&lt;K$2,0,IF(A344&lt;=K$3,1,0))))</f>
        <v>0</v>
      </c>
      <c r="L344" s="112" t="n">
        <f aca="false">J344*K344</f>
        <v>0</v>
      </c>
      <c r="M344" s="112" t="n">
        <f aca="false">SUM(J$280:J344)</f>
        <v>0</v>
      </c>
      <c r="N344" s="112" t="n">
        <f aca="false">SUM(J$6:J344)</f>
        <v>558924.665417804</v>
      </c>
      <c r="P344" s="112" t="n">
        <f aca="false">D344/P$3</f>
        <v>0</v>
      </c>
      <c r="Q344" s="112" t="n">
        <f aca="false">E344/P$3</f>
        <v>0</v>
      </c>
      <c r="R344" s="112" t="n">
        <f aca="false">F344/R$3</f>
        <v>0</v>
      </c>
      <c r="S344" s="114" t="n">
        <f aca="false">J344/$R$3</f>
        <v>0</v>
      </c>
      <c r="T344" s="114" t="n">
        <f aca="false">L344/$R$3</f>
        <v>0</v>
      </c>
      <c r="U344" s="114" t="n">
        <f aca="false">I344/$R$3</f>
        <v>0</v>
      </c>
      <c r="V344" s="114" t="n">
        <f aca="false">M344/$R$3</f>
        <v>0</v>
      </c>
      <c r="W344" s="114" t="n">
        <f aca="false">N344/$R$3</f>
        <v>558.924665417804</v>
      </c>
    </row>
    <row r="345" customFormat="false" ht="12.75" hidden="false" customHeight="false" outlineLevel="0" collapsed="false">
      <c r="A345" s="108" t="n">
        <f aca="false">A344+1</f>
        <v>37231</v>
      </c>
      <c r="B345" s="119" t="str">
        <f aca="false">INDEX('Master Data'!$A$2:$B$8,MATCH(WEEKDAY('EZE Power Trading'!A345,3),'Master Data'!$A$2:$A$8,0),2)</f>
        <v>Th</v>
      </c>
      <c r="D345" s="112" t="n">
        <v>0</v>
      </c>
      <c r="E345" s="112" t="n">
        <v>0</v>
      </c>
      <c r="F345" s="112" t="n">
        <v>0</v>
      </c>
      <c r="G345" s="112" t="n">
        <v>0</v>
      </c>
      <c r="I345" s="112" t="n">
        <f aca="false">IF(MONTH($A345)=MONTH($A344),IF(G345=0,I344,G345),G345)</f>
        <v>0</v>
      </c>
      <c r="J345" s="112" t="n">
        <f aca="false">IF(MONTH($A345)=MONTH($A344),SUM(I345-I344),I345)</f>
        <v>0</v>
      </c>
      <c r="K345" s="112" t="n">
        <f aca="false">IF(WEEKDAY(A345,3)&gt;4,0,(IF(A345&lt;K$2,0,IF(A345&lt;=K$3,1,0))))</f>
        <v>0</v>
      </c>
      <c r="L345" s="112" t="n">
        <f aca="false">J345*K345</f>
        <v>0</v>
      </c>
      <c r="M345" s="112" t="n">
        <f aca="false">SUM(J$280:J345)</f>
        <v>0</v>
      </c>
      <c r="N345" s="112" t="n">
        <f aca="false">SUM(J$6:J345)</f>
        <v>558924.665417804</v>
      </c>
      <c r="P345" s="112" t="n">
        <f aca="false">D345/P$3</f>
        <v>0</v>
      </c>
      <c r="Q345" s="112" t="n">
        <f aca="false">E345/P$3</f>
        <v>0</v>
      </c>
      <c r="R345" s="112" t="n">
        <f aca="false">F345/R$3</f>
        <v>0</v>
      </c>
      <c r="S345" s="114" t="n">
        <f aca="false">J345/$R$3</f>
        <v>0</v>
      </c>
      <c r="T345" s="114" t="n">
        <f aca="false">L345/$R$3</f>
        <v>0</v>
      </c>
      <c r="U345" s="114" t="n">
        <f aca="false">I345/$R$3</f>
        <v>0</v>
      </c>
      <c r="V345" s="114" t="n">
        <f aca="false">M345/$R$3</f>
        <v>0</v>
      </c>
      <c r="W345" s="114" t="n">
        <f aca="false">N345/$R$3</f>
        <v>558.924665417804</v>
      </c>
    </row>
    <row r="346" customFormat="false" ht="12.75" hidden="false" customHeight="false" outlineLevel="0" collapsed="false">
      <c r="A346" s="108" t="n">
        <f aca="false">A345+1</f>
        <v>37232</v>
      </c>
      <c r="B346" s="119" t="str">
        <f aca="false">INDEX('Master Data'!$A$2:$B$8,MATCH(WEEKDAY('EZE Power Trading'!A346,3),'Master Data'!$A$2:$A$8,0),2)</f>
        <v>F</v>
      </c>
      <c r="D346" s="112" t="n">
        <v>0</v>
      </c>
      <c r="E346" s="112" t="n">
        <v>0</v>
      </c>
      <c r="F346" s="112" t="n">
        <v>0</v>
      </c>
      <c r="G346" s="112" t="n">
        <v>0</v>
      </c>
      <c r="I346" s="112" t="n">
        <f aca="false">IF(MONTH($A346)=MONTH($A345),IF(G346=0,I345,G346),G346)</f>
        <v>0</v>
      </c>
      <c r="J346" s="112" t="n">
        <f aca="false">IF(MONTH($A346)=MONTH($A345),SUM(I346-I345),I346)</f>
        <v>0</v>
      </c>
      <c r="K346" s="112" t="n">
        <f aca="false">IF(WEEKDAY(A346,3)&gt;4,0,(IF(A346&lt;K$2,0,IF(A346&lt;=K$3,1,0))))</f>
        <v>0</v>
      </c>
      <c r="L346" s="112" t="n">
        <f aca="false">J346*K346</f>
        <v>0</v>
      </c>
      <c r="M346" s="112" t="n">
        <f aca="false">SUM(J$280:J346)</f>
        <v>0</v>
      </c>
      <c r="N346" s="112" t="n">
        <f aca="false">SUM(J$6:J346)</f>
        <v>558924.665417804</v>
      </c>
      <c r="P346" s="112" t="n">
        <f aca="false">D346/P$3</f>
        <v>0</v>
      </c>
      <c r="Q346" s="112" t="n">
        <f aca="false">E346/P$3</f>
        <v>0</v>
      </c>
      <c r="R346" s="112" t="n">
        <f aca="false">F346/R$3</f>
        <v>0</v>
      </c>
      <c r="S346" s="114" t="n">
        <f aca="false">J346/$R$3</f>
        <v>0</v>
      </c>
      <c r="T346" s="114" t="n">
        <f aca="false">L346/$R$3</f>
        <v>0</v>
      </c>
      <c r="U346" s="114" t="n">
        <f aca="false">I346/$R$3</f>
        <v>0</v>
      </c>
      <c r="V346" s="114" t="n">
        <f aca="false">M346/$R$3</f>
        <v>0</v>
      </c>
      <c r="W346" s="114" t="n">
        <f aca="false">N346/$R$3</f>
        <v>558.924665417804</v>
      </c>
    </row>
    <row r="347" customFormat="false" ht="12.75" hidden="false" customHeight="false" outlineLevel="0" collapsed="false">
      <c r="A347" s="108" t="n">
        <f aca="false">A346+1</f>
        <v>37233</v>
      </c>
      <c r="B347" s="119" t="str">
        <f aca="false">INDEX('Master Data'!$A$2:$B$8,MATCH(WEEKDAY('EZE Power Trading'!A347,3),'Master Data'!$A$2:$A$8,0),2)</f>
        <v>Sa</v>
      </c>
      <c r="D347" s="112" t="n">
        <v>0</v>
      </c>
      <c r="E347" s="112" t="n">
        <v>0</v>
      </c>
      <c r="F347" s="112" t="n">
        <v>0</v>
      </c>
      <c r="G347" s="112" t="n">
        <v>0</v>
      </c>
      <c r="I347" s="112" t="n">
        <f aca="false">IF(MONTH($A347)=MONTH($A346),IF(G347=0,I346,G347),G347)</f>
        <v>0</v>
      </c>
      <c r="J347" s="112" t="n">
        <f aca="false">IF(MONTH($A347)=MONTH($A346),SUM(I347-I346),I347)</f>
        <v>0</v>
      </c>
      <c r="K347" s="112" t="n">
        <f aca="false">IF(WEEKDAY(A347,3)&gt;4,0,(IF(A347&lt;K$2,0,IF(A347&lt;=K$3,1,0))))</f>
        <v>0</v>
      </c>
      <c r="L347" s="112" t="n">
        <f aca="false">J347*K347</f>
        <v>0</v>
      </c>
      <c r="M347" s="112" t="n">
        <f aca="false">SUM(J$280:J347)</f>
        <v>0</v>
      </c>
      <c r="N347" s="112" t="n">
        <f aca="false">SUM(J$6:J347)</f>
        <v>558924.665417804</v>
      </c>
      <c r="P347" s="112" t="n">
        <f aca="false">D347/P$3</f>
        <v>0</v>
      </c>
      <c r="Q347" s="112" t="n">
        <f aca="false">E347/P$3</f>
        <v>0</v>
      </c>
      <c r="R347" s="112" t="n">
        <f aca="false">F347/R$3</f>
        <v>0</v>
      </c>
      <c r="S347" s="114" t="n">
        <f aca="false">J347/$R$3</f>
        <v>0</v>
      </c>
      <c r="T347" s="114" t="n">
        <f aca="false">L347/$R$3</f>
        <v>0</v>
      </c>
      <c r="U347" s="114" t="n">
        <f aca="false">I347/$R$3</f>
        <v>0</v>
      </c>
      <c r="V347" s="114" t="n">
        <f aca="false">M347/$R$3</f>
        <v>0</v>
      </c>
      <c r="W347" s="114" t="n">
        <f aca="false">N347/$R$3</f>
        <v>558.924665417804</v>
      </c>
    </row>
    <row r="348" customFormat="false" ht="12.75" hidden="false" customHeight="false" outlineLevel="0" collapsed="false">
      <c r="A348" s="108" t="n">
        <f aca="false">A347+1</f>
        <v>37234</v>
      </c>
      <c r="B348" s="119" t="str">
        <f aca="false">INDEX('Master Data'!$A$2:$B$8,MATCH(WEEKDAY('EZE Power Trading'!A348,3),'Master Data'!$A$2:$A$8,0),2)</f>
        <v>Su</v>
      </c>
      <c r="D348" s="112" t="n">
        <v>0</v>
      </c>
      <c r="E348" s="112" t="n">
        <v>0</v>
      </c>
      <c r="F348" s="112" t="n">
        <v>0</v>
      </c>
      <c r="G348" s="112" t="n">
        <v>0</v>
      </c>
      <c r="I348" s="112" t="n">
        <f aca="false">IF(MONTH($A348)=MONTH($A347),IF(G348=0,I347,G348),G348)</f>
        <v>0</v>
      </c>
      <c r="J348" s="112" t="n">
        <f aca="false">IF(MONTH($A348)=MONTH($A347),SUM(I348-I347),I348)</f>
        <v>0</v>
      </c>
      <c r="K348" s="112" t="n">
        <f aca="false">IF(WEEKDAY(A348,3)&gt;4,0,(IF(A348&lt;K$2,0,IF(A348&lt;=K$3,1,0))))</f>
        <v>0</v>
      </c>
      <c r="L348" s="112" t="n">
        <f aca="false">J348*K348</f>
        <v>0</v>
      </c>
      <c r="M348" s="112" t="n">
        <f aca="false">SUM(J$280:J348)</f>
        <v>0</v>
      </c>
      <c r="N348" s="112" t="n">
        <f aca="false">SUM(J$6:J348)</f>
        <v>558924.665417804</v>
      </c>
      <c r="P348" s="112" t="n">
        <f aca="false">D348/P$3</f>
        <v>0</v>
      </c>
      <c r="Q348" s="112" t="n">
        <f aca="false">E348/P$3</f>
        <v>0</v>
      </c>
      <c r="R348" s="112" t="n">
        <f aca="false">F348/R$3</f>
        <v>0</v>
      </c>
      <c r="S348" s="114" t="n">
        <f aca="false">J348/$R$3</f>
        <v>0</v>
      </c>
      <c r="T348" s="114" t="n">
        <f aca="false">L348/$R$3</f>
        <v>0</v>
      </c>
      <c r="U348" s="114" t="n">
        <f aca="false">I348/$R$3</f>
        <v>0</v>
      </c>
      <c r="V348" s="114" t="n">
        <f aca="false">M348/$R$3</f>
        <v>0</v>
      </c>
      <c r="W348" s="114" t="n">
        <f aca="false">N348/$R$3</f>
        <v>558.924665417804</v>
      </c>
    </row>
    <row r="349" customFormat="false" ht="12.75" hidden="false" customHeight="false" outlineLevel="0" collapsed="false">
      <c r="A349" s="108" t="n">
        <f aca="false">A348+1</f>
        <v>37235</v>
      </c>
      <c r="B349" s="119" t="str">
        <f aca="false">INDEX('Master Data'!$A$2:$B$8,MATCH(WEEKDAY('EZE Power Trading'!A349,3),'Master Data'!$A$2:$A$8,0),2)</f>
        <v>M</v>
      </c>
      <c r="D349" s="112" t="n">
        <v>0</v>
      </c>
      <c r="E349" s="112" t="n">
        <v>0</v>
      </c>
      <c r="F349" s="112" t="n">
        <v>0</v>
      </c>
      <c r="G349" s="112" t="n">
        <v>0</v>
      </c>
      <c r="I349" s="112" t="n">
        <f aca="false">IF(MONTH($A349)=MONTH($A348),IF(G349=0,I348,G349),G349)</f>
        <v>0</v>
      </c>
      <c r="J349" s="112" t="n">
        <f aca="false">IF(MONTH($A349)=MONTH($A348),SUM(I349-I348),I349)</f>
        <v>0</v>
      </c>
      <c r="K349" s="112" t="n">
        <f aca="false">IF(WEEKDAY(A349,3)&gt;4,0,(IF(A349&lt;K$2,0,IF(A349&lt;=K$3,1,0))))</f>
        <v>0</v>
      </c>
      <c r="L349" s="112" t="n">
        <f aca="false">J349*K349</f>
        <v>0</v>
      </c>
      <c r="M349" s="112" t="n">
        <f aca="false">SUM(J$280:J349)</f>
        <v>0</v>
      </c>
      <c r="N349" s="112" t="n">
        <f aca="false">SUM(J$6:J349)</f>
        <v>558924.665417804</v>
      </c>
      <c r="P349" s="112" t="n">
        <f aca="false">D349/P$3</f>
        <v>0</v>
      </c>
      <c r="Q349" s="112" t="n">
        <f aca="false">E349/P$3</f>
        <v>0</v>
      </c>
      <c r="R349" s="112" t="n">
        <f aca="false">F349/R$3</f>
        <v>0</v>
      </c>
      <c r="S349" s="114" t="n">
        <f aca="false">J349/$R$3</f>
        <v>0</v>
      </c>
      <c r="T349" s="114" t="n">
        <f aca="false">L349/$R$3</f>
        <v>0</v>
      </c>
      <c r="U349" s="114" t="n">
        <f aca="false">I349/$R$3</f>
        <v>0</v>
      </c>
      <c r="V349" s="114" t="n">
        <f aca="false">M349/$R$3</f>
        <v>0</v>
      </c>
      <c r="W349" s="114" t="n">
        <f aca="false">N349/$R$3</f>
        <v>558.924665417804</v>
      </c>
    </row>
    <row r="350" customFormat="false" ht="12.75" hidden="false" customHeight="false" outlineLevel="0" collapsed="false">
      <c r="A350" s="108" t="n">
        <f aca="false">A349+1</f>
        <v>37236</v>
      </c>
      <c r="B350" s="119" t="str">
        <f aca="false">INDEX('Master Data'!$A$2:$B$8,MATCH(WEEKDAY('EZE Power Trading'!A350,3),'Master Data'!$A$2:$A$8,0),2)</f>
        <v>T</v>
      </c>
      <c r="D350" s="112" t="n">
        <v>0</v>
      </c>
      <c r="E350" s="112" t="n">
        <v>0</v>
      </c>
      <c r="F350" s="112" t="n">
        <v>0</v>
      </c>
      <c r="G350" s="112" t="n">
        <v>0</v>
      </c>
      <c r="I350" s="112" t="n">
        <f aca="false">IF(MONTH($A350)=MONTH($A349),IF(G350=0,I349,G350),G350)</f>
        <v>0</v>
      </c>
      <c r="J350" s="112" t="n">
        <f aca="false">IF(MONTH($A350)=MONTH($A349),SUM(I350-I349),I350)</f>
        <v>0</v>
      </c>
      <c r="K350" s="112" t="n">
        <f aca="false">IF(WEEKDAY(A350,3)&gt;4,0,(IF(A350&lt;K$2,0,IF(A350&lt;=K$3,1,0))))</f>
        <v>0</v>
      </c>
      <c r="L350" s="112" t="n">
        <f aca="false">J350*K350</f>
        <v>0</v>
      </c>
      <c r="M350" s="112" t="n">
        <f aca="false">SUM(J$280:J350)</f>
        <v>0</v>
      </c>
      <c r="N350" s="112" t="n">
        <f aca="false">SUM(J$6:J350)</f>
        <v>558924.665417804</v>
      </c>
      <c r="P350" s="112" t="n">
        <f aca="false">D350/P$3</f>
        <v>0</v>
      </c>
      <c r="Q350" s="112" t="n">
        <f aca="false">E350/P$3</f>
        <v>0</v>
      </c>
      <c r="R350" s="112" t="n">
        <f aca="false">F350/R$3</f>
        <v>0</v>
      </c>
      <c r="S350" s="114" t="n">
        <f aca="false">J350/$R$3</f>
        <v>0</v>
      </c>
      <c r="T350" s="114" t="n">
        <f aca="false">L350/$R$3</f>
        <v>0</v>
      </c>
      <c r="U350" s="114" t="n">
        <f aca="false">I350/$R$3</f>
        <v>0</v>
      </c>
      <c r="V350" s="114" t="n">
        <f aca="false">M350/$R$3</f>
        <v>0</v>
      </c>
      <c r="W350" s="114" t="n">
        <f aca="false">N350/$R$3</f>
        <v>558.924665417804</v>
      </c>
    </row>
    <row r="351" customFormat="false" ht="12.75" hidden="false" customHeight="false" outlineLevel="0" collapsed="false">
      <c r="A351" s="108" t="n">
        <f aca="false">A350+1</f>
        <v>37237</v>
      </c>
      <c r="B351" s="119" t="str">
        <f aca="false">INDEX('Master Data'!$A$2:$B$8,MATCH(WEEKDAY('EZE Power Trading'!A351,3),'Master Data'!$A$2:$A$8,0),2)</f>
        <v>W</v>
      </c>
      <c r="D351" s="112" t="n">
        <v>0</v>
      </c>
      <c r="E351" s="112" t="n">
        <v>0</v>
      </c>
      <c r="F351" s="112" t="n">
        <v>0</v>
      </c>
      <c r="G351" s="112" t="n">
        <v>0</v>
      </c>
      <c r="I351" s="112" t="n">
        <f aca="false">IF(MONTH($A351)=MONTH($A350),IF(G351=0,I350,G351),G351)</f>
        <v>0</v>
      </c>
      <c r="J351" s="112" t="n">
        <f aca="false">IF(MONTH($A351)=MONTH($A350),SUM(I351-I350),I351)</f>
        <v>0</v>
      </c>
      <c r="K351" s="112" t="n">
        <f aca="false">IF(WEEKDAY(A351,3)&gt;4,0,(IF(A351&lt;K$2,0,IF(A351&lt;=K$3,1,0))))</f>
        <v>0</v>
      </c>
      <c r="L351" s="112" t="n">
        <f aca="false">J351*K351</f>
        <v>0</v>
      </c>
      <c r="M351" s="112" t="n">
        <f aca="false">SUM(J$280:J351)</f>
        <v>0</v>
      </c>
      <c r="N351" s="112" t="n">
        <f aca="false">SUM(J$6:J351)</f>
        <v>558924.665417804</v>
      </c>
      <c r="P351" s="112" t="n">
        <f aca="false">D351/P$3</f>
        <v>0</v>
      </c>
      <c r="Q351" s="112" t="n">
        <f aca="false">E351/P$3</f>
        <v>0</v>
      </c>
      <c r="R351" s="112" t="n">
        <f aca="false">F351/R$3</f>
        <v>0</v>
      </c>
      <c r="S351" s="114" t="n">
        <f aca="false">J351/$R$3</f>
        <v>0</v>
      </c>
      <c r="T351" s="114" t="n">
        <f aca="false">L351/$R$3</f>
        <v>0</v>
      </c>
      <c r="U351" s="114" t="n">
        <f aca="false">I351/$R$3</f>
        <v>0</v>
      </c>
      <c r="V351" s="114" t="n">
        <f aca="false">M351/$R$3</f>
        <v>0</v>
      </c>
      <c r="W351" s="114" t="n">
        <f aca="false">N351/$R$3</f>
        <v>558.924665417804</v>
      </c>
    </row>
    <row r="352" customFormat="false" ht="12.75" hidden="false" customHeight="false" outlineLevel="0" collapsed="false">
      <c r="A352" s="108" t="n">
        <f aca="false">A351+1</f>
        <v>37238</v>
      </c>
      <c r="B352" s="119" t="str">
        <f aca="false">INDEX('Master Data'!$A$2:$B$8,MATCH(WEEKDAY('EZE Power Trading'!A352,3),'Master Data'!$A$2:$A$8,0),2)</f>
        <v>Th</v>
      </c>
      <c r="D352" s="112" t="n">
        <v>0</v>
      </c>
      <c r="E352" s="112" t="n">
        <v>0</v>
      </c>
      <c r="F352" s="112" t="n">
        <v>0</v>
      </c>
      <c r="G352" s="112" t="n">
        <v>0</v>
      </c>
      <c r="I352" s="112" t="n">
        <f aca="false">IF(MONTH($A352)=MONTH($A351),IF(G352=0,I351,G352),G352)</f>
        <v>0</v>
      </c>
      <c r="J352" s="112" t="n">
        <f aca="false">IF(MONTH($A352)=MONTH($A351),SUM(I352-I351),I352)</f>
        <v>0</v>
      </c>
      <c r="K352" s="112" t="n">
        <f aca="false">IF(WEEKDAY(A352,3)&gt;4,0,(IF(A352&lt;K$2,0,IF(A352&lt;=K$3,1,0))))</f>
        <v>0</v>
      </c>
      <c r="L352" s="112" t="n">
        <f aca="false">J352*K352</f>
        <v>0</v>
      </c>
      <c r="M352" s="112" t="n">
        <f aca="false">SUM(J$280:J352)</f>
        <v>0</v>
      </c>
      <c r="N352" s="112" t="n">
        <f aca="false">SUM(J$6:J352)</f>
        <v>558924.665417804</v>
      </c>
      <c r="P352" s="112" t="n">
        <f aca="false">D352/P$3</f>
        <v>0</v>
      </c>
      <c r="Q352" s="112" t="n">
        <f aca="false">E352/P$3</f>
        <v>0</v>
      </c>
      <c r="R352" s="112" t="n">
        <f aca="false">F352/R$3</f>
        <v>0</v>
      </c>
      <c r="S352" s="114" t="n">
        <f aca="false">J352/$R$3</f>
        <v>0</v>
      </c>
      <c r="T352" s="114" t="n">
        <f aca="false">L352/$R$3</f>
        <v>0</v>
      </c>
      <c r="U352" s="114" t="n">
        <f aca="false">I352/$R$3</f>
        <v>0</v>
      </c>
      <c r="V352" s="114" t="n">
        <f aca="false">M352/$R$3</f>
        <v>0</v>
      </c>
      <c r="W352" s="114" t="n">
        <f aca="false">N352/$R$3</f>
        <v>558.924665417804</v>
      </c>
    </row>
    <row r="353" customFormat="false" ht="12.75" hidden="false" customHeight="false" outlineLevel="0" collapsed="false">
      <c r="A353" s="108" t="n">
        <f aca="false">A352+1</f>
        <v>37239</v>
      </c>
      <c r="B353" s="119" t="str">
        <f aca="false">INDEX('Master Data'!$A$2:$B$8,MATCH(WEEKDAY('EZE Power Trading'!A353,3),'Master Data'!$A$2:$A$8,0),2)</f>
        <v>F</v>
      </c>
      <c r="D353" s="112" t="n">
        <v>0</v>
      </c>
      <c r="E353" s="112" t="n">
        <v>0</v>
      </c>
      <c r="F353" s="112" t="n">
        <v>0</v>
      </c>
      <c r="G353" s="112" t="n">
        <v>0</v>
      </c>
      <c r="I353" s="112" t="n">
        <f aca="false">IF(MONTH($A353)=MONTH($A352),IF(G353=0,I352,G353),G353)</f>
        <v>0</v>
      </c>
      <c r="J353" s="112" t="n">
        <f aca="false">IF(MONTH($A353)=MONTH($A352),SUM(I353-I352),I353)</f>
        <v>0</v>
      </c>
      <c r="K353" s="112" t="n">
        <f aca="false">IF(WEEKDAY(A353,3)&gt;4,0,(IF(A353&lt;K$2,0,IF(A353&lt;=K$3,1,0))))</f>
        <v>0</v>
      </c>
      <c r="L353" s="112" t="n">
        <f aca="false">J353*K353</f>
        <v>0</v>
      </c>
      <c r="M353" s="112" t="n">
        <f aca="false">SUM(J$280:J353)</f>
        <v>0</v>
      </c>
      <c r="N353" s="112" t="n">
        <f aca="false">SUM(J$6:J353)</f>
        <v>558924.665417804</v>
      </c>
      <c r="P353" s="112" t="n">
        <f aca="false">D353/P$3</f>
        <v>0</v>
      </c>
      <c r="Q353" s="112" t="n">
        <f aca="false">E353/P$3</f>
        <v>0</v>
      </c>
      <c r="R353" s="112" t="n">
        <f aca="false">F353/R$3</f>
        <v>0</v>
      </c>
      <c r="S353" s="114" t="n">
        <f aca="false">J353/$R$3</f>
        <v>0</v>
      </c>
      <c r="T353" s="114" t="n">
        <f aca="false">L353/$R$3</f>
        <v>0</v>
      </c>
      <c r="U353" s="114" t="n">
        <f aca="false">I353/$R$3</f>
        <v>0</v>
      </c>
      <c r="V353" s="114" t="n">
        <f aca="false">M353/$R$3</f>
        <v>0</v>
      </c>
      <c r="W353" s="114" t="n">
        <f aca="false">N353/$R$3</f>
        <v>558.924665417804</v>
      </c>
    </row>
    <row r="354" customFormat="false" ht="12.75" hidden="false" customHeight="false" outlineLevel="0" collapsed="false">
      <c r="A354" s="108" t="n">
        <f aca="false">A353+1</f>
        <v>37240</v>
      </c>
      <c r="B354" s="119" t="str">
        <f aca="false">INDEX('Master Data'!$A$2:$B$8,MATCH(WEEKDAY('EZE Power Trading'!A354,3),'Master Data'!$A$2:$A$8,0),2)</f>
        <v>Sa</v>
      </c>
      <c r="D354" s="112" t="n">
        <v>0</v>
      </c>
      <c r="E354" s="112" t="n">
        <v>0</v>
      </c>
      <c r="F354" s="112" t="n">
        <v>0</v>
      </c>
      <c r="G354" s="112" t="n">
        <v>0</v>
      </c>
      <c r="I354" s="112" t="n">
        <f aca="false">IF(MONTH($A354)=MONTH($A353),IF(G354=0,I353,G354),G354)</f>
        <v>0</v>
      </c>
      <c r="J354" s="112" t="n">
        <f aca="false">IF(MONTH($A354)=MONTH($A353),SUM(I354-I353),I354)</f>
        <v>0</v>
      </c>
      <c r="K354" s="112" t="n">
        <f aca="false">IF(WEEKDAY(A354,3)&gt;4,0,(IF(A354&lt;K$2,0,IF(A354&lt;=K$3,1,0))))</f>
        <v>0</v>
      </c>
      <c r="L354" s="112" t="n">
        <f aca="false">J354*K354</f>
        <v>0</v>
      </c>
      <c r="M354" s="112" t="n">
        <f aca="false">SUM(J$280:J354)</f>
        <v>0</v>
      </c>
      <c r="N354" s="112" t="n">
        <f aca="false">SUM(J$6:J354)</f>
        <v>558924.665417804</v>
      </c>
      <c r="P354" s="112" t="n">
        <f aca="false">D354/P$3</f>
        <v>0</v>
      </c>
      <c r="Q354" s="112" t="n">
        <f aca="false">E354/P$3</f>
        <v>0</v>
      </c>
      <c r="R354" s="112" t="n">
        <f aca="false">F354/R$3</f>
        <v>0</v>
      </c>
      <c r="S354" s="114" t="n">
        <f aca="false">J354/$R$3</f>
        <v>0</v>
      </c>
      <c r="T354" s="114" t="n">
        <f aca="false">L354/$R$3</f>
        <v>0</v>
      </c>
      <c r="U354" s="114" t="n">
        <f aca="false">I354/$R$3</f>
        <v>0</v>
      </c>
      <c r="V354" s="114" t="n">
        <f aca="false">M354/$R$3</f>
        <v>0</v>
      </c>
      <c r="W354" s="114" t="n">
        <f aca="false">N354/$R$3</f>
        <v>558.924665417804</v>
      </c>
    </row>
    <row r="355" customFormat="false" ht="12.75" hidden="false" customHeight="false" outlineLevel="0" collapsed="false">
      <c r="A355" s="108" t="n">
        <f aca="false">A354+1</f>
        <v>37241</v>
      </c>
      <c r="B355" s="119" t="str">
        <f aca="false">INDEX('Master Data'!$A$2:$B$8,MATCH(WEEKDAY('EZE Power Trading'!A355,3),'Master Data'!$A$2:$A$8,0),2)</f>
        <v>Su</v>
      </c>
      <c r="D355" s="112" t="n">
        <v>0</v>
      </c>
      <c r="E355" s="112" t="n">
        <v>0</v>
      </c>
      <c r="F355" s="112" t="n">
        <v>0</v>
      </c>
      <c r="G355" s="112" t="n">
        <v>0</v>
      </c>
      <c r="I355" s="112" t="n">
        <f aca="false">IF(MONTH($A355)=MONTH($A354),IF(G355=0,I354,G355),G355)</f>
        <v>0</v>
      </c>
      <c r="J355" s="112" t="n">
        <f aca="false">IF(MONTH($A355)=MONTH($A354),SUM(I355-I354),I355)</f>
        <v>0</v>
      </c>
      <c r="K355" s="112" t="n">
        <f aca="false">IF(WEEKDAY(A355,3)&gt;4,0,(IF(A355&lt;K$2,0,IF(A355&lt;=K$3,1,0))))</f>
        <v>0</v>
      </c>
      <c r="L355" s="112" t="n">
        <f aca="false">J355*K355</f>
        <v>0</v>
      </c>
      <c r="M355" s="112" t="n">
        <f aca="false">SUM(J$280:J355)</f>
        <v>0</v>
      </c>
      <c r="N355" s="112" t="n">
        <f aca="false">SUM(J$6:J355)</f>
        <v>558924.665417804</v>
      </c>
      <c r="P355" s="112" t="n">
        <f aca="false">D355/P$3</f>
        <v>0</v>
      </c>
      <c r="Q355" s="112" t="n">
        <f aca="false">E355/P$3</f>
        <v>0</v>
      </c>
      <c r="R355" s="112" t="n">
        <f aca="false">F355/R$3</f>
        <v>0</v>
      </c>
      <c r="S355" s="114" t="n">
        <f aca="false">J355/$R$3</f>
        <v>0</v>
      </c>
      <c r="T355" s="114" t="n">
        <f aca="false">L355/$R$3</f>
        <v>0</v>
      </c>
      <c r="U355" s="114" t="n">
        <f aca="false">I355/$R$3</f>
        <v>0</v>
      </c>
      <c r="V355" s="114" t="n">
        <f aca="false">M355/$R$3</f>
        <v>0</v>
      </c>
      <c r="W355" s="114" t="n">
        <f aca="false">N355/$R$3</f>
        <v>558.924665417804</v>
      </c>
    </row>
    <row r="356" customFormat="false" ht="12.75" hidden="false" customHeight="false" outlineLevel="0" collapsed="false">
      <c r="A356" s="108" t="n">
        <f aca="false">A355+1</f>
        <v>37242</v>
      </c>
      <c r="B356" s="119" t="str">
        <f aca="false">INDEX('Master Data'!$A$2:$B$8,MATCH(WEEKDAY('EZE Power Trading'!A356,3),'Master Data'!$A$2:$A$8,0),2)</f>
        <v>M</v>
      </c>
      <c r="D356" s="112" t="n">
        <v>0</v>
      </c>
      <c r="E356" s="112" t="n">
        <v>0</v>
      </c>
      <c r="F356" s="112" t="n">
        <v>0</v>
      </c>
      <c r="G356" s="112" t="n">
        <v>0</v>
      </c>
      <c r="I356" s="112" t="n">
        <f aca="false">IF(MONTH($A356)=MONTH($A355),IF(G356=0,I355,G356),G356)</f>
        <v>0</v>
      </c>
      <c r="J356" s="112" t="n">
        <f aca="false">IF(MONTH($A356)=MONTH($A355),SUM(I356-I355),I356)</f>
        <v>0</v>
      </c>
      <c r="K356" s="112" t="n">
        <f aca="false">IF(WEEKDAY(A356,3)&gt;4,0,(IF(A356&lt;K$2,0,IF(A356&lt;=K$3,1,0))))</f>
        <v>0</v>
      </c>
      <c r="L356" s="112" t="n">
        <f aca="false">J356*K356</f>
        <v>0</v>
      </c>
      <c r="M356" s="112" t="n">
        <f aca="false">SUM(J$280:J356)</f>
        <v>0</v>
      </c>
      <c r="N356" s="112" t="n">
        <f aca="false">SUM(J$6:J356)</f>
        <v>558924.665417804</v>
      </c>
      <c r="P356" s="112" t="n">
        <f aca="false">D356/P$3</f>
        <v>0</v>
      </c>
      <c r="Q356" s="112" t="n">
        <f aca="false">E356/P$3</f>
        <v>0</v>
      </c>
      <c r="R356" s="112" t="n">
        <f aca="false">F356/R$3</f>
        <v>0</v>
      </c>
      <c r="S356" s="114" t="n">
        <f aca="false">J356/$R$3</f>
        <v>0</v>
      </c>
      <c r="T356" s="114" t="n">
        <f aca="false">L356/$R$3</f>
        <v>0</v>
      </c>
      <c r="U356" s="114" t="n">
        <f aca="false">I356/$R$3</f>
        <v>0</v>
      </c>
      <c r="V356" s="114" t="n">
        <f aca="false">M356/$R$3</f>
        <v>0</v>
      </c>
      <c r="W356" s="114" t="n">
        <f aca="false">N356/$R$3</f>
        <v>558.924665417804</v>
      </c>
    </row>
    <row r="357" customFormat="false" ht="12.75" hidden="false" customHeight="false" outlineLevel="0" collapsed="false">
      <c r="A357" s="108" t="n">
        <f aca="false">A356+1</f>
        <v>37243</v>
      </c>
      <c r="B357" s="119" t="str">
        <f aca="false">INDEX('Master Data'!$A$2:$B$8,MATCH(WEEKDAY('EZE Power Trading'!A357,3),'Master Data'!$A$2:$A$8,0),2)</f>
        <v>T</v>
      </c>
      <c r="D357" s="112" t="n">
        <v>0</v>
      </c>
      <c r="E357" s="112" t="n">
        <v>0</v>
      </c>
      <c r="F357" s="112" t="n">
        <v>0</v>
      </c>
      <c r="G357" s="112" t="n">
        <v>0</v>
      </c>
      <c r="I357" s="112" t="n">
        <f aca="false">IF(MONTH($A357)=MONTH($A356),IF(G357=0,I356,G357),G357)</f>
        <v>0</v>
      </c>
      <c r="J357" s="112" t="n">
        <f aca="false">IF(MONTH($A357)=MONTH($A356),SUM(I357-I356),I357)</f>
        <v>0</v>
      </c>
      <c r="K357" s="112" t="n">
        <f aca="false">IF(WEEKDAY(A357,3)&gt;4,0,(IF(A357&lt;K$2,0,IF(A357&lt;=K$3,1,0))))</f>
        <v>0</v>
      </c>
      <c r="L357" s="112" t="n">
        <f aca="false">J357*K357</f>
        <v>0</v>
      </c>
      <c r="M357" s="112" t="n">
        <f aca="false">SUM(J$280:J357)</f>
        <v>0</v>
      </c>
      <c r="N357" s="112" t="n">
        <f aca="false">SUM(J$6:J357)</f>
        <v>558924.665417804</v>
      </c>
      <c r="P357" s="112" t="n">
        <f aca="false">D357/P$3</f>
        <v>0</v>
      </c>
      <c r="Q357" s="112" t="n">
        <f aca="false">E357/P$3</f>
        <v>0</v>
      </c>
      <c r="R357" s="112" t="n">
        <f aca="false">F357/R$3</f>
        <v>0</v>
      </c>
      <c r="S357" s="114" t="n">
        <f aca="false">J357/$R$3</f>
        <v>0</v>
      </c>
      <c r="T357" s="114" t="n">
        <f aca="false">L357/$R$3</f>
        <v>0</v>
      </c>
      <c r="U357" s="114" t="n">
        <f aca="false">I357/$R$3</f>
        <v>0</v>
      </c>
      <c r="V357" s="114" t="n">
        <f aca="false">M357/$R$3</f>
        <v>0</v>
      </c>
      <c r="W357" s="114" t="n">
        <f aca="false">N357/$R$3</f>
        <v>558.924665417804</v>
      </c>
    </row>
    <row r="358" customFormat="false" ht="12.75" hidden="false" customHeight="false" outlineLevel="0" collapsed="false">
      <c r="A358" s="108" t="n">
        <f aca="false">A357+1</f>
        <v>37244</v>
      </c>
      <c r="B358" s="119" t="str">
        <f aca="false">INDEX('Master Data'!$A$2:$B$8,MATCH(WEEKDAY('EZE Power Trading'!A358,3),'Master Data'!$A$2:$A$8,0),2)</f>
        <v>W</v>
      </c>
      <c r="D358" s="112" t="n">
        <v>0</v>
      </c>
      <c r="E358" s="112" t="n">
        <v>0</v>
      </c>
      <c r="F358" s="112" t="n">
        <v>0</v>
      </c>
      <c r="G358" s="112" t="n">
        <v>0</v>
      </c>
      <c r="I358" s="112" t="n">
        <f aca="false">IF(MONTH($A358)=MONTH($A357),IF(G358=0,I357,G358),G358)</f>
        <v>0</v>
      </c>
      <c r="J358" s="112" t="n">
        <f aca="false">IF(MONTH($A358)=MONTH($A357),SUM(I358-I357),I358)</f>
        <v>0</v>
      </c>
      <c r="K358" s="112" t="n">
        <f aca="false">IF(WEEKDAY(A358,3)&gt;4,0,(IF(A358&lt;K$2,0,IF(A358&lt;=K$3,1,0))))</f>
        <v>0</v>
      </c>
      <c r="L358" s="112" t="n">
        <f aca="false">J358*K358</f>
        <v>0</v>
      </c>
      <c r="M358" s="112" t="n">
        <f aca="false">SUM(J$280:J358)</f>
        <v>0</v>
      </c>
      <c r="N358" s="112" t="n">
        <f aca="false">SUM(J$6:J358)</f>
        <v>558924.665417804</v>
      </c>
      <c r="P358" s="112" t="n">
        <f aca="false">D358/P$3</f>
        <v>0</v>
      </c>
      <c r="Q358" s="112" t="n">
        <f aca="false">E358/P$3</f>
        <v>0</v>
      </c>
      <c r="R358" s="112" t="n">
        <f aca="false">F358/R$3</f>
        <v>0</v>
      </c>
      <c r="S358" s="114" t="n">
        <f aca="false">J358/$R$3</f>
        <v>0</v>
      </c>
      <c r="T358" s="114" t="n">
        <f aca="false">L358/$R$3</f>
        <v>0</v>
      </c>
      <c r="U358" s="114" t="n">
        <f aca="false">I358/$R$3</f>
        <v>0</v>
      </c>
      <c r="V358" s="114" t="n">
        <f aca="false">M358/$R$3</f>
        <v>0</v>
      </c>
      <c r="W358" s="114" t="n">
        <f aca="false">N358/$R$3</f>
        <v>558.924665417804</v>
      </c>
    </row>
    <row r="359" customFormat="false" ht="12.75" hidden="false" customHeight="false" outlineLevel="0" collapsed="false">
      <c r="A359" s="108" t="n">
        <f aca="false">A358+1</f>
        <v>37245</v>
      </c>
      <c r="B359" s="119" t="str">
        <f aca="false">INDEX('Master Data'!$A$2:$B$8,MATCH(WEEKDAY('EZE Power Trading'!A359,3),'Master Data'!$A$2:$A$8,0),2)</f>
        <v>Th</v>
      </c>
      <c r="D359" s="112" t="n">
        <v>0</v>
      </c>
      <c r="E359" s="112" t="n">
        <v>0</v>
      </c>
      <c r="F359" s="112" t="n">
        <v>0</v>
      </c>
      <c r="G359" s="112" t="n">
        <v>0</v>
      </c>
      <c r="I359" s="112" t="n">
        <f aca="false">IF(MONTH($A359)=MONTH($A358),IF(G359=0,I358,G359),G359)</f>
        <v>0</v>
      </c>
      <c r="J359" s="112" t="n">
        <f aca="false">IF(MONTH($A359)=MONTH($A358),SUM(I359-I358),I359)</f>
        <v>0</v>
      </c>
      <c r="K359" s="112" t="n">
        <f aca="false">IF(WEEKDAY(A359,3)&gt;4,0,(IF(A359&lt;K$2,0,IF(A359&lt;=K$3,1,0))))</f>
        <v>0</v>
      </c>
      <c r="L359" s="112" t="n">
        <f aca="false">J359*K359</f>
        <v>0</v>
      </c>
      <c r="M359" s="112" t="n">
        <f aca="false">SUM(J$280:J359)</f>
        <v>0</v>
      </c>
      <c r="N359" s="112" t="n">
        <f aca="false">SUM(J$6:J359)</f>
        <v>558924.665417804</v>
      </c>
      <c r="P359" s="112" t="n">
        <f aca="false">D359/P$3</f>
        <v>0</v>
      </c>
      <c r="Q359" s="112" t="n">
        <f aca="false">E359/P$3</f>
        <v>0</v>
      </c>
      <c r="R359" s="112" t="n">
        <f aca="false">F359/R$3</f>
        <v>0</v>
      </c>
      <c r="S359" s="114" t="n">
        <f aca="false">J359/$R$3</f>
        <v>0</v>
      </c>
      <c r="T359" s="114" t="n">
        <f aca="false">L359/$R$3</f>
        <v>0</v>
      </c>
      <c r="U359" s="114" t="n">
        <f aca="false">I359/$R$3</f>
        <v>0</v>
      </c>
      <c r="V359" s="114" t="n">
        <f aca="false">M359/$R$3</f>
        <v>0</v>
      </c>
      <c r="W359" s="114" t="n">
        <f aca="false">N359/$R$3</f>
        <v>558.924665417804</v>
      </c>
    </row>
    <row r="360" customFormat="false" ht="12.75" hidden="false" customHeight="false" outlineLevel="0" collapsed="false">
      <c r="A360" s="108" t="n">
        <f aca="false">A359+1</f>
        <v>37246</v>
      </c>
      <c r="B360" s="119" t="str">
        <f aca="false">INDEX('Master Data'!$A$2:$B$8,MATCH(WEEKDAY('EZE Power Trading'!A360,3),'Master Data'!$A$2:$A$8,0),2)</f>
        <v>F</v>
      </c>
      <c r="D360" s="112" t="n">
        <v>0</v>
      </c>
      <c r="E360" s="112" t="n">
        <v>0</v>
      </c>
      <c r="F360" s="112" t="n">
        <v>0</v>
      </c>
      <c r="G360" s="112" t="n">
        <v>0</v>
      </c>
      <c r="I360" s="112" t="n">
        <f aca="false">IF(MONTH($A360)=MONTH($A359),IF(G360=0,I359,G360),G360)</f>
        <v>0</v>
      </c>
      <c r="J360" s="112" t="n">
        <f aca="false">IF(MONTH($A360)=MONTH($A359),SUM(I360-I359),I360)</f>
        <v>0</v>
      </c>
      <c r="K360" s="112" t="n">
        <f aca="false">IF(WEEKDAY(A360,3)&gt;4,0,(IF(A360&lt;K$2,0,IF(A360&lt;=K$3,1,0))))</f>
        <v>0</v>
      </c>
      <c r="L360" s="112" t="n">
        <f aca="false">J360*K360</f>
        <v>0</v>
      </c>
      <c r="M360" s="112" t="n">
        <f aca="false">SUM(J$280:J360)</f>
        <v>0</v>
      </c>
      <c r="N360" s="112" t="n">
        <f aca="false">SUM(J$6:J360)</f>
        <v>558924.665417804</v>
      </c>
      <c r="P360" s="112" t="n">
        <f aca="false">D360/P$3</f>
        <v>0</v>
      </c>
      <c r="Q360" s="112" t="n">
        <f aca="false">E360/P$3</f>
        <v>0</v>
      </c>
      <c r="R360" s="112" t="n">
        <f aca="false">F360/R$3</f>
        <v>0</v>
      </c>
      <c r="S360" s="114" t="n">
        <f aca="false">J360/$R$3</f>
        <v>0</v>
      </c>
      <c r="T360" s="114" t="n">
        <f aca="false">L360/$R$3</f>
        <v>0</v>
      </c>
      <c r="U360" s="114" t="n">
        <f aca="false">I360/$R$3</f>
        <v>0</v>
      </c>
      <c r="V360" s="114" t="n">
        <f aca="false">M360/$R$3</f>
        <v>0</v>
      </c>
      <c r="W360" s="114" t="n">
        <f aca="false">N360/$R$3</f>
        <v>558.924665417804</v>
      </c>
    </row>
    <row r="361" customFormat="false" ht="12.75" hidden="false" customHeight="false" outlineLevel="0" collapsed="false">
      <c r="A361" s="108" t="n">
        <f aca="false">A360+1</f>
        <v>37247</v>
      </c>
      <c r="B361" s="119" t="str">
        <f aca="false">INDEX('Master Data'!$A$2:$B$8,MATCH(WEEKDAY('EZE Power Trading'!A361,3),'Master Data'!$A$2:$A$8,0),2)</f>
        <v>Sa</v>
      </c>
      <c r="D361" s="112" t="n">
        <v>0</v>
      </c>
      <c r="E361" s="112" t="n">
        <v>0</v>
      </c>
      <c r="F361" s="112" t="n">
        <v>0</v>
      </c>
      <c r="G361" s="112" t="n">
        <v>0</v>
      </c>
      <c r="I361" s="112" t="n">
        <f aca="false">IF(MONTH($A361)=MONTH($A360),IF(G361=0,I360,G361),G361)</f>
        <v>0</v>
      </c>
      <c r="J361" s="112" t="n">
        <f aca="false">IF(MONTH($A361)=MONTH($A360),SUM(I361-I360),I361)</f>
        <v>0</v>
      </c>
      <c r="K361" s="112" t="n">
        <f aca="false">IF(WEEKDAY(A361,3)&gt;4,0,(IF(A361&lt;K$2,0,IF(A361&lt;=K$3,1,0))))</f>
        <v>0</v>
      </c>
      <c r="L361" s="112" t="n">
        <f aca="false">J361*K361</f>
        <v>0</v>
      </c>
      <c r="M361" s="112" t="n">
        <f aca="false">SUM(J$280:J361)</f>
        <v>0</v>
      </c>
      <c r="N361" s="112" t="n">
        <f aca="false">SUM(J$6:J361)</f>
        <v>558924.665417804</v>
      </c>
      <c r="P361" s="112" t="n">
        <f aca="false">D361/P$3</f>
        <v>0</v>
      </c>
      <c r="Q361" s="112" t="n">
        <f aca="false">E361/P$3</f>
        <v>0</v>
      </c>
      <c r="R361" s="112" t="n">
        <f aca="false">F361/R$3</f>
        <v>0</v>
      </c>
      <c r="S361" s="114" t="n">
        <f aca="false">J361/$R$3</f>
        <v>0</v>
      </c>
      <c r="T361" s="114" t="n">
        <f aca="false">L361/$R$3</f>
        <v>0</v>
      </c>
      <c r="U361" s="114" t="n">
        <f aca="false">I361/$R$3</f>
        <v>0</v>
      </c>
      <c r="V361" s="114" t="n">
        <f aca="false">M361/$R$3</f>
        <v>0</v>
      </c>
      <c r="W361" s="114" t="n">
        <f aca="false">N361/$R$3</f>
        <v>558.924665417804</v>
      </c>
    </row>
    <row r="362" customFormat="false" ht="12.75" hidden="false" customHeight="false" outlineLevel="0" collapsed="false">
      <c r="A362" s="108" t="n">
        <f aca="false">A361+1</f>
        <v>37248</v>
      </c>
      <c r="B362" s="119" t="str">
        <f aca="false">INDEX('Master Data'!$A$2:$B$8,MATCH(WEEKDAY('EZE Power Trading'!A362,3),'Master Data'!$A$2:$A$8,0),2)</f>
        <v>Su</v>
      </c>
      <c r="D362" s="112" t="n">
        <v>0</v>
      </c>
      <c r="E362" s="112" t="n">
        <v>0</v>
      </c>
      <c r="F362" s="112" t="n">
        <v>0</v>
      </c>
      <c r="G362" s="112" t="n">
        <v>0</v>
      </c>
      <c r="I362" s="112" t="n">
        <f aca="false">IF(MONTH($A362)=MONTH($A361),IF(G362=0,I361,G362),G362)</f>
        <v>0</v>
      </c>
      <c r="J362" s="112" t="n">
        <f aca="false">IF(MONTH($A362)=MONTH($A361),SUM(I362-I361),I362)</f>
        <v>0</v>
      </c>
      <c r="K362" s="112" t="n">
        <f aca="false">IF(WEEKDAY(A362,3)&gt;4,0,(IF(A362&lt;K$2,0,IF(A362&lt;=K$3,1,0))))</f>
        <v>0</v>
      </c>
      <c r="L362" s="112" t="n">
        <f aca="false">J362*K362</f>
        <v>0</v>
      </c>
      <c r="M362" s="112" t="n">
        <f aca="false">SUM(J$280:J362)</f>
        <v>0</v>
      </c>
      <c r="N362" s="112" t="n">
        <f aca="false">SUM(J$6:J362)</f>
        <v>558924.665417804</v>
      </c>
      <c r="P362" s="112" t="n">
        <f aca="false">D362/P$3</f>
        <v>0</v>
      </c>
      <c r="Q362" s="112" t="n">
        <f aca="false">E362/P$3</f>
        <v>0</v>
      </c>
      <c r="R362" s="112" t="n">
        <f aca="false">F362/R$3</f>
        <v>0</v>
      </c>
      <c r="S362" s="114" t="n">
        <f aca="false">J362/$R$3</f>
        <v>0</v>
      </c>
      <c r="T362" s="114" t="n">
        <f aca="false">L362/$R$3</f>
        <v>0</v>
      </c>
      <c r="U362" s="114" t="n">
        <f aca="false">I362/$R$3</f>
        <v>0</v>
      </c>
      <c r="V362" s="114" t="n">
        <f aca="false">M362/$R$3</f>
        <v>0</v>
      </c>
      <c r="W362" s="114" t="n">
        <f aca="false">N362/$R$3</f>
        <v>558.924665417804</v>
      </c>
    </row>
    <row r="363" customFormat="false" ht="12.75" hidden="false" customHeight="false" outlineLevel="0" collapsed="false">
      <c r="A363" s="108" t="n">
        <f aca="false">A362+1</f>
        <v>37249</v>
      </c>
      <c r="B363" s="119" t="str">
        <f aca="false">INDEX('Master Data'!$A$2:$B$8,MATCH(WEEKDAY('EZE Power Trading'!A363,3),'Master Data'!$A$2:$A$8,0),2)</f>
        <v>M</v>
      </c>
      <c r="D363" s="112" t="n">
        <v>0</v>
      </c>
      <c r="E363" s="112" t="n">
        <v>0</v>
      </c>
      <c r="F363" s="112" t="n">
        <v>0</v>
      </c>
      <c r="G363" s="112" t="n">
        <v>0</v>
      </c>
      <c r="I363" s="112" t="n">
        <f aca="false">IF(MONTH($A363)=MONTH($A362),IF(G363=0,I362,G363),G363)</f>
        <v>0</v>
      </c>
      <c r="J363" s="112" t="n">
        <f aca="false">IF(MONTH($A363)=MONTH($A362),SUM(I363-I362),I363)</f>
        <v>0</v>
      </c>
      <c r="K363" s="112" t="n">
        <f aca="false">IF(WEEKDAY(A363,3)&gt;4,0,(IF(A363&lt;K$2,0,IF(A363&lt;=K$3,1,0))))</f>
        <v>0</v>
      </c>
      <c r="L363" s="112" t="n">
        <f aca="false">J363*K363</f>
        <v>0</v>
      </c>
      <c r="M363" s="112" t="n">
        <f aca="false">SUM(J$280:J363)</f>
        <v>0</v>
      </c>
      <c r="N363" s="112" t="n">
        <f aca="false">SUM(J$6:J363)</f>
        <v>558924.665417804</v>
      </c>
      <c r="P363" s="112" t="n">
        <f aca="false">D363/P$3</f>
        <v>0</v>
      </c>
      <c r="Q363" s="112" t="n">
        <f aca="false">E363/P$3</f>
        <v>0</v>
      </c>
      <c r="R363" s="112" t="n">
        <f aca="false">F363/R$3</f>
        <v>0</v>
      </c>
      <c r="S363" s="114" t="n">
        <f aca="false">J363/$R$3</f>
        <v>0</v>
      </c>
      <c r="T363" s="114" t="n">
        <f aca="false">L363/$R$3</f>
        <v>0</v>
      </c>
      <c r="U363" s="114" t="n">
        <f aca="false">I363/$R$3</f>
        <v>0</v>
      </c>
      <c r="V363" s="114" t="n">
        <f aca="false">M363/$R$3</f>
        <v>0</v>
      </c>
      <c r="W363" s="114" t="n">
        <f aca="false">N363/$R$3</f>
        <v>558.924665417804</v>
      </c>
    </row>
    <row r="364" customFormat="false" ht="12.75" hidden="false" customHeight="false" outlineLevel="0" collapsed="false">
      <c r="A364" s="108" t="n">
        <f aca="false">A363+1</f>
        <v>37250</v>
      </c>
      <c r="B364" s="119" t="str">
        <f aca="false">INDEX('Master Data'!$A$2:$B$8,MATCH(WEEKDAY('EZE Power Trading'!A364,3),'Master Data'!$A$2:$A$8,0),2)</f>
        <v>T</v>
      </c>
      <c r="D364" s="112" t="n">
        <v>0</v>
      </c>
      <c r="E364" s="112" t="n">
        <v>0</v>
      </c>
      <c r="F364" s="112" t="n">
        <v>0</v>
      </c>
      <c r="G364" s="112" t="n">
        <v>0</v>
      </c>
      <c r="I364" s="112" t="n">
        <f aca="false">IF(MONTH($A364)=MONTH($A363),IF(G364=0,I363,G364),G364)</f>
        <v>0</v>
      </c>
      <c r="J364" s="112" t="n">
        <f aca="false">IF(MONTH($A364)=MONTH($A363),SUM(I364-I363),I364)</f>
        <v>0</v>
      </c>
      <c r="K364" s="112" t="n">
        <f aca="false">IF(WEEKDAY(A364,3)&gt;4,0,(IF(A364&lt;K$2,0,IF(A364&lt;=K$3,1,0))))</f>
        <v>0</v>
      </c>
      <c r="L364" s="112" t="n">
        <f aca="false">J364*K364</f>
        <v>0</v>
      </c>
      <c r="M364" s="112" t="n">
        <f aca="false">SUM(J$280:J364)</f>
        <v>0</v>
      </c>
      <c r="N364" s="112" t="n">
        <f aca="false">SUM(J$6:J364)</f>
        <v>558924.665417804</v>
      </c>
      <c r="P364" s="112" t="n">
        <f aca="false">D364/P$3</f>
        <v>0</v>
      </c>
      <c r="Q364" s="112" t="n">
        <f aca="false">E364/P$3</f>
        <v>0</v>
      </c>
      <c r="R364" s="112" t="n">
        <f aca="false">F364/R$3</f>
        <v>0</v>
      </c>
      <c r="S364" s="114" t="n">
        <f aca="false">J364/$R$3</f>
        <v>0</v>
      </c>
      <c r="T364" s="114" t="n">
        <f aca="false">L364/$R$3</f>
        <v>0</v>
      </c>
      <c r="U364" s="114" t="n">
        <f aca="false">I364/$R$3</f>
        <v>0</v>
      </c>
      <c r="V364" s="114" t="n">
        <f aca="false">M364/$R$3</f>
        <v>0</v>
      </c>
      <c r="W364" s="114" t="n">
        <f aca="false">N364/$R$3</f>
        <v>558.924665417804</v>
      </c>
    </row>
    <row r="365" customFormat="false" ht="12.75" hidden="false" customHeight="false" outlineLevel="0" collapsed="false">
      <c r="A365" s="108" t="n">
        <f aca="false">A364+1</f>
        <v>37251</v>
      </c>
      <c r="B365" s="119" t="str">
        <f aca="false">INDEX('Master Data'!$A$2:$B$8,MATCH(WEEKDAY('EZE Power Trading'!A365,3),'Master Data'!$A$2:$A$8,0),2)</f>
        <v>W</v>
      </c>
      <c r="D365" s="112" t="n">
        <v>0</v>
      </c>
      <c r="E365" s="112" t="n">
        <v>0</v>
      </c>
      <c r="F365" s="112" t="n">
        <v>0</v>
      </c>
      <c r="G365" s="112" t="n">
        <v>0</v>
      </c>
      <c r="I365" s="112" t="n">
        <f aca="false">IF(MONTH($A365)=MONTH($A364),IF(G365=0,I364,G365),G365)</f>
        <v>0</v>
      </c>
      <c r="J365" s="112" t="n">
        <f aca="false">IF(MONTH($A365)=MONTH($A364),SUM(I365-I364),I365)</f>
        <v>0</v>
      </c>
      <c r="K365" s="112" t="n">
        <f aca="false">IF(WEEKDAY(A365,3)&gt;4,0,(IF(A365&lt;K$2,0,IF(A365&lt;=K$3,1,0))))</f>
        <v>0</v>
      </c>
      <c r="L365" s="112" t="n">
        <f aca="false">J365*K365</f>
        <v>0</v>
      </c>
      <c r="M365" s="112" t="n">
        <f aca="false">SUM(J$280:J365)</f>
        <v>0</v>
      </c>
      <c r="N365" s="112" t="n">
        <f aca="false">SUM(J$6:J365)</f>
        <v>558924.665417804</v>
      </c>
      <c r="P365" s="112" t="n">
        <f aca="false">D365/P$3</f>
        <v>0</v>
      </c>
      <c r="Q365" s="112" t="n">
        <f aca="false">E365/P$3</f>
        <v>0</v>
      </c>
      <c r="R365" s="112" t="n">
        <f aca="false">F365/R$3</f>
        <v>0</v>
      </c>
      <c r="S365" s="114" t="n">
        <f aca="false">J365/$R$3</f>
        <v>0</v>
      </c>
      <c r="T365" s="114" t="n">
        <f aca="false">L365/$R$3</f>
        <v>0</v>
      </c>
      <c r="U365" s="114" t="n">
        <f aca="false">I365/$R$3</f>
        <v>0</v>
      </c>
      <c r="V365" s="114" t="n">
        <f aca="false">M365/$R$3</f>
        <v>0</v>
      </c>
      <c r="W365" s="114" t="n">
        <f aca="false">N365/$R$3</f>
        <v>558.924665417804</v>
      </c>
    </row>
    <row r="366" customFormat="false" ht="12.75" hidden="false" customHeight="false" outlineLevel="0" collapsed="false">
      <c r="A366" s="108" t="n">
        <f aca="false">A365+1</f>
        <v>37252</v>
      </c>
      <c r="B366" s="119" t="str">
        <f aca="false">INDEX('Master Data'!$A$2:$B$8,MATCH(WEEKDAY('EZE Power Trading'!A366,3),'Master Data'!$A$2:$A$8,0),2)</f>
        <v>Th</v>
      </c>
      <c r="D366" s="112" t="n">
        <v>0</v>
      </c>
      <c r="E366" s="112" t="n">
        <v>0</v>
      </c>
      <c r="F366" s="112" t="n">
        <v>0</v>
      </c>
      <c r="G366" s="112" t="n">
        <v>0</v>
      </c>
      <c r="I366" s="112" t="n">
        <f aca="false">IF(MONTH($A366)=MONTH($A365),IF(G366=0,I365,G366),G366)</f>
        <v>0</v>
      </c>
      <c r="J366" s="112" t="n">
        <f aca="false">IF(MONTH($A366)=MONTH($A365),SUM(I366-I365),I366)</f>
        <v>0</v>
      </c>
      <c r="K366" s="112" t="n">
        <f aca="false">IF(WEEKDAY(A366,3)&gt;4,0,(IF(A366&lt;K$2,0,IF(A366&lt;=K$3,1,0))))</f>
        <v>0</v>
      </c>
      <c r="L366" s="112" t="n">
        <f aca="false">J366*K366</f>
        <v>0</v>
      </c>
      <c r="M366" s="112" t="n">
        <f aca="false">SUM(J$280:J366)</f>
        <v>0</v>
      </c>
      <c r="N366" s="112" t="n">
        <f aca="false">SUM(J$6:J366)</f>
        <v>558924.665417804</v>
      </c>
      <c r="P366" s="112" t="n">
        <f aca="false">D366/P$3</f>
        <v>0</v>
      </c>
      <c r="Q366" s="112" t="n">
        <f aca="false">E366/P$3</f>
        <v>0</v>
      </c>
      <c r="R366" s="112" t="n">
        <f aca="false">F366/R$3</f>
        <v>0</v>
      </c>
      <c r="S366" s="114" t="n">
        <f aca="false">J366/$R$3</f>
        <v>0</v>
      </c>
      <c r="T366" s="114" t="n">
        <f aca="false">L366/$R$3</f>
        <v>0</v>
      </c>
      <c r="U366" s="114" t="n">
        <f aca="false">I366/$R$3</f>
        <v>0</v>
      </c>
      <c r="V366" s="114" t="n">
        <f aca="false">M366/$R$3</f>
        <v>0</v>
      </c>
      <c r="W366" s="114" t="n">
        <f aca="false">N366/$R$3</f>
        <v>558.924665417804</v>
      </c>
    </row>
    <row r="367" customFormat="false" ht="12.75" hidden="false" customHeight="false" outlineLevel="0" collapsed="false">
      <c r="A367" s="108" t="n">
        <f aca="false">A366+1</f>
        <v>37253</v>
      </c>
      <c r="B367" s="119" t="str">
        <f aca="false">INDEX('Master Data'!$A$2:$B$8,MATCH(WEEKDAY('EZE Power Trading'!A367,3),'Master Data'!$A$2:$A$8,0),2)</f>
        <v>F</v>
      </c>
      <c r="D367" s="112" t="n">
        <v>0</v>
      </c>
      <c r="E367" s="112" t="n">
        <v>0</v>
      </c>
      <c r="F367" s="112" t="n">
        <v>0</v>
      </c>
      <c r="G367" s="112" t="n">
        <v>0</v>
      </c>
      <c r="I367" s="112" t="n">
        <f aca="false">IF(MONTH($A367)=MONTH($A366),IF(G367=0,I366,G367),G367)</f>
        <v>0</v>
      </c>
      <c r="J367" s="112" t="n">
        <f aca="false">IF(MONTH($A367)=MONTH($A366),SUM(I367-I366),I367)</f>
        <v>0</v>
      </c>
      <c r="K367" s="112" t="n">
        <f aca="false">IF(WEEKDAY(A367,3)&gt;4,0,(IF(A367&lt;K$2,0,IF(A367&lt;=K$3,1,0))))</f>
        <v>0</v>
      </c>
      <c r="L367" s="112" t="n">
        <f aca="false">J367*K367</f>
        <v>0</v>
      </c>
      <c r="M367" s="112" t="n">
        <f aca="false">SUM(J$280:J367)</f>
        <v>0</v>
      </c>
      <c r="N367" s="112" t="n">
        <f aca="false">SUM(J$6:J367)</f>
        <v>558924.665417804</v>
      </c>
      <c r="P367" s="112" t="n">
        <f aca="false">D367/P$3</f>
        <v>0</v>
      </c>
      <c r="Q367" s="112" t="n">
        <f aca="false">E367/P$3</f>
        <v>0</v>
      </c>
      <c r="R367" s="112" t="n">
        <f aca="false">F367/R$3</f>
        <v>0</v>
      </c>
      <c r="S367" s="114" t="n">
        <f aca="false">J367/$R$3</f>
        <v>0</v>
      </c>
      <c r="T367" s="114" t="n">
        <f aca="false">L367/$R$3</f>
        <v>0</v>
      </c>
      <c r="U367" s="114" t="n">
        <f aca="false">I367/$R$3</f>
        <v>0</v>
      </c>
      <c r="V367" s="114" t="n">
        <f aca="false">M367/$R$3</f>
        <v>0</v>
      </c>
      <c r="W367" s="114" t="n">
        <f aca="false">N367/$R$3</f>
        <v>558.924665417804</v>
      </c>
    </row>
    <row r="368" customFormat="false" ht="12.75" hidden="false" customHeight="false" outlineLevel="0" collapsed="false">
      <c r="A368" s="108" t="n">
        <f aca="false">A367+1</f>
        <v>37254</v>
      </c>
      <c r="B368" s="119" t="str">
        <f aca="false">INDEX('Master Data'!$A$2:$B$8,MATCH(WEEKDAY('EZE Power Trading'!A368,3),'Master Data'!$A$2:$A$8,0),2)</f>
        <v>Sa</v>
      </c>
      <c r="D368" s="112" t="n">
        <v>0</v>
      </c>
      <c r="E368" s="112" t="n">
        <v>0</v>
      </c>
      <c r="F368" s="112" t="n">
        <v>0</v>
      </c>
      <c r="G368" s="112" t="n">
        <v>0</v>
      </c>
      <c r="I368" s="112" t="n">
        <f aca="false">IF(MONTH($A368)=MONTH($A367),IF(G368=0,I367,G368),G368)</f>
        <v>0</v>
      </c>
      <c r="J368" s="112" t="n">
        <f aca="false">IF(MONTH($A368)=MONTH($A367),SUM(I368-I367),I368)</f>
        <v>0</v>
      </c>
      <c r="K368" s="112" t="n">
        <f aca="false">IF(WEEKDAY(A368,3)&gt;4,0,(IF(A368&lt;K$2,0,IF(A368&lt;=K$3,1,0))))</f>
        <v>0</v>
      </c>
      <c r="L368" s="112" t="n">
        <f aca="false">J368*K368</f>
        <v>0</v>
      </c>
      <c r="M368" s="112" t="n">
        <f aca="false">SUM(J$280:J368)</f>
        <v>0</v>
      </c>
      <c r="N368" s="112" t="n">
        <f aca="false">SUM(J$6:J368)</f>
        <v>558924.665417804</v>
      </c>
      <c r="P368" s="112" t="n">
        <f aca="false">D368/P$3</f>
        <v>0</v>
      </c>
      <c r="Q368" s="112" t="n">
        <f aca="false">E368/P$3</f>
        <v>0</v>
      </c>
      <c r="R368" s="112" t="n">
        <f aca="false">F368/R$3</f>
        <v>0</v>
      </c>
      <c r="S368" s="114" t="n">
        <f aca="false">J368/$R$3</f>
        <v>0</v>
      </c>
      <c r="T368" s="114" t="n">
        <f aca="false">L368/$R$3</f>
        <v>0</v>
      </c>
      <c r="U368" s="114" t="n">
        <f aca="false">I368/$R$3</f>
        <v>0</v>
      </c>
      <c r="V368" s="114" t="n">
        <f aca="false">M368/$R$3</f>
        <v>0</v>
      </c>
      <c r="W368" s="114" t="n">
        <f aca="false">N368/$R$3</f>
        <v>558.924665417804</v>
      </c>
    </row>
    <row r="369" customFormat="false" ht="12.75" hidden="false" customHeight="false" outlineLevel="0" collapsed="false">
      <c r="A369" s="108" t="n">
        <f aca="false">A368+1</f>
        <v>37255</v>
      </c>
      <c r="B369" s="119" t="str">
        <f aca="false">INDEX('Master Data'!$A$2:$B$8,MATCH(WEEKDAY('EZE Power Trading'!A369,3),'Master Data'!$A$2:$A$8,0),2)</f>
        <v>Su</v>
      </c>
      <c r="D369" s="112" t="n">
        <v>0</v>
      </c>
      <c r="E369" s="112" t="n">
        <v>0</v>
      </c>
      <c r="F369" s="112" t="n">
        <v>0</v>
      </c>
      <c r="G369" s="112" t="n">
        <v>0</v>
      </c>
      <c r="I369" s="112" t="n">
        <f aca="false">IF(MONTH($A369)=MONTH($A368),IF(G369=0,I368,G369),G369)</f>
        <v>0</v>
      </c>
      <c r="J369" s="112" t="n">
        <f aca="false">IF(MONTH($A369)=MONTH($A368),SUM(I369-I368),I369)</f>
        <v>0</v>
      </c>
      <c r="K369" s="112" t="n">
        <f aca="false">IF(WEEKDAY(A369,3)&gt;4,0,(IF(A369&lt;K$2,0,IF(A369&lt;=K$3,1,0))))</f>
        <v>0</v>
      </c>
      <c r="L369" s="112" t="n">
        <f aca="false">J369*K369</f>
        <v>0</v>
      </c>
      <c r="M369" s="112" t="n">
        <f aca="false">SUM(J$280:J369)</f>
        <v>0</v>
      </c>
      <c r="N369" s="112" t="n">
        <f aca="false">SUM(J$6:J369)</f>
        <v>558924.665417804</v>
      </c>
      <c r="P369" s="112" t="n">
        <f aca="false">D369/P$3</f>
        <v>0</v>
      </c>
      <c r="Q369" s="112" t="n">
        <f aca="false">E369/P$3</f>
        <v>0</v>
      </c>
      <c r="R369" s="112" t="n">
        <f aca="false">F369/R$3</f>
        <v>0</v>
      </c>
      <c r="S369" s="114" t="n">
        <f aca="false">J369/$R$3</f>
        <v>0</v>
      </c>
      <c r="T369" s="114" t="n">
        <f aca="false">L369/$R$3</f>
        <v>0</v>
      </c>
      <c r="U369" s="114" t="n">
        <f aca="false">I369/$R$3</f>
        <v>0</v>
      </c>
      <c r="V369" s="114" t="n">
        <f aca="false">M369/$R$3</f>
        <v>0</v>
      </c>
      <c r="W369" s="114" t="n">
        <f aca="false">N369/$R$3</f>
        <v>558.924665417804</v>
      </c>
    </row>
    <row r="370" customFormat="false" ht="12.75" hidden="false" customHeight="false" outlineLevel="0" collapsed="false">
      <c r="A370" s="108" t="n">
        <f aca="false">A369+1</f>
        <v>37256</v>
      </c>
      <c r="B370" s="119" t="str">
        <f aca="false">INDEX('Master Data'!$A$2:$B$8,MATCH(WEEKDAY('EZE Power Trading'!A370,3),'Master Data'!$A$2:$A$8,0),2)</f>
        <v>M</v>
      </c>
      <c r="D370" s="112" t="n">
        <v>0</v>
      </c>
      <c r="E370" s="112" t="n">
        <v>0</v>
      </c>
      <c r="F370" s="112" t="n">
        <v>0</v>
      </c>
      <c r="G370" s="112" t="n">
        <v>0</v>
      </c>
      <c r="I370" s="112" t="n">
        <f aca="false">IF(MONTH($A370)=MONTH($A369),IF(G370=0,I369,G370),G370)</f>
        <v>0</v>
      </c>
      <c r="J370" s="112" t="n">
        <f aca="false">IF(MONTH($A370)=MONTH($A369),SUM(I370-I369),I370)</f>
        <v>0</v>
      </c>
      <c r="K370" s="112" t="n">
        <f aca="false">IF(WEEKDAY(A370,3)&gt;4,0,(IF(A370&lt;K$2,0,IF(A370&lt;=K$3,1,0))))</f>
        <v>0</v>
      </c>
      <c r="L370" s="112" t="n">
        <f aca="false">J370*K370</f>
        <v>0</v>
      </c>
      <c r="M370" s="112" t="n">
        <f aca="false">SUM(J$280:J370)</f>
        <v>0</v>
      </c>
      <c r="N370" s="112" t="n">
        <f aca="false">SUM(J$6:J370)</f>
        <v>558924.665417804</v>
      </c>
      <c r="P370" s="112" t="n">
        <f aca="false">D370/P$3</f>
        <v>0</v>
      </c>
      <c r="Q370" s="112" t="n">
        <f aca="false">E370/P$3</f>
        <v>0</v>
      </c>
      <c r="R370" s="112" t="n">
        <f aca="false">F370/R$3</f>
        <v>0</v>
      </c>
      <c r="S370" s="114" t="n">
        <f aca="false">J370/$R$3</f>
        <v>0</v>
      </c>
      <c r="T370" s="114" t="n">
        <f aca="false">L370/$R$3</f>
        <v>0</v>
      </c>
      <c r="U370" s="114" t="n">
        <f aca="false">I370/$R$3</f>
        <v>0</v>
      </c>
      <c r="V370" s="114" t="n">
        <f aca="false">M370/$R$3</f>
        <v>0</v>
      </c>
      <c r="W370" s="114" t="n">
        <f aca="false">N370/$R$3</f>
        <v>558.924665417804</v>
      </c>
    </row>
    <row r="371" customFormat="false" ht="12.75" hidden="false" customHeight="false" outlineLevel="0" collapsed="false">
      <c r="A371" s="108" t="n">
        <f aca="false">A370+1</f>
        <v>37257</v>
      </c>
      <c r="B371" s="119" t="str">
        <f aca="false">INDEX('Master Data'!$A$2:$B$8,MATCH(WEEKDAY('EZE Power Trading'!A371,3),'Master Data'!$A$2:$A$8,0),2)</f>
        <v>T</v>
      </c>
      <c r="D371" s="112" t="n">
        <v>0</v>
      </c>
      <c r="E371" s="112" t="n">
        <v>0</v>
      </c>
      <c r="F371" s="112" t="n">
        <v>0</v>
      </c>
      <c r="G371" s="112" t="n">
        <v>0</v>
      </c>
      <c r="I371" s="112" t="n">
        <f aca="false">IF(MONTH($A371)=MONTH($A370),IF(G371=0,I370,G371),G371)</f>
        <v>0</v>
      </c>
      <c r="J371" s="112" t="n">
        <f aca="false">IF(MONTH($A371)=MONTH($A370),SUM(I371-I370),I371)</f>
        <v>0</v>
      </c>
      <c r="K371" s="112" t="n">
        <f aca="false">IF(WEEKDAY(A371,3)&gt;4,0,(IF(A371&lt;K$2,0,IF(A371&lt;=K$3,1,0))))</f>
        <v>0</v>
      </c>
      <c r="L371" s="112" t="n">
        <f aca="false">J371*K371</f>
        <v>0</v>
      </c>
      <c r="M371" s="112" t="n">
        <f aca="false">SUM(J$280:J371)</f>
        <v>0</v>
      </c>
      <c r="N371" s="112" t="n">
        <f aca="false">SUM(J$6:J371)</f>
        <v>558924.665417804</v>
      </c>
      <c r="P371" s="112" t="n">
        <f aca="false">D371/P$3</f>
        <v>0</v>
      </c>
      <c r="Q371" s="112" t="n">
        <f aca="false">E371/P$3</f>
        <v>0</v>
      </c>
      <c r="R371" s="112" t="n">
        <f aca="false">F371/R$3</f>
        <v>0</v>
      </c>
      <c r="S371" s="114" t="n">
        <f aca="false">J371/$R$3</f>
        <v>0</v>
      </c>
      <c r="T371" s="114" t="n">
        <f aca="false">L371/$R$3</f>
        <v>0</v>
      </c>
      <c r="U371" s="114" t="n">
        <f aca="false">I371/$R$3</f>
        <v>0</v>
      </c>
      <c r="V371" s="114" t="n">
        <f aca="false">M371/$R$3</f>
        <v>0</v>
      </c>
      <c r="W371" s="114" t="n">
        <f aca="false">N371/$R$3</f>
        <v>558.924665417804</v>
      </c>
    </row>
    <row r="372" customFormat="false" ht="12.75" hidden="false" customHeight="false" outlineLevel="0" collapsed="false">
      <c r="D372" s="112"/>
      <c r="E372" s="112"/>
      <c r="F372" s="112"/>
      <c r="G372" s="112"/>
    </row>
    <row r="373" customFormat="false" ht="12.75" hidden="false" customHeight="false" outlineLevel="0" collapsed="false">
      <c r="D373" s="112"/>
      <c r="E373" s="112"/>
      <c r="F373" s="112"/>
      <c r="G373" s="112"/>
    </row>
    <row r="374" customFormat="false" ht="12.75" hidden="false" customHeight="false" outlineLevel="0" collapsed="false">
      <c r="D374" s="112"/>
      <c r="E374" s="112"/>
      <c r="F374" s="112"/>
      <c r="G374" s="112"/>
    </row>
    <row r="375" customFormat="false" ht="12.75" hidden="false" customHeight="false" outlineLevel="0" collapsed="false">
      <c r="D375" s="112"/>
      <c r="E375" s="112"/>
      <c r="F375" s="112"/>
      <c r="G375" s="112"/>
    </row>
    <row r="376" customFormat="false" ht="12.75" hidden="false" customHeight="false" outlineLevel="0" collapsed="false">
      <c r="D376" s="112"/>
      <c r="E376" s="112"/>
      <c r="F376" s="112"/>
      <c r="G376" s="112"/>
    </row>
    <row r="377" customFormat="false" ht="12.75" hidden="false" customHeight="false" outlineLevel="0" collapsed="false">
      <c r="D377" s="112"/>
      <c r="E377" s="112"/>
      <c r="F377" s="112"/>
      <c r="G377" s="112"/>
    </row>
    <row r="378" customFormat="false" ht="12.75" hidden="false" customHeight="false" outlineLevel="0" collapsed="false">
      <c r="D378" s="112"/>
      <c r="E378" s="112"/>
      <c r="F378" s="112"/>
      <c r="G378" s="112"/>
    </row>
    <row r="379" customFormat="false" ht="12.75" hidden="false" customHeight="false" outlineLevel="0" collapsed="false">
      <c r="D379" s="112"/>
      <c r="E379" s="112"/>
      <c r="F379" s="112"/>
      <c r="G379" s="112"/>
    </row>
    <row r="380" customFormat="false" ht="12.75" hidden="false" customHeight="false" outlineLevel="0" collapsed="false">
      <c r="D380" s="112"/>
      <c r="E380" s="112"/>
      <c r="F380" s="112"/>
      <c r="G380" s="112"/>
    </row>
    <row r="381" customFormat="false" ht="12.75" hidden="false" customHeight="false" outlineLevel="0" collapsed="false">
      <c r="D381" s="112"/>
      <c r="E381" s="112"/>
      <c r="F381" s="112"/>
      <c r="G381" s="112"/>
    </row>
    <row r="382" customFormat="false" ht="12.75" hidden="false" customHeight="false" outlineLevel="0" collapsed="false">
      <c r="D382" s="112"/>
      <c r="E382" s="112"/>
      <c r="F382" s="112"/>
      <c r="G382" s="112"/>
    </row>
    <row r="383" customFormat="false" ht="12.75" hidden="false" customHeight="false" outlineLevel="0" collapsed="false">
      <c r="D383" s="112"/>
      <c r="E383" s="112"/>
      <c r="F383" s="112"/>
      <c r="G383" s="112"/>
    </row>
    <row r="384" customFormat="false" ht="12.75" hidden="false" customHeight="false" outlineLevel="0" collapsed="false">
      <c r="D384" s="112"/>
      <c r="E384" s="112"/>
      <c r="F384" s="112"/>
      <c r="G384" s="112"/>
    </row>
    <row r="385" customFormat="false" ht="12.75" hidden="false" customHeight="false" outlineLevel="0" collapsed="false">
      <c r="D385" s="112"/>
      <c r="E385" s="112"/>
      <c r="F385" s="112"/>
      <c r="G385" s="112"/>
    </row>
    <row r="386" customFormat="false" ht="12.75" hidden="false" customHeight="false" outlineLevel="0" collapsed="false">
      <c r="D386" s="112"/>
      <c r="E386" s="112"/>
      <c r="F386" s="112"/>
      <c r="G386" s="112"/>
    </row>
    <row r="387" customFormat="false" ht="12.75" hidden="false" customHeight="false" outlineLevel="0" collapsed="false">
      <c r="D387" s="112"/>
      <c r="E387" s="112"/>
      <c r="F387" s="112"/>
      <c r="G387" s="112"/>
    </row>
    <row r="388" customFormat="false" ht="12.75" hidden="false" customHeight="false" outlineLevel="0" collapsed="false">
      <c r="D388" s="112"/>
      <c r="E388" s="112"/>
      <c r="F388" s="112"/>
      <c r="G388" s="112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2001-07-10T12:05:56Z</cp:lastPrinted>
  <dcterms:modified xsi:type="dcterms:W3CDTF">2001-07-10T12:20:42Z</dcterms:modified>
  <cp:revision>0</cp:revision>
  <dc:subject/>
  <dc:title/>
</cp:coreProperties>
</file>