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_rels/sheet18.xml.rels" ContentType="application/vnd.openxmlformats-package.relationships+xml"/>
  <Override PartName="/xl/worksheets/_rels/sheet20.xml.rels" ContentType="application/vnd.openxmlformats-package.relationships+xml"/>
  <Override PartName="/xl/worksheets/_rels/sheet2.xml.rels" ContentType="application/vnd.openxmlformats-package.relationships+xml"/>
  <Override PartName="/xl/worksheets/_rels/sheet19.xml.rels" ContentType="application/vnd.openxmlformats-package.relationships+xml"/>
  <Override PartName="/xl/worksheets/_rels/sheet21.xml.rels" ContentType="application/vnd.openxmlformats-package.relationships+xml"/>
  <Override PartName="/xl/worksheets/_rels/sheet3.xml.rels" ContentType="application/vnd.openxmlformats-package.relationships+xml"/>
  <Override PartName="/xl/worksheets/_rels/sheet22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23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24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9.xml" ContentType="application/vnd.openxmlformats-officedocument.drawing+xml"/>
  <Override PartName="/xl/drawings/drawing18.xml" ContentType="application/vnd.openxmlformats-officedocument.drawing+xml"/>
  <Override PartName="/xl/drawings/drawing20.xml" ContentType="application/vnd.openxmlformats-officedocument.drawing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8.xml" ContentType="application/vnd.openxmlformats-officedocument.drawing+xml"/>
  <Override PartName="/xl/drawings/drawing17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24.xml" ContentType="application/vnd.openxmlformats-officedocument.drawing+xml"/>
  <Override PartName="/xl/drawings/drawing23.xml" ContentType="application/vnd.openxmlformats-officedocument.drawing+xml"/>
  <Override PartName="/xl/drawings/drawing22.xml" ContentType="application/vnd.openxmlformats-officedocument.drawing+xml"/>
  <Override PartName="/xl/drawings/drawing21.xml" ContentType="application/vnd.openxmlformats-officedocument.drawing+xml"/>
  <Override PartName="/xl/drawings/drawing19.xml" ContentType="application/vnd.openxmlformats-officedocument.drawing+xml"/>
  <Override PartName="/xl/drawings/drawing5.xml" ContentType="application/vnd.openxmlformats-officedocument.drawing+xml"/>
  <Override PartName="/xl/drawings/drawing14.xml" ContentType="application/vnd.openxmlformats-officedocument.drawing+xml"/>
  <Override PartName="/xl/drawings/drawing6.xml" ContentType="application/vnd.openxmlformats-officedocument.drawing+xml"/>
  <Override PartName="/xl/drawings/drawing15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7.xml" ContentType="application/vnd.openxmlformats-officedocument.drawing+xml"/>
  <Override PartName="/xl/drawings/drawing1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01" sheetId="1" state="visible" r:id="rId3"/>
    <sheet name="0901" sheetId="2" state="visible" r:id="rId4"/>
    <sheet name="0801" sheetId="3" state="visible" r:id="rId5"/>
    <sheet name="0701" sheetId="4" state="visible" r:id="rId6"/>
    <sheet name="0601" sheetId="5" state="visible" r:id="rId7"/>
    <sheet name="0501" sheetId="6" state="visible" r:id="rId8"/>
    <sheet name="0401" sheetId="7" state="visible" r:id="rId9"/>
    <sheet name="0301" sheetId="8" state="visible" r:id="rId10"/>
    <sheet name="0201" sheetId="9" state="visible" r:id="rId11"/>
    <sheet name="0101" sheetId="10" state="visible" r:id="rId12"/>
    <sheet name="1200" sheetId="11" state="visible" r:id="rId13"/>
    <sheet name="1100" sheetId="12" state="visible" r:id="rId14"/>
    <sheet name="1000" sheetId="13" state="visible" r:id="rId15"/>
    <sheet name="0900" sheetId="14" state="visible" r:id="rId16"/>
    <sheet name="0800" sheetId="15" state="visible" r:id="rId17"/>
    <sheet name="0700" sheetId="16" state="visible" r:id="rId18"/>
    <sheet name="0600" sheetId="17" state="visible" r:id="rId19"/>
    <sheet name="0500" sheetId="18" state="visible" r:id="rId20"/>
    <sheet name="0400" sheetId="19" state="visible" r:id="rId21"/>
    <sheet name="0300" sheetId="20" state="visible" r:id="rId22"/>
    <sheet name="0200" sheetId="21" state="visible" r:id="rId23"/>
    <sheet name="0100" sheetId="22" state="visible" r:id="rId24"/>
    <sheet name="1299" sheetId="23" state="visible" r:id="rId25"/>
    <sheet name="1199" sheetId="24" state="visible" r:id="rId26"/>
    <sheet name="Sheet2" sheetId="25" state="visible" r:id="rId27"/>
    <sheet name="Sheet3" sheetId="26" state="visible" r:id="rId28"/>
  </sheets>
  <definedNames>
    <definedName function="false" hidden="false" localSheetId="21" name="_xlnm.Print_Area" vbProcedure="false">'0100'!$A$3:$O$42</definedName>
    <definedName function="false" hidden="false" localSheetId="9" name="_xlnm.Print_Area" vbProcedure="false">'0101'!$A$1:$O$42</definedName>
    <definedName function="false" hidden="false" localSheetId="20" name="_xlnm.Print_Area" vbProcedure="false">'0200'!$A$3:$O$42</definedName>
    <definedName function="false" hidden="false" localSheetId="8" name="_xlnm.Print_Area" vbProcedure="false">'0201'!$A$3:$O$42</definedName>
    <definedName function="false" hidden="false" localSheetId="19" name="_xlnm.Print_Area" vbProcedure="false">'0300'!$A$3:$O$42</definedName>
    <definedName function="false" hidden="false" localSheetId="7" name="_xlnm.Print_Area" vbProcedure="false">'0301'!$A$4:$O$42</definedName>
    <definedName function="false" hidden="false" localSheetId="18" name="_xlnm.Print_Area" vbProcedure="false">'0400'!$A$2:$O$42</definedName>
    <definedName function="false" hidden="false" localSheetId="6" name="_xlnm.Print_Area" vbProcedure="false">'0401'!$A$2:$O$42</definedName>
    <definedName function="false" hidden="false" localSheetId="17" name="_xlnm.Print_Area" vbProcedure="false">'0500'!$A$3:$O$42</definedName>
    <definedName function="false" hidden="false" localSheetId="5" name="_xlnm.Print_Area" vbProcedure="false">'0501'!$A$1:$O$42</definedName>
    <definedName function="false" hidden="false" localSheetId="16" name="_xlnm.Print_Area" vbProcedure="false">'0600'!$A$1:$O$42</definedName>
    <definedName function="false" hidden="false" localSheetId="4" name="_xlnm.Print_Area" vbProcedure="false">'0601'!$A$1:$O$42</definedName>
    <definedName function="false" hidden="false" localSheetId="15" name="_xlnm.Print_Area" vbProcedure="false">'0700'!$A$3:$O$42</definedName>
    <definedName function="false" hidden="false" localSheetId="3" name="_xlnm.Print_Area" vbProcedure="false">'0701'!$A$3:$O$42</definedName>
    <definedName function="false" hidden="false" localSheetId="14" name="_xlnm.Print_Area" vbProcedure="false">'0800'!$A$3:$O$42</definedName>
    <definedName function="false" hidden="false" localSheetId="2" name="_xlnm.Print_Area" vbProcedure="false">'0801'!$A$1:$O$42</definedName>
    <definedName function="false" hidden="false" localSheetId="13" name="_xlnm.Print_Area" vbProcedure="false">'0900'!$A$1:$O$42</definedName>
    <definedName function="false" hidden="false" localSheetId="1" name="_xlnm.Print_Area" vbProcedure="false">'0901'!$A$1:$O$38</definedName>
    <definedName function="false" hidden="false" localSheetId="12" name="_xlnm.Print_Area" vbProcedure="false">'1000'!$A$3:$O$42</definedName>
    <definedName function="false" hidden="false" localSheetId="0" name="_xlnm.Print_Area" vbProcedure="false">'1001'!$A$1:$O$38</definedName>
    <definedName function="false" hidden="false" localSheetId="11" name="_xlnm.Print_Area" vbProcedure="false">'1100'!$A$3:$O$42</definedName>
    <definedName function="false" hidden="false" localSheetId="23" name="_xlnm.Print_Area" vbProcedure="false">'1199'!$A$3:$O$42</definedName>
    <definedName function="false" hidden="false" localSheetId="10" name="_xlnm.Print_Area" vbProcedure="false">'1200'!$A$1:$O$42</definedName>
    <definedName function="false" hidden="false" localSheetId="22" name="_xlnm.Print_Area" vbProcedure="false">'1299'!$A$3:$O$42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<sst xmlns="http://schemas.openxmlformats.org/spreadsheetml/2006/main" count="845" uniqueCount="63">
  <si>
    <t xml:space="preserve">POWER PLANTS  ACCOUNTS RECEIVABLE AGING</t>
  </si>
  <si>
    <t xml:space="preserve">AS OF OCTOBER 31, 2001</t>
  </si>
  <si>
    <t xml:space="preserve">CURRENT</t>
  </si>
  <si>
    <t xml:space="preserve">1-30</t>
  </si>
  <si>
    <t xml:space="preserve">31-60</t>
  </si>
  <si>
    <t xml:space="preserve">61-90</t>
  </si>
  <si>
    <t xml:space="preserve">OVER 90</t>
  </si>
  <si>
    <t xml:space="preserve">TOTAL</t>
  </si>
  <si>
    <t xml:space="preserve">COMMENTS</t>
  </si>
  <si>
    <t xml:space="preserve">SMITH ENRON</t>
  </si>
  <si>
    <t xml:space="preserve">A/R</t>
  </si>
  <si>
    <t xml:space="preserve">THIS MONTH TOTAL PAYMENTS</t>
  </si>
  <si>
    <t xml:space="preserve">PER CENT</t>
  </si>
  <si>
    <t xml:space="preserve">PUERTO QUETZAL</t>
  </si>
  <si>
    <t xml:space="preserve">DABHOL POWER CO</t>
  </si>
  <si>
    <t xml:space="preserve">EMPRESA ENERGETICA</t>
  </si>
  <si>
    <t xml:space="preserve">EGEMINSA</t>
  </si>
  <si>
    <t xml:space="preserve">TOTALS</t>
  </si>
  <si>
    <t xml:space="preserve">TOTAL RECEIPTS</t>
  </si>
  <si>
    <t xml:space="preserve">AS OF SEPTEMBER 30, 2001</t>
  </si>
  <si>
    <t xml:space="preserve">AS OF AUGUST 31, 2001</t>
  </si>
  <si>
    <t xml:space="preserve">HAINAN MEINAN</t>
  </si>
  <si>
    <t xml:space="preserve">AS OF JULY 31, 2001</t>
  </si>
  <si>
    <t xml:space="preserve">AS OF JUNE 30, 2001</t>
  </si>
  <si>
    <t xml:space="preserve">AS OF MAY 31, 2001</t>
  </si>
  <si>
    <t xml:space="preserve">AS OF APRIL 30 2001</t>
  </si>
  <si>
    <t xml:space="preserve">AS OF MARCH 31 2001</t>
  </si>
  <si>
    <t xml:space="preserve">AS OF FEBRUARY 28, 2001</t>
  </si>
  <si>
    <t xml:space="preserve">AS OF JANUARY 31, 2001</t>
  </si>
  <si>
    <t xml:space="preserve">AS OF DECEMBER 31, 2000</t>
  </si>
  <si>
    <t xml:space="preserve">AS OF NOVEMBER 30, 2000</t>
  </si>
  <si>
    <t xml:space="preserve">AS OF OCTOBER 31, 2000</t>
  </si>
  <si>
    <t xml:space="preserve">AS OF SEPTEMBER 30, 2000</t>
  </si>
  <si>
    <t xml:space="preserve">AS OF AUGUST 31, 2000</t>
  </si>
  <si>
    <t xml:space="preserve">AS OF JULY 31, 2000</t>
  </si>
  <si>
    <t xml:space="preserve">AS OF JUNE 30, 2000</t>
  </si>
  <si>
    <t xml:space="preserve">AS OF MAY 31, 2000</t>
  </si>
  <si>
    <t xml:space="preserve">AS OF APRIL 30, 2000</t>
  </si>
  <si>
    <t xml:space="preserve">AS OF MARCH 31, 2000</t>
  </si>
  <si>
    <t xml:space="preserve">LAST PAYMENT 2/28/00</t>
  </si>
  <si>
    <t xml:space="preserve">LAST PAYMENT 3/13/00</t>
  </si>
  <si>
    <t xml:space="preserve">LAST PAYMENT 3/9/00</t>
  </si>
  <si>
    <t xml:space="preserve">LAST PAYMENT 3/22/00</t>
  </si>
  <si>
    <t xml:space="preserve">AS OF FEBRUARY 29, 2000</t>
  </si>
  <si>
    <t xml:space="preserve">LAST PAYMENT 2/22/00</t>
  </si>
  <si>
    <t xml:space="preserve">LAST PAYMENT 1/31/00</t>
  </si>
  <si>
    <t xml:space="preserve">LAST PAYMENT 2/8/00</t>
  </si>
  <si>
    <t xml:space="preserve">LAST PAYMENT 2/24/00</t>
  </si>
  <si>
    <t xml:space="preserve">AS OF JANUARY 31, 2000</t>
  </si>
  <si>
    <t xml:space="preserve">LAST PAYMENT 1/25/00</t>
  </si>
  <si>
    <t xml:space="preserve">LAST PAYMENT 12/30/99</t>
  </si>
  <si>
    <t xml:space="preserve">JAN. TOTAL $1,558,489.31</t>
  </si>
  <si>
    <t xml:space="preserve">AS OF DECEMBER 31, 1999</t>
  </si>
  <si>
    <t xml:space="preserve">LAST PAYMENT 12/31/99</t>
  </si>
  <si>
    <t xml:space="preserve">LAST PAYMENT 12/24/99</t>
  </si>
  <si>
    <t xml:space="preserve">LAST PAYMENT 12/6/99</t>
  </si>
  <si>
    <t xml:space="preserve">LAST PAYMENT 12/23/99</t>
  </si>
  <si>
    <t xml:space="preserve">AS OF NOVEMBER 30, 1999</t>
  </si>
  <si>
    <t xml:space="preserve">TOTAL INCLUDES PAYMENTS FOR INTEREST</t>
  </si>
  <si>
    <t xml:space="preserve">WE WILL BE WIRING TO EI EQUALS $2,410,727.74</t>
  </si>
  <si>
    <t xml:space="preserve">ALSO $6,513,871.14 WAS WIRED ON 12-1</t>
  </si>
  <si>
    <t xml:space="preserve">PAYMENTS TOTALING $227,563.27</t>
  </si>
  <si>
    <t xml:space="preserve">CAME IN ON 12-2 AND 12-3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</si>
</sst>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.00_);[RED]\(#,##0.00\)"/>
    <numFmt numFmtId="166" formatCode="[$-409]d\-mmm"/>
    <numFmt numFmtId="167" formatCode="\$#,##0.00_);[RED]&quot;($&quot;#,##0.00\)"/>
    <numFmt numFmtId="168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22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23.x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drawing" Target="../drawings/drawing2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0</v>
      </c>
      <c r="E14" s="13"/>
      <c r="F14" s="13" t="n">
        <v>0</v>
      </c>
      <c r="G14" s="13"/>
      <c r="H14" s="13" t="n">
        <v>3119556.94</v>
      </c>
      <c r="I14" s="13"/>
      <c r="J14" s="13" t="n">
        <v>5122056.38</v>
      </c>
      <c r="K14" s="13"/>
      <c r="L14" s="13" t="n">
        <f aca="false">1480001.13+18408675.15</f>
        <v>19888676.28</v>
      </c>
      <c r="M14" s="13"/>
      <c r="N14" s="13" t="n">
        <f aca="false">SUM(L14,J14,H14,F14,D14)</f>
        <v>28130289.6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</v>
      </c>
      <c r="E15" s="14"/>
      <c r="F15" s="14" t="n">
        <f aca="false">F14/N14</f>
        <v>0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0.707019961856347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v>361082.48</v>
      </c>
      <c r="M19" s="13"/>
      <c r="N19" s="13" t="n">
        <f aca="false">SUM(L19,J19,H19,F19,D19)</f>
        <v>361082.48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1</v>
      </c>
      <c r="M20" s="14"/>
      <c r="O20" s="13" t="n">
        <f aca="false">3099921.68+2647167.35</f>
        <v>5747089.03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 t="n">
        <v>222042.77</v>
      </c>
      <c r="E23" s="13"/>
      <c r="F23" s="13" t="n">
        <v>222042.77</v>
      </c>
      <c r="G23" s="13"/>
      <c r="H23" s="13" t="n">
        <v>222042.77</v>
      </c>
      <c r="I23" s="13"/>
      <c r="J23" s="13" t="n">
        <v>222042.41</v>
      </c>
      <c r="K23" s="13"/>
      <c r="L23" s="13" t="n">
        <f aca="false">222042.83+665228.25</f>
        <v>887271.08</v>
      </c>
      <c r="M23" s="13"/>
      <c r="N23" s="13" t="n">
        <f aca="false">SUM(L23,J23,H23,F23,D23)</f>
        <v>1775441.8</v>
      </c>
      <c r="O23" s="1" t="s">
        <v>11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0.125063389855978</v>
      </c>
      <c r="E24" s="14"/>
      <c r="F24" s="14" t="n">
        <f aca="false">F23/N23</f>
        <v>0.125063389855978</v>
      </c>
      <c r="G24" s="14"/>
      <c r="H24" s="14" t="n">
        <f aca="false">H23/N23</f>
        <v>0.125063389855978</v>
      </c>
      <c r="I24" s="14"/>
      <c r="J24" s="14" t="n">
        <f aca="false">J23/N23</f>
        <v>0.125063187089546</v>
      </c>
      <c r="K24" s="14"/>
      <c r="L24" s="14" t="n">
        <f aca="false">L23/N23</f>
        <v>0.499746643342519</v>
      </c>
      <c r="M24" s="14"/>
      <c r="O24" s="13" t="n">
        <v>0</v>
      </c>
    </row>
    <row r="25" customFormat="false" ht="15" hidden="false" customHeight="false" outlineLevel="0" collapsed="false">
      <c r="F25" s="13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1065593.95</v>
      </c>
      <c r="E27" s="13"/>
      <c r="F27" s="13" t="n">
        <v>1847003.65</v>
      </c>
      <c r="G27" s="13"/>
      <c r="H27" s="13" t="n">
        <v>0</v>
      </c>
      <c r="I27" s="13"/>
      <c r="J27" s="13" t="n">
        <v>1395232.05</v>
      </c>
      <c r="K27" s="13"/>
      <c r="L27" s="13" t="n">
        <v>74964.58</v>
      </c>
      <c r="M27" s="13"/>
      <c r="N27" s="13" t="n">
        <f aca="false">SUM(L27,J27,H27,F27,D27)</f>
        <v>4382794.23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0.243131183915974</v>
      </c>
      <c r="E28" s="14"/>
      <c r="F28" s="14" t="n">
        <f aca="false">F27/N27</f>
        <v>0.421421484348354</v>
      </c>
      <c r="G28" s="14"/>
      <c r="H28" s="14" t="n">
        <f aca="false">H27/N27</f>
        <v>0</v>
      </c>
      <c r="I28" s="14"/>
      <c r="J28" s="14" t="n">
        <f aca="false">J27/N27</f>
        <v>0.318343042538869</v>
      </c>
      <c r="K28" s="14"/>
      <c r="L28" s="14" t="n">
        <f aca="false">L27/N27</f>
        <v>0.0171042891968031</v>
      </c>
      <c r="M28" s="14"/>
      <c r="O28" s="13" t="n">
        <v>0</v>
      </c>
    </row>
    <row r="29" customFormat="false" ht="15" hidden="false" customHeight="false" outlineLevel="0" collapsed="false">
      <c r="F29" s="2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6666416.18</v>
      </c>
      <c r="E31" s="13"/>
      <c r="F31" s="13" t="n">
        <v>4365995.86</v>
      </c>
      <c r="G31" s="13"/>
      <c r="H31" s="13" t="n">
        <v>0</v>
      </c>
      <c r="I31" s="13"/>
      <c r="J31" s="13" t="n">
        <v>36113.98</v>
      </c>
      <c r="K31" s="13"/>
      <c r="L31" s="13" t="n">
        <f aca="false">294377.1+417484.57</f>
        <v>711861.67</v>
      </c>
      <c r="M31" s="13"/>
      <c r="N31" s="13" t="n">
        <f aca="false">SUM(L31,J31,H31,F31,D31)</f>
        <v>11780387.69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0.565891068734428</v>
      </c>
      <c r="E32" s="14"/>
      <c r="F32" s="14" t="n">
        <f aca="false">F31/N31</f>
        <v>0.370615634637064</v>
      </c>
      <c r="G32" s="14"/>
      <c r="H32" s="14" t="n">
        <f aca="false">H31/N31</f>
        <v>0</v>
      </c>
      <c r="I32" s="14"/>
      <c r="J32" s="14" t="n">
        <f aca="false">J31/N31</f>
        <v>0.00306560199463181</v>
      </c>
      <c r="K32" s="14"/>
      <c r="L32" s="14" t="n">
        <f aca="false">L31/N31</f>
        <v>0.0604276946338767</v>
      </c>
      <c r="M32" s="14"/>
      <c r="O32" s="13" t="n">
        <f aca="false">3575508.3+3531135.8+611637.76</f>
        <v>7718281.86</v>
      </c>
    </row>
    <row r="33" customFormat="false" ht="15" hidden="false" customHeight="false" outlineLevel="0" collapsed="false"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customFormat="false" ht="15" hidden="false" customHeight="false" outlineLevel="0" collapsed="false">
      <c r="A34" s="9"/>
      <c r="B34" s="9"/>
      <c r="C34" s="9"/>
      <c r="D34" s="9"/>
      <c r="E34" s="9"/>
      <c r="F34" s="10"/>
      <c r="G34" s="10"/>
      <c r="H34" s="10"/>
      <c r="I34" s="10"/>
      <c r="J34" s="10"/>
      <c r="K34" s="10"/>
      <c r="L34" s="10"/>
      <c r="M34" s="10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2" t="s">
        <v>10</v>
      </c>
      <c r="C35" s="12"/>
      <c r="D35" s="18" t="n">
        <f aca="false">SUM(D31,D27,D23,D19,D14)</f>
        <v>7954052.9</v>
      </c>
      <c r="E35" s="12"/>
      <c r="F35" s="18" t="n">
        <f aca="false">SUM(F31,F27,F23,F19,F14)</f>
        <v>6435042.28</v>
      </c>
      <c r="G35" s="12"/>
      <c r="H35" s="18" t="n">
        <f aca="false">SUM(H31,H27,H23,H19,H14)</f>
        <v>3341599.71</v>
      </c>
      <c r="I35" s="12"/>
      <c r="J35" s="18" t="n">
        <f aca="false">SUM(J31,J27,J23,J19,J14)</f>
        <v>6775444.82</v>
      </c>
      <c r="K35" s="12"/>
      <c r="L35" s="18" t="n">
        <f aca="false">SUM(L31,L27,L23,L19,L14)</f>
        <v>21923856.09</v>
      </c>
      <c r="M35" s="12"/>
      <c r="N35" s="18" t="n">
        <f aca="false">SUM(N31,N27,N23,N19,N14)</f>
        <v>46429995.8</v>
      </c>
      <c r="O35" s="18" t="n">
        <f aca="false">SUM(O32,O28,O24,O20,O15)</f>
        <v>13465370.89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5.75" hidden="false" customHeight="false" outlineLevel="0" collapsed="false">
      <c r="A36" s="12"/>
      <c r="B36" s="12" t="s">
        <v>12</v>
      </c>
      <c r="C36" s="12"/>
      <c r="D36" s="20" t="n">
        <f aca="false">D35/N35</f>
        <v>0.171312806795473</v>
      </c>
      <c r="E36" s="12"/>
      <c r="F36" s="20" t="n">
        <f aca="false">F35/N35</f>
        <v>0.138596658671246</v>
      </c>
      <c r="G36" s="12"/>
      <c r="H36" s="20" t="n">
        <f aca="false">H35/N35</f>
        <v>0.0719707088580008</v>
      </c>
      <c r="I36" s="12"/>
      <c r="J36" s="20" t="n">
        <f aca="false">J35/N35</f>
        <v>0.145928180764557</v>
      </c>
      <c r="K36" s="12"/>
      <c r="L36" s="20" t="n">
        <f aca="false">L35/N35</f>
        <v>0.472191644910724</v>
      </c>
      <c r="M36" s="12"/>
      <c r="N36" s="18"/>
      <c r="O36" s="12" t="s">
        <v>18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5.75" hidden="false" customHeight="false" outlineLevel="0" collapsed="false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8"/>
      <c r="O37" s="12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</row>
    <row r="38" customFormat="false" ht="9.95" hidden="false" customHeight="true" outlineLevel="0" collapsed="false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9" colorId="64" zoomScale="100" zoomScaleNormal="100" zoomScalePageLayoutView="100" workbookViewId="0">
      <selection pane="topLeft" activeCell="K29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6784447.42</v>
      </c>
      <c r="E14" s="13"/>
      <c r="F14" s="13" t="n">
        <v>5502225.66</v>
      </c>
      <c r="G14" s="13"/>
      <c r="H14" s="13" t="n">
        <v>2151302.67</v>
      </c>
      <c r="I14" s="13"/>
      <c r="J14" s="13" t="n">
        <v>42222</v>
      </c>
      <c r="K14" s="13"/>
      <c r="L14" s="13" t="n">
        <f aca="false">37325.9+1851404.42</f>
        <v>1888730.32</v>
      </c>
      <c r="M14" s="13"/>
      <c r="N14" s="13" t="n">
        <f aca="false">SUM(L14,J14,H14,F14,D14)</f>
        <v>16368928.07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0.414471087598835</v>
      </c>
      <c r="E15" s="14"/>
      <c r="F15" s="14" t="n">
        <f aca="false">F14/N14</f>
        <v>0.336138422532637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0.115385094975251</v>
      </c>
      <c r="M15" s="14"/>
      <c r="O15" s="13" t="n">
        <v>2230986.6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32122.82</v>
      </c>
      <c r="G19" s="13"/>
      <c r="H19" s="13" t="n">
        <v>-152850.42</v>
      </c>
      <c r="I19" s="13"/>
      <c r="J19" s="13" t="n">
        <v>32407.23</v>
      </c>
      <c r="K19" s="13"/>
      <c r="L19" s="13" t="n">
        <f aca="false">71398.48+468894.72</f>
        <v>540293.2</v>
      </c>
      <c r="M19" s="13"/>
      <c r="N19" s="13" t="n">
        <f aca="false">SUM(L19,J19,H19,F19,D19)</f>
        <v>451972.83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0.0710724580501886</v>
      </c>
      <c r="G20" s="14"/>
      <c r="H20" s="14" t="n">
        <f aca="false">H19/N19</f>
        <v>-0.338184974526013</v>
      </c>
      <c r="I20" s="14"/>
      <c r="J20" s="14" t="n">
        <f aca="false">J19/N19</f>
        <v>0.0717017215393235</v>
      </c>
      <c r="K20" s="14"/>
      <c r="L20" s="14" t="n">
        <f aca="false">L19/N19</f>
        <v>1.1954107949365</v>
      </c>
      <c r="M20" s="14"/>
      <c r="O20" s="13" t="n">
        <v>2318398.16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21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446831.93</v>
      </c>
      <c r="E27" s="13"/>
      <c r="F27" s="13" t="n">
        <v>222492.95</v>
      </c>
      <c r="G27" s="13"/>
      <c r="H27" s="13" t="n">
        <v>222492.95</v>
      </c>
      <c r="I27" s="13"/>
      <c r="J27" s="13" t="n">
        <v>0</v>
      </c>
      <c r="K27" s="13"/>
      <c r="L27" s="13" t="n">
        <f aca="false">444985.9+4011.82</f>
        <v>448997.72</v>
      </c>
      <c r="M27" s="13"/>
      <c r="N27" s="13" t="n">
        <f aca="false">SUM(L27,J27,H27,F27,D27)</f>
        <v>1340815.55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0.33325383942631</v>
      </c>
      <c r="E28" s="14"/>
      <c r="F28" s="14" t="n">
        <f aca="false">F27/N27</f>
        <v>0.165938521521473</v>
      </c>
      <c r="G28" s="14"/>
      <c r="H28" s="14" t="n">
        <f aca="false">H27/N27</f>
        <v>0.165938521521473</v>
      </c>
      <c r="I28" s="14"/>
      <c r="J28" s="14" t="n">
        <f aca="false">J27/N27</f>
        <v>0</v>
      </c>
      <c r="K28" s="14"/>
      <c r="L28" s="14" t="n">
        <f aca="false">L27/N27</f>
        <v>0.334869117530745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1148606.8</v>
      </c>
      <c r="E31" s="13"/>
      <c r="F31" s="13" t="n">
        <v>860590.43</v>
      </c>
      <c r="G31" s="13"/>
      <c r="H31" s="13" t="n">
        <v>1588292.58</v>
      </c>
      <c r="I31" s="13"/>
      <c r="J31" s="13" t="n">
        <v>105299.88</v>
      </c>
      <c r="K31" s="13"/>
      <c r="L31" s="13" t="n">
        <f aca="false">28085.15-36492.68</f>
        <v>-8407.53</v>
      </c>
      <c r="M31" s="13"/>
      <c r="N31" s="13" t="n">
        <f aca="false">SUM(L31,J31,H31,F31,D31)</f>
        <v>3694382.16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0.310906330275263</v>
      </c>
      <c r="E32" s="14"/>
      <c r="F32" s="14" t="n">
        <f aca="false">F31/N31</f>
        <v>0.232945697745574</v>
      </c>
      <c r="G32" s="14"/>
      <c r="H32" s="14" t="n">
        <f aca="false">H31/N31</f>
        <v>0.429921029068633</v>
      </c>
      <c r="I32" s="14"/>
      <c r="J32" s="14" t="n">
        <f aca="false">J31/N31</f>
        <v>0.028502703683476</v>
      </c>
      <c r="K32" s="14"/>
      <c r="L32" s="14" t="n">
        <f aca="false">L31/N31</f>
        <v>-0.00227576077294613</v>
      </c>
      <c r="M32" s="14"/>
      <c r="O32" s="13" t="n">
        <v>37116.02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3102732</v>
      </c>
      <c r="E35" s="13"/>
      <c r="F35" s="13" t="n">
        <v>1543309.76</v>
      </c>
      <c r="G35" s="13"/>
      <c r="H35" s="13" t="n">
        <v>-739143.8</v>
      </c>
      <c r="I35" s="13"/>
      <c r="J35" s="13" t="n">
        <v>-835928.78</v>
      </c>
      <c r="K35" s="13"/>
      <c r="L35" s="13" t="n">
        <f aca="false">598644.72+1819424.3</f>
        <v>2418069.02</v>
      </c>
      <c r="M35" s="13"/>
      <c r="N35" s="13" t="n">
        <f aca="false">SUM(L35,J35,H35,F35,D35)</f>
        <v>5489038.2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0.565259684292232</v>
      </c>
      <c r="E36" s="14"/>
      <c r="F36" s="14" t="n">
        <f aca="false">F35/N35</f>
        <v>0.281162146038627</v>
      </c>
      <c r="G36" s="14"/>
      <c r="H36" s="14" t="n">
        <f aca="false">H35/N35</f>
        <v>-0.134658162881796</v>
      </c>
      <c r="I36" s="14"/>
      <c r="J36" s="14" t="n">
        <f aca="false">J35/N35</f>
        <v>-0.15229057433049</v>
      </c>
      <c r="K36" s="14"/>
      <c r="L36" s="14" t="n">
        <f aca="false">L35/N35</f>
        <v>0.440526906881428</v>
      </c>
      <c r="M36" s="14"/>
      <c r="O36" s="13" t="n">
        <f aca="false">1500000</f>
        <v>1500000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11482618.15</v>
      </c>
      <c r="E39" s="12"/>
      <c r="F39" s="18" t="n">
        <f aca="false">SUM(F35,F31,F27,F23,F19,F14)</f>
        <v>8160741.62</v>
      </c>
      <c r="G39" s="12"/>
      <c r="H39" s="18" t="n">
        <f aca="false">SUM(H35,H31,H27,H23,H19,H14)</f>
        <v>3070093.98</v>
      </c>
      <c r="I39" s="12"/>
      <c r="J39" s="18" t="n">
        <f aca="false">SUM(J35,J31,J27,J23,J19,J14)</f>
        <v>-655999.67</v>
      </c>
      <c r="K39" s="12"/>
      <c r="L39" s="18" t="n">
        <f aca="false">SUM(L35,L31,L27,L23,L19,L14)</f>
        <v>5356378.49</v>
      </c>
      <c r="M39" s="12"/>
      <c r="N39" s="18" t="n">
        <f aca="false">SUM(N35,N31,N27,N23,N19,N14)</f>
        <v>27413832.57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0.418862197420942</v>
      </c>
      <c r="E40" s="12"/>
      <c r="F40" s="20" t="n">
        <f aca="false">F39/N39</f>
        <v>0.297687001595341</v>
      </c>
      <c r="G40" s="12"/>
      <c r="H40" s="20" t="n">
        <f aca="false">H39/N39</f>
        <v>0.111990688356349</v>
      </c>
      <c r="I40" s="12"/>
      <c r="J40" s="20" t="n">
        <f aca="false">J39/N39</f>
        <v>-0.0239295132603197</v>
      </c>
      <c r="K40" s="12"/>
      <c r="L40" s="20" t="n">
        <f aca="false">L39/N39</f>
        <v>0.195389625887687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409722222222222" right="0.40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H26" colorId="64" zoomScale="85" zoomScaleNormal="85" zoomScalePageLayoutView="100" workbookViewId="0">
      <selection pane="topLeft" activeCell="H26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10256812.53</v>
      </c>
      <c r="E14" s="13"/>
      <c r="F14" s="13" t="n">
        <v>4532289.27</v>
      </c>
      <c r="G14" s="13"/>
      <c r="H14" s="13" t="n">
        <v>42222</v>
      </c>
      <c r="I14" s="13"/>
      <c r="J14" s="13" t="n">
        <v>37325.9</v>
      </c>
      <c r="K14" s="13"/>
      <c r="L14" s="13" t="n">
        <f aca="false">765643.41+1085761.01</f>
        <v>1851404.42</v>
      </c>
      <c r="M14" s="13"/>
      <c r="N14" s="13" t="n">
        <f aca="false">SUM(L14,J14,H14,F14,D14)</f>
        <v>16720054.12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0.613443739857943</v>
      </c>
      <c r="E15" s="14"/>
      <c r="F15" s="14" t="n">
        <f aca="false">F14/N14</f>
        <v>0.271069055008537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0.1107295710117</v>
      </c>
      <c r="M15" s="14"/>
      <c r="O15" s="13" t="n">
        <f aca="false">4275090.13</f>
        <v>4275090.13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2318398.16</v>
      </c>
      <c r="E19" s="13"/>
      <c r="F19" s="13" t="n">
        <v>-152850.42</v>
      </c>
      <c r="G19" s="13"/>
      <c r="H19" s="13" t="n">
        <v>32704.23</v>
      </c>
      <c r="I19" s="13"/>
      <c r="J19" s="13" t="n">
        <v>71398.48</v>
      </c>
      <c r="K19" s="13"/>
      <c r="L19" s="13" t="n">
        <f aca="false">24488.81+444405.91</f>
        <v>468894.72</v>
      </c>
      <c r="M19" s="13"/>
      <c r="N19" s="13" t="n">
        <f aca="false">SUM(L19,J19,H19,F19,D19)</f>
        <v>2738545.17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0.846580215436067</v>
      </c>
      <c r="E20" s="14"/>
      <c r="F20" s="14" t="n">
        <f aca="false">F19/N19</f>
        <v>-0.055814460055081</v>
      </c>
      <c r="G20" s="14"/>
      <c r="H20" s="14" t="n">
        <f aca="false">H19/N19</f>
        <v>0.0119421911890539</v>
      </c>
      <c r="I20" s="14"/>
      <c r="J20" s="14" t="n">
        <f aca="false">J19/N19</f>
        <v>0.0260716824327568</v>
      </c>
      <c r="K20" s="14"/>
      <c r="L20" s="14" t="n">
        <f aca="false">L19/N19</f>
        <v>0.171220370997204</v>
      </c>
      <c r="M20" s="14"/>
      <c r="O20" s="13" t="n">
        <f aca="false">3188526.22+2699455.47+1522850.42</f>
        <v>7410832.11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21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222492.95</v>
      </c>
      <c r="E27" s="13"/>
      <c r="F27" s="13" t="n">
        <v>222492.95</v>
      </c>
      <c r="G27" s="13"/>
      <c r="H27" s="13" t="n">
        <v>0</v>
      </c>
      <c r="I27" s="13"/>
      <c r="J27" s="13" t="n">
        <v>0</v>
      </c>
      <c r="K27" s="13"/>
      <c r="L27" s="13" t="n">
        <f aca="false">444985.9+4011.82</f>
        <v>448997.72</v>
      </c>
      <c r="M27" s="13"/>
      <c r="N27" s="13" t="n">
        <f aca="false">SUM(L27,J27,H27,F27,D27)</f>
        <v>893983.62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0.2488781058427</v>
      </c>
      <c r="E28" s="14"/>
      <c r="F28" s="14" t="n">
        <f aca="false">F27/N27</f>
        <v>0.2488781058427</v>
      </c>
      <c r="G28" s="14"/>
      <c r="H28" s="14" t="n">
        <f aca="false">H27/N27</f>
        <v>0</v>
      </c>
      <c r="I28" s="14"/>
      <c r="J28" s="14" t="n">
        <f aca="false">J27/N27</f>
        <v>0</v>
      </c>
      <c r="K28" s="14"/>
      <c r="L28" s="14" t="n">
        <f aca="false">L27/N27</f>
        <v>0.5022437883146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0</v>
      </c>
      <c r="E31" s="13"/>
      <c r="F31" s="13" t="n">
        <v>1588292.58</v>
      </c>
      <c r="G31" s="13"/>
      <c r="H31" s="13" t="n">
        <v>105299.88</v>
      </c>
      <c r="I31" s="13"/>
      <c r="J31" s="13" t="n">
        <v>28085.15</v>
      </c>
      <c r="K31" s="13"/>
      <c r="L31" s="13" t="n">
        <f aca="false">18617.53-55110.21</f>
        <v>-36492.68</v>
      </c>
      <c r="M31" s="13"/>
      <c r="N31" s="13" t="n">
        <f aca="false">SUM(L31,J31,H31,F31,D31)</f>
        <v>1685184.93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0.942503431952718</v>
      </c>
      <c r="G32" s="14"/>
      <c r="H32" s="14" t="n">
        <f aca="false">H31/N31</f>
        <v>0.0624856525390362</v>
      </c>
      <c r="I32" s="14"/>
      <c r="J32" s="14" t="n">
        <f aca="false">J31/N31</f>
        <v>0.016665915710509</v>
      </c>
      <c r="K32" s="14"/>
      <c r="L32" s="14" t="n">
        <f aca="false">L31/N31</f>
        <v>-0.0216550002022627</v>
      </c>
      <c r="M32" s="14"/>
      <c r="O32" s="13" t="n">
        <f aca="false">1412855.55+1621503.24</f>
        <v>3034358.79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0</v>
      </c>
      <c r="E35" s="13"/>
      <c r="F35" s="13" t="n">
        <v>-756565.36</v>
      </c>
      <c r="G35" s="13"/>
      <c r="H35" s="13" t="n">
        <v>-818199.1</v>
      </c>
      <c r="I35" s="13"/>
      <c r="J35" s="13" t="n">
        <v>594519.24</v>
      </c>
      <c r="K35" s="13"/>
      <c r="L35" s="13" t="n">
        <f aca="false">975141.39+830678.71</f>
        <v>1805820.1</v>
      </c>
      <c r="M35" s="13"/>
      <c r="N35" s="13" t="n">
        <f aca="false">SUM(L35,J35,H35,F35,D35)</f>
        <v>825574.88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</v>
      </c>
      <c r="E36" s="14"/>
      <c r="F36" s="14" t="n">
        <f aca="false">F35/N35</f>
        <v>-0.916410344268227</v>
      </c>
      <c r="G36" s="14"/>
      <c r="H36" s="14" t="n">
        <f aca="false">H35/N35</f>
        <v>-0.991065886113201</v>
      </c>
      <c r="I36" s="14"/>
      <c r="J36" s="14" t="n">
        <f aca="false">J35/N35</f>
        <v>0.720127579463174</v>
      </c>
      <c r="K36" s="14"/>
      <c r="L36" s="14" t="n">
        <f aca="false">L35/N35</f>
        <v>2.18734865091825</v>
      </c>
      <c r="M36" s="14"/>
      <c r="O36" s="13"/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12797703.64</v>
      </c>
      <c r="E39" s="12"/>
      <c r="F39" s="18" t="n">
        <f aca="false">SUM(F35,F31,F27,F23,F19,F14)</f>
        <v>5433659.02</v>
      </c>
      <c r="G39" s="12"/>
      <c r="H39" s="18" t="n">
        <f aca="false">SUM(H35,H31,H27,H23,H19,H14)</f>
        <v>-637972.99</v>
      </c>
      <c r="I39" s="12"/>
      <c r="J39" s="18" t="n">
        <f aca="false">SUM(J35,J31,J27,J23,J19,J14)</f>
        <v>731328.77</v>
      </c>
      <c r="K39" s="12"/>
      <c r="L39" s="18" t="n">
        <f aca="false">SUM(L35,L31,L27,L23,L19,L14)</f>
        <v>4607320.04</v>
      </c>
      <c r="M39" s="12"/>
      <c r="N39" s="18" t="n">
        <f aca="false">SUM(N35,N31,N27,N23,N19,N14)</f>
        <v>22932038.48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0.558070912499184</v>
      </c>
      <c r="E40" s="12"/>
      <c r="F40" s="20" t="n">
        <f aca="false">F39/N39</f>
        <v>0.236946184471953</v>
      </c>
      <c r="G40" s="12"/>
      <c r="H40" s="20" t="n">
        <f aca="false">H39/N39</f>
        <v>-0.0278201604517803</v>
      </c>
      <c r="I40" s="12"/>
      <c r="J40" s="20" t="n">
        <f aca="false">J39/N39</f>
        <v>0.0318911365266469</v>
      </c>
      <c r="K40" s="12"/>
      <c r="L40" s="20" t="n">
        <f aca="false">L39/N39</f>
        <v>0.200911926953997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279861111111111" right="0.37986111111111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H11" colorId="64" zoomScale="85" zoomScaleNormal="85" zoomScalePageLayoutView="100" workbookViewId="0">
      <selection pane="topLeft" activeCell="H1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11384500.93</v>
      </c>
      <c r="E14" s="13"/>
      <c r="F14" s="13" t="n">
        <v>2769542.66</v>
      </c>
      <c r="G14" s="13"/>
      <c r="H14" s="13" t="n">
        <v>37325.9</v>
      </c>
      <c r="I14" s="13"/>
      <c r="J14" s="13" t="n">
        <v>765643.41</v>
      </c>
      <c r="K14" s="13"/>
      <c r="L14" s="13" t="n">
        <f aca="false">-462610.38+1548371.39</f>
        <v>1085761.01</v>
      </c>
      <c r="M14" s="13"/>
      <c r="N14" s="13" t="n">
        <f aca="false">SUM(L14,J14,H14,F14,D14)</f>
        <v>16042773.91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0.709634193803832</v>
      </c>
      <c r="E15" s="14"/>
      <c r="F15" s="14" t="n">
        <f aca="false">F14/N14</f>
        <v>0.172634899396896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0.0676791318067014</v>
      </c>
      <c r="M15" s="14"/>
      <c r="O15" s="13" t="n">
        <f aca="false">1304115.03+2722035.64</f>
        <v>4026150.67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2699455.47</v>
      </c>
      <c r="E19" s="13"/>
      <c r="F19" s="13" t="n">
        <v>32407.23</v>
      </c>
      <c r="G19" s="13"/>
      <c r="H19" s="13" t="n">
        <v>3259924.7</v>
      </c>
      <c r="I19" s="13"/>
      <c r="J19" s="13" t="n">
        <v>24488.81</v>
      </c>
      <c r="K19" s="13"/>
      <c r="L19" s="13" t="n">
        <v>444405.91</v>
      </c>
      <c r="M19" s="13"/>
      <c r="N19" s="13" t="n">
        <f aca="false">SUM(L19,J19,H19,F19,D19)</f>
        <v>6460682.12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0.417828244736486</v>
      </c>
      <c r="E20" s="14"/>
      <c r="F20" s="14" t="n">
        <f aca="false">F19/N19</f>
        <v>0.00501606941775987</v>
      </c>
      <c r="G20" s="14"/>
      <c r="H20" s="14" t="n">
        <f aca="false">H19/N19</f>
        <v>0.504579027330322</v>
      </c>
      <c r="I20" s="14"/>
      <c r="J20" s="14" t="n">
        <f aca="false">J19/N19</f>
        <v>0.00379043722398774</v>
      </c>
      <c r="K20" s="14"/>
      <c r="L20" s="14" t="n">
        <f aca="false">L19/N19</f>
        <v>0.0687862212914447</v>
      </c>
      <c r="M20" s="14"/>
      <c r="O20" s="13" t="n">
        <f aca="false">2730346.33</f>
        <v>2730346.33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21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222492.95</v>
      </c>
      <c r="E27" s="13"/>
      <c r="F27" s="13" t="n">
        <v>0</v>
      </c>
      <c r="G27" s="13"/>
      <c r="H27" s="13" t="n">
        <v>0</v>
      </c>
      <c r="I27" s="13"/>
      <c r="J27" s="13" t="n">
        <v>444985.9</v>
      </c>
      <c r="K27" s="13"/>
      <c r="L27" s="13" t="n">
        <v>4011.82</v>
      </c>
      <c r="M27" s="13"/>
      <c r="N27" s="13" t="n">
        <f aca="false">SUM(L27,J27,H27,F27,D27)</f>
        <v>671490.67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0.33134183383367</v>
      </c>
      <c r="E28" s="14"/>
      <c r="F28" s="14" t="n">
        <f aca="false">F27/N27</f>
        <v>0</v>
      </c>
      <c r="G28" s="14"/>
      <c r="H28" s="14" t="n">
        <f aca="false">H27/N27</f>
        <v>0</v>
      </c>
      <c r="I28" s="14"/>
      <c r="J28" s="14" t="n">
        <f aca="false">J27/N27</f>
        <v>0.662683667667341</v>
      </c>
      <c r="K28" s="14"/>
      <c r="L28" s="14" t="n">
        <f aca="false">L27/N27</f>
        <v>0.00597449849898882</v>
      </c>
      <c r="M28" s="14"/>
      <c r="O28" s="13" t="n">
        <v>222492.95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0</v>
      </c>
      <c r="E31" s="13"/>
      <c r="F31" s="13" t="n">
        <v>1726803.12</v>
      </c>
      <c r="G31" s="13"/>
      <c r="H31" s="13" t="n">
        <v>28085.13</v>
      </c>
      <c r="I31" s="13"/>
      <c r="J31" s="13" t="n">
        <v>1431473.08</v>
      </c>
      <c r="K31" s="13"/>
      <c r="L31" s="13" t="n">
        <v>-55110.21</v>
      </c>
      <c r="M31" s="13"/>
      <c r="N31" s="13" t="n">
        <f aca="false">SUM(L31,J31,H31,F31,D31)</f>
        <v>3131251.12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0.55147385304568</v>
      </c>
      <c r="G32" s="14"/>
      <c r="H32" s="14" t="n">
        <f aca="false">H31/N31</f>
        <v>0.00896929978583129</v>
      </c>
      <c r="I32" s="14"/>
      <c r="J32" s="14" t="n">
        <f aca="false">J31/N31</f>
        <v>0.457156907939086</v>
      </c>
      <c r="K32" s="14"/>
      <c r="L32" s="14" t="n">
        <f aca="false">L31/N31</f>
        <v>-0.017600060770597</v>
      </c>
      <c r="M32" s="14"/>
      <c r="O32" s="13" t="n">
        <f aca="false">1073124.03+17839.24</f>
        <v>1090963.27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1279934.64</v>
      </c>
      <c r="E35" s="13"/>
      <c r="F35" s="13" t="n">
        <v>-1801887.66</v>
      </c>
      <c r="G35" s="13"/>
      <c r="H35" s="13" t="n">
        <v>594519.24</v>
      </c>
      <c r="I35" s="13"/>
      <c r="J35" s="13" t="n">
        <v>975141.39</v>
      </c>
      <c r="K35" s="13"/>
      <c r="L35" s="13" t="n">
        <f aca="false">599706.33+230972.38</f>
        <v>830678.71</v>
      </c>
      <c r="M35" s="13"/>
      <c r="N35" s="13" t="n">
        <f aca="false">SUM(L35,J35,H35,F35,D35)</f>
        <v>1878386.32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0.681401172044311</v>
      </c>
      <c r="E36" s="14"/>
      <c r="F36" s="14" t="n">
        <f aca="false">F35/N35</f>
        <v>-0.959274266861143</v>
      </c>
      <c r="G36" s="14"/>
      <c r="H36" s="14" t="n">
        <f aca="false">H35/N35</f>
        <v>0.316505307598279</v>
      </c>
      <c r="I36" s="14"/>
      <c r="J36" s="14" t="n">
        <f aca="false">J35/N35</f>
        <v>0.51913782570563</v>
      </c>
      <c r="K36" s="14"/>
      <c r="L36" s="14" t="n">
        <f aca="false">L35/N35</f>
        <v>0.442229961512922</v>
      </c>
      <c r="M36" s="14"/>
      <c r="O36" s="13" t="n">
        <v>4700000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15586383.99</v>
      </c>
      <c r="E39" s="12"/>
      <c r="F39" s="18" t="n">
        <f aca="false">SUM(F35,F31,F27,F23,F19,F14)</f>
        <v>2726865.35</v>
      </c>
      <c r="G39" s="12"/>
      <c r="H39" s="18" t="n">
        <f aca="false">SUM(H35,H31,H27,H23,H19,H14)</f>
        <v>3919854.97</v>
      </c>
      <c r="I39" s="12"/>
      <c r="J39" s="18" t="n">
        <f aca="false">SUM(J35,J31,J27,J23,J19,J14)</f>
        <v>3641732.59</v>
      </c>
      <c r="K39" s="12"/>
      <c r="L39" s="18" t="n">
        <f aca="false">SUM(L35,L31,L27,L23,L19,L14)</f>
        <v>2378443</v>
      </c>
      <c r="M39" s="12"/>
      <c r="N39" s="18" t="n">
        <f aca="false">SUM(N35,N31,N27,N23,N19,N14)</f>
        <v>28253279.9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0.551666356797039</v>
      </c>
      <c r="E40" s="12"/>
      <c r="F40" s="20" t="n">
        <f aca="false">F39/N39</f>
        <v>0.0965150014317453</v>
      </c>
      <c r="G40" s="12"/>
      <c r="H40" s="20" t="n">
        <f aca="false">H39/N39</f>
        <v>0.138739820080146</v>
      </c>
      <c r="I40" s="12"/>
      <c r="J40" s="20" t="n">
        <f aca="false">J39/N39</f>
        <v>0.128895922982733</v>
      </c>
      <c r="K40" s="12"/>
      <c r="L40" s="20" t="n">
        <f aca="false">L39/N39</f>
        <v>0.0841828987083372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70138888888889" right="0.409722222222222" top="0.984027777777778" bottom="0.6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8827660.91</v>
      </c>
      <c r="E14" s="13"/>
      <c r="F14" s="13" t="n">
        <f aca="false">2766781.24</f>
        <v>2766781.24</v>
      </c>
      <c r="G14" s="13"/>
      <c r="H14" s="13" t="n">
        <f aca="false">2069758.44-476961.58</f>
        <v>1592796.86</v>
      </c>
      <c r="I14" s="13"/>
      <c r="J14" s="13" t="n">
        <f aca="false">6931.5</f>
        <v>6931.5</v>
      </c>
      <c r="K14" s="13"/>
      <c r="L14" s="13" t="n">
        <f aca="false">13448.48+1534922.91</f>
        <v>1548371.39</v>
      </c>
      <c r="M14" s="13"/>
      <c r="N14" s="13" t="n">
        <f aca="false">SUM(L14,J14,H14,F14,D14)</f>
        <v>14742541.9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0.598788253062384</v>
      </c>
      <c r="E15" s="14"/>
      <c r="F15" s="14" t="n">
        <f aca="false">F14/N14</f>
        <v>0.187673283126297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0.105027436957802</v>
      </c>
      <c r="M15" s="14"/>
      <c r="O15" s="13" t="n">
        <f aca="false">2297123.6+2282155.9+1002042.77</f>
        <v>5581322.27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3259924.7</v>
      </c>
      <c r="G19" s="13"/>
      <c r="H19" s="13" t="n">
        <v>2752830.14</v>
      </c>
      <c r="I19" s="13"/>
      <c r="J19" s="13" t="n">
        <v>0</v>
      </c>
      <c r="K19" s="13"/>
      <c r="L19" s="13" t="n">
        <f aca="false">2005+444405.91</f>
        <v>446410.91</v>
      </c>
      <c r="M19" s="13"/>
      <c r="N19" s="13" t="n">
        <f aca="false">SUM(L19,J19,H19,F19,D19)</f>
        <v>6459165.75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0.504697483572085</v>
      </c>
      <c r="G20" s="14"/>
      <c r="H20" s="14" t="n">
        <f aca="false">H19/N19</f>
        <v>0.426189735106271</v>
      </c>
      <c r="I20" s="14"/>
      <c r="J20" s="14" t="n">
        <f aca="false">J19/N19</f>
        <v>0</v>
      </c>
      <c r="K20" s="14"/>
      <c r="L20" s="14" t="n">
        <f aca="false">L19/N19</f>
        <v>0.0691127813216436</v>
      </c>
      <c r="M20" s="14"/>
      <c r="O20" s="13" t="n">
        <v>0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21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f aca="false">222492.95+222492.95</f>
        <v>444985.9</v>
      </c>
      <c r="E27" s="13"/>
      <c r="F27" s="13" t="n">
        <v>222492.95</v>
      </c>
      <c r="G27" s="13"/>
      <c r="H27" s="13" t="n">
        <v>222492.95</v>
      </c>
      <c r="I27" s="13"/>
      <c r="J27" s="13" t="n">
        <v>0</v>
      </c>
      <c r="K27" s="13"/>
      <c r="L27" s="13" t="n">
        <v>4011.82</v>
      </c>
      <c r="M27" s="13"/>
      <c r="N27" s="13" t="n">
        <f aca="false">SUM(L27,J27,H27,F27,D27)</f>
        <v>893983.62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0.4977562116854</v>
      </c>
      <c r="E28" s="14"/>
      <c r="F28" s="14" t="n">
        <f aca="false">F27/N27</f>
        <v>0.2488781058427</v>
      </c>
      <c r="G28" s="14"/>
      <c r="H28" s="14" t="n">
        <f aca="false">H27/N27</f>
        <v>0.2488781058427</v>
      </c>
      <c r="I28" s="14"/>
      <c r="J28" s="14" t="n">
        <f aca="false">J27/N27</f>
        <v>0</v>
      </c>
      <c r="K28" s="14"/>
      <c r="L28" s="14" t="n">
        <f aca="false">L27/N27</f>
        <v>0.00448757662920043</v>
      </c>
      <c r="M28" s="14"/>
      <c r="O28" s="13" t="n">
        <v>222492.95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1726803.12</v>
      </c>
      <c r="E31" s="13"/>
      <c r="F31" s="13" t="n">
        <v>45924.39</v>
      </c>
      <c r="G31" s="13"/>
      <c r="H31" s="13" t="n">
        <v>1431473.08</v>
      </c>
      <c r="I31" s="13"/>
      <c r="J31" s="13" t="n">
        <v>1073124.03</v>
      </c>
      <c r="K31" s="13"/>
      <c r="L31" s="13" t="n">
        <f aca="false">-58231.25+3121.04</f>
        <v>-55110.21</v>
      </c>
      <c r="M31" s="13"/>
      <c r="N31" s="13" t="n">
        <f aca="false">SUM(L31,J31,H31,F31,D31)</f>
        <v>4222214.41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0.408980443037236</v>
      </c>
      <c r="E32" s="14"/>
      <c r="F32" s="14" t="n">
        <f aca="false">F31/N31</f>
        <v>0.0108768493355599</v>
      </c>
      <c r="G32" s="14"/>
      <c r="H32" s="14" t="n">
        <f aca="false">H31/N31</f>
        <v>0.339033725196348</v>
      </c>
      <c r="I32" s="14"/>
      <c r="J32" s="14" t="n">
        <f aca="false">J31/N31</f>
        <v>0.254161424739205</v>
      </c>
      <c r="K32" s="14"/>
      <c r="L32" s="14" t="n">
        <f aca="false">L31/N31</f>
        <v>-0.0130524423083479</v>
      </c>
      <c r="M32" s="14"/>
      <c r="O32" s="13" t="n">
        <f aca="false">1274815.21+1409.37</f>
        <v>1276224.58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0</v>
      </c>
      <c r="E35" s="13"/>
      <c r="F35" s="13" t="n">
        <v>1161830.08</v>
      </c>
      <c r="G35" s="13"/>
      <c r="H35" s="13" t="n">
        <v>2594116.93</v>
      </c>
      <c r="I35" s="13"/>
      <c r="J35" s="13" t="n">
        <v>1294099.33</v>
      </c>
      <c r="K35" s="13"/>
      <c r="L35" s="13" t="n">
        <f aca="false">28354+202618.38</f>
        <v>230972.38</v>
      </c>
      <c r="M35" s="13"/>
      <c r="N35" s="13" t="n">
        <f aca="false">SUM(L35,J35,H35,F35,D35)</f>
        <v>5281018.72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</v>
      </c>
      <c r="E36" s="14"/>
      <c r="F36" s="14" t="n">
        <f aca="false">F35/N35</f>
        <v>0.220001128873105</v>
      </c>
      <c r="G36" s="14"/>
      <c r="H36" s="14" t="n">
        <f aca="false">H35/N35</f>
        <v>0.491215249848613</v>
      </c>
      <c r="I36" s="14"/>
      <c r="J36" s="14" t="n">
        <f aca="false">J35/N35</f>
        <v>0.245047290799984</v>
      </c>
      <c r="K36" s="14"/>
      <c r="L36" s="14" t="n">
        <f aca="false">L35/N35</f>
        <v>0.0437363304782983</v>
      </c>
      <c r="M36" s="14"/>
      <c r="O36" s="13" t="n">
        <v>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10999449.93</v>
      </c>
      <c r="E39" s="12"/>
      <c r="F39" s="18" t="n">
        <f aca="false">SUM(F35,F31,F27,F23,F19,F14)</f>
        <v>7456953.36</v>
      </c>
      <c r="G39" s="12"/>
      <c r="H39" s="18" t="n">
        <f aca="false">SUM(H35,H31,H27,H23,H19,H14)</f>
        <v>8593709.96</v>
      </c>
      <c r="I39" s="12"/>
      <c r="J39" s="18" t="n">
        <f aca="false">SUM(J35,J31,J27,J23,J19,J14)</f>
        <v>2374154.86</v>
      </c>
      <c r="K39" s="12"/>
      <c r="L39" s="18" t="n">
        <f aca="false">SUM(L35,L31,L27,L23,L19,L14)</f>
        <v>2243352.05</v>
      </c>
      <c r="M39" s="12"/>
      <c r="N39" s="18" t="n">
        <f aca="false">SUM(N35,N31,N27,N23,N19,N14)</f>
        <v>31667620.16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0.347340591886144</v>
      </c>
      <c r="E40" s="12"/>
      <c r="F40" s="20" t="n">
        <f aca="false">F39/N39</f>
        <v>0.235475647438105</v>
      </c>
      <c r="G40" s="12"/>
      <c r="H40" s="20" t="n">
        <f aca="false">H39/N39</f>
        <v>0.271372143425381</v>
      </c>
      <c r="I40" s="12"/>
      <c r="J40" s="20" t="n">
        <f aca="false">J39/N39</f>
        <v>0.0749710539663111</v>
      </c>
      <c r="K40" s="12"/>
      <c r="L40" s="20" t="n">
        <f aca="false">L39/N39</f>
        <v>0.0708405632840583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29861111111111" right="0.42986111111111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5450040.3</v>
      </c>
      <c r="E14" s="13"/>
      <c r="F14" s="13" t="n">
        <f aca="false">6122956.92-175922.3</f>
        <v>5947034.62</v>
      </c>
      <c r="G14" s="13"/>
      <c r="H14" s="13" t="n">
        <v>1234016.01</v>
      </c>
      <c r="I14" s="13"/>
      <c r="J14" s="13" t="n">
        <v>13448.48</v>
      </c>
      <c r="K14" s="13"/>
      <c r="L14" s="13" t="n">
        <f aca="false">16120.84+1518802.07</f>
        <v>1534922.91</v>
      </c>
      <c r="M14" s="13"/>
      <c r="N14" s="13" t="n">
        <f aca="false">SUM(L14,J14,H14,F14,D14)</f>
        <v>14179462.32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0.384361563013061</v>
      </c>
      <c r="E15" s="14"/>
      <c r="F15" s="14" t="n">
        <f aca="false">F14/N14</f>
        <v>0.419411856795992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0.10824972593178</v>
      </c>
      <c r="M15" s="14"/>
      <c r="O15" s="13" t="n">
        <f aca="false">4045590.65+3388277.02</f>
        <v>7433867.67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71398.48</v>
      </c>
      <c r="E19" s="13"/>
      <c r="F19" s="13" t="n">
        <v>2752830.14</v>
      </c>
      <c r="G19" s="13"/>
      <c r="H19" s="13" t="n">
        <v>0</v>
      </c>
      <c r="I19" s="13"/>
      <c r="J19" s="13" t="n">
        <v>0</v>
      </c>
      <c r="K19" s="13"/>
      <c r="L19" s="13" t="n">
        <f aca="false">2005+444405.91</f>
        <v>446410.91</v>
      </c>
      <c r="M19" s="13"/>
      <c r="N19" s="13" t="n">
        <f aca="false">SUM(L19,J19,H19,F19,D19)</f>
        <v>3270639.53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0.0218301281278772</v>
      </c>
      <c r="E20" s="14"/>
      <c r="F20" s="14" t="n">
        <f aca="false">F19/N19</f>
        <v>0.841679468113076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0.136490403759047</v>
      </c>
      <c r="M20" s="14"/>
      <c r="O20" s="13" t="n">
        <v>2930191.28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21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f aca="false">222492.95+444985.9</f>
        <v>667478.85</v>
      </c>
      <c r="E27" s="13"/>
      <c r="F27" s="13" t="n">
        <v>0</v>
      </c>
      <c r="G27" s="13"/>
      <c r="H27" s="13" t="n">
        <v>0</v>
      </c>
      <c r="I27" s="13"/>
      <c r="J27" s="13" t="n">
        <v>0</v>
      </c>
      <c r="K27" s="13"/>
      <c r="L27" s="13" t="n">
        <v>-193455.91</v>
      </c>
      <c r="M27" s="13"/>
      <c r="N27" s="13" t="n">
        <f aca="false">SUM(L27,J27,H27,F27,D27)</f>
        <v>474022.94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1.40811507983137</v>
      </c>
      <c r="E28" s="14"/>
      <c r="F28" s="14" t="n">
        <f aca="false">F27/N27</f>
        <v>0</v>
      </c>
      <c r="G28" s="14"/>
      <c r="H28" s="14" t="n">
        <f aca="false">H27/N27</f>
        <v>0</v>
      </c>
      <c r="I28" s="14"/>
      <c r="J28" s="14" t="n">
        <f aca="false">J27/N27</f>
        <v>0</v>
      </c>
      <c r="K28" s="14"/>
      <c r="L28" s="14" t="n">
        <f aca="false">L27/N27</f>
        <v>-0.408115079831368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37407.64</v>
      </c>
      <c r="E31" s="13"/>
      <c r="F31" s="13" t="n">
        <v>1432882.45</v>
      </c>
      <c r="G31" s="13"/>
      <c r="H31" s="13" t="n">
        <v>1073124.03</v>
      </c>
      <c r="I31" s="13"/>
      <c r="J31" s="13" t="n">
        <v>1216583.96</v>
      </c>
      <c r="K31" s="13"/>
      <c r="L31" s="13" t="n">
        <v>3121.04</v>
      </c>
      <c r="M31" s="13"/>
      <c r="N31" s="13" t="n">
        <f aca="false">SUM(L31,J31,H31,F31,D31)</f>
        <v>3763119.12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0.00994059417390965</v>
      </c>
      <c r="E32" s="14"/>
      <c r="F32" s="14" t="n">
        <f aca="false">F31/N31</f>
        <v>0.380769889101996</v>
      </c>
      <c r="G32" s="14"/>
      <c r="H32" s="14" t="n">
        <f aca="false">H31/N31</f>
        <v>0.285168764468981</v>
      </c>
      <c r="I32" s="14"/>
      <c r="J32" s="14" t="n">
        <f aca="false">J31/N31</f>
        <v>0.323291376436683</v>
      </c>
      <c r="K32" s="14"/>
      <c r="L32" s="14" t="n">
        <f aca="false">L31/N31</f>
        <v>0.000829375818430111</v>
      </c>
      <c r="M32" s="14"/>
      <c r="O32" s="13" t="n">
        <v>0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1134621.68</v>
      </c>
      <c r="E35" s="13"/>
      <c r="F35" s="13" t="n">
        <v>2621325.33</v>
      </c>
      <c r="G35" s="13"/>
      <c r="H35" s="13" t="n">
        <v>1294099.33</v>
      </c>
      <c r="I35" s="13"/>
      <c r="J35" s="13" t="n">
        <v>13832.09</v>
      </c>
      <c r="K35" s="13"/>
      <c r="L35" s="13" t="n">
        <f aca="false">14521.91+202618.38</f>
        <v>217140.29</v>
      </c>
      <c r="M35" s="13"/>
      <c r="N35" s="13" t="n">
        <f aca="false">SUM(L35,J35,H35,F35,D35)</f>
        <v>5281018.72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0.214849016857869</v>
      </c>
      <c r="E36" s="14"/>
      <c r="F36" s="14" t="n">
        <f aca="false">F35/N35</f>
        <v>0.496367361863849</v>
      </c>
      <c r="G36" s="14"/>
      <c r="H36" s="14" t="n">
        <f aca="false">H35/N35</f>
        <v>0.245047290799984</v>
      </c>
      <c r="I36" s="14"/>
      <c r="J36" s="14" t="n">
        <f aca="false">J35/N35</f>
        <v>0.00261920866661878</v>
      </c>
      <c r="K36" s="14"/>
      <c r="L36" s="14" t="n">
        <f aca="false">L35/N35</f>
        <v>0.0411171218116796</v>
      </c>
      <c r="M36" s="14"/>
      <c r="O36" s="13" t="n">
        <v>4159714.31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7360946.95</v>
      </c>
      <c r="E39" s="12"/>
      <c r="F39" s="18" t="n">
        <f aca="false">SUM(F35,F31,F27,F23,F19,F14)</f>
        <v>12754072.54</v>
      </c>
      <c r="G39" s="12"/>
      <c r="H39" s="18" t="n">
        <f aca="false">SUM(H35,H31,H27,H23,H19,H14)</f>
        <v>3601239.37</v>
      </c>
      <c r="I39" s="12"/>
      <c r="J39" s="18" t="n">
        <f aca="false">SUM(J35,J31,J27,J23,J19,J14)</f>
        <v>1243864.53</v>
      </c>
      <c r="K39" s="12"/>
      <c r="L39" s="18" t="n">
        <f aca="false">SUM(L35,L31,L27,L23,L19,L14)</f>
        <v>2076835</v>
      </c>
      <c r="M39" s="12"/>
      <c r="N39" s="18" t="n">
        <f aca="false">SUM(N35,N31,N27,N23,N19,N14)</f>
        <v>27036958.39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0.272254994212757</v>
      </c>
      <c r="E40" s="12"/>
      <c r="F40" s="20" t="n">
        <f aca="false">F39/N39</f>
        <v>0.471727342847754</v>
      </c>
      <c r="G40" s="12"/>
      <c r="H40" s="20" t="n">
        <f aca="false">H39/N39</f>
        <v>0.133196912095407</v>
      </c>
      <c r="I40" s="12"/>
      <c r="J40" s="20" t="n">
        <f aca="false">J39/N39</f>
        <v>0.0460060821952539</v>
      </c>
      <c r="K40" s="12"/>
      <c r="L40" s="20" t="n">
        <f aca="false">L39/N39</f>
        <v>0.076814668648828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40277777777778" right="0.429861111111111" top="0.984027777777778" bottom="0.72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85" zoomScaleNormal="85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f aca="false">8079349.15-469541.88</f>
        <v>7609807.27</v>
      </c>
      <c r="E14" s="13"/>
      <c r="F14" s="13" t="n">
        <f aca="false">3873847.26</f>
        <v>3873847.26</v>
      </c>
      <c r="G14" s="13"/>
      <c r="H14" s="13" t="n">
        <v>2555573.02</v>
      </c>
      <c r="I14" s="13"/>
      <c r="J14" s="13" t="n">
        <v>2561652.3</v>
      </c>
      <c r="K14" s="13"/>
      <c r="L14" s="13" t="n">
        <f aca="false">684+1518118.07</f>
        <v>1518802.07</v>
      </c>
      <c r="M14" s="13"/>
      <c r="N14" s="13" t="n">
        <f aca="false">SUM(L14,J14,H14,F14,D14)</f>
        <v>18119681.92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0.419974660901774</v>
      </c>
      <c r="E15" s="14"/>
      <c r="F15" s="14" t="n">
        <f aca="false">F14/N14</f>
        <v>0.213792233059243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0.0838205701791922</v>
      </c>
      <c r="M15" s="14"/>
      <c r="O15" s="13" t="n">
        <f aca="false">6101574.82</f>
        <v>6101574.82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-4010</v>
      </c>
      <c r="E19" s="13"/>
      <c r="F19" s="13" t="n">
        <v>2930191.28</v>
      </c>
      <c r="G19" s="13"/>
      <c r="H19" s="13" t="n">
        <v>0</v>
      </c>
      <c r="I19" s="13"/>
      <c r="J19" s="13" t="n">
        <v>0</v>
      </c>
      <c r="K19" s="13"/>
      <c r="L19" s="13" t="n">
        <f aca="false">2005+444405.91</f>
        <v>446410.91</v>
      </c>
      <c r="M19" s="13"/>
      <c r="N19" s="13" t="n">
        <f aca="false">SUM(L19,J19,H19,F19,D19)</f>
        <v>3372592.19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-0.0011889964081308</v>
      </c>
      <c r="E20" s="14"/>
      <c r="F20" s="14" t="n">
        <f aca="false">F19/N19</f>
        <v>0.868824665101297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0.132364331306834</v>
      </c>
      <c r="M20" s="14"/>
      <c r="O20" s="13" t="n">
        <f aca="false">1104.17+2817381.12+4670.12</f>
        <v>2823155.41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21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f aca="false">222492.95-212872.29</f>
        <v>9620.66</v>
      </c>
      <c r="E27" s="13"/>
      <c r="F27" s="13" t="n">
        <v>290490.43</v>
      </c>
      <c r="G27" s="13"/>
      <c r="H27" s="13" t="n">
        <v>0</v>
      </c>
      <c r="I27" s="13"/>
      <c r="J27" s="13" t="n">
        <v>144874.81</v>
      </c>
      <c r="K27" s="13"/>
      <c r="L27" s="13" t="n">
        <v>-193455.91</v>
      </c>
      <c r="M27" s="13"/>
      <c r="N27" s="13" t="n">
        <f aca="false">SUM(L27,J27,H27,F27,D27)</f>
        <v>251529.99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0.0382485603406576</v>
      </c>
      <c r="E28" s="14"/>
      <c r="F28" s="14" t="n">
        <f aca="false">F27/N27</f>
        <v>1.15489381604158</v>
      </c>
      <c r="G28" s="14"/>
      <c r="H28" s="14" t="n">
        <f aca="false">H27/N27</f>
        <v>0</v>
      </c>
      <c r="I28" s="14"/>
      <c r="J28" s="14" t="n">
        <f aca="false">J27/N27</f>
        <v>0.575974300321008</v>
      </c>
      <c r="K28" s="14"/>
      <c r="L28" s="14" t="n">
        <f aca="false">L27/N27</f>
        <v>-0.769116676703243</v>
      </c>
      <c r="M28" s="14"/>
      <c r="O28" s="13" t="n">
        <f aca="false">222492.95+222492.95</f>
        <v>444985.9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18617.53</v>
      </c>
      <c r="E31" s="13"/>
      <c r="F31" s="13" t="n">
        <v>1073124.03</v>
      </c>
      <c r="G31" s="13"/>
      <c r="H31" s="13" t="n">
        <v>1216583.96</v>
      </c>
      <c r="I31" s="13"/>
      <c r="J31" s="13" t="n">
        <v>0</v>
      </c>
      <c r="K31" s="13"/>
      <c r="L31" s="13" t="n">
        <f aca="false">1486802.59+3121.04</f>
        <v>1489923.63</v>
      </c>
      <c r="M31" s="13"/>
      <c r="N31" s="13" t="n">
        <f aca="false">SUM(L31,J31,H31,F31,D31)</f>
        <v>3798249.15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0.00490160841607771</v>
      </c>
      <c r="E32" s="14"/>
      <c r="F32" s="14" t="n">
        <f aca="false">F31/N31</f>
        <v>0.282531236793669</v>
      </c>
      <c r="G32" s="14"/>
      <c r="H32" s="14" t="n">
        <f aca="false">H31/N31</f>
        <v>0.320301252486294</v>
      </c>
      <c r="I32" s="14"/>
      <c r="J32" s="14" t="n">
        <f aca="false">J31/N31</f>
        <v>0</v>
      </c>
      <c r="K32" s="14"/>
      <c r="L32" s="14" t="n">
        <f aca="false">L31/N31</f>
        <v>0.39226590230396</v>
      </c>
      <c r="M32" s="14"/>
      <c r="O32" s="13" t="n">
        <f aca="false">200993.8+1588512.44+1277.6</f>
        <v>1790783.84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1121287.76</v>
      </c>
      <c r="E35" s="13"/>
      <c r="F35" s="13" t="n">
        <v>1882035.79</v>
      </c>
      <c r="G35" s="13"/>
      <c r="H35" s="13" t="n">
        <v>3241956.12</v>
      </c>
      <c r="I35" s="13"/>
      <c r="J35" s="13" t="n">
        <v>513323.97</v>
      </c>
      <c r="K35" s="13"/>
      <c r="L35" s="13" t="n">
        <v>462618.38</v>
      </c>
      <c r="M35" s="13"/>
      <c r="N35" s="13" t="n">
        <f aca="false">SUM(L35,J35,H35,F35,D35)</f>
        <v>7221222.02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0.155276732510712</v>
      </c>
      <c r="E36" s="14"/>
      <c r="F36" s="14" t="n">
        <f aca="false">F35/N35</f>
        <v>0.260625664851113</v>
      </c>
      <c r="G36" s="14"/>
      <c r="H36" s="14" t="n">
        <f aca="false">H35/N35</f>
        <v>0.448948406657631</v>
      </c>
      <c r="I36" s="14"/>
      <c r="J36" s="14" t="n">
        <f aca="false">J35/N35</f>
        <v>0.0710854712094837</v>
      </c>
      <c r="K36" s="14"/>
      <c r="L36" s="14" t="n">
        <f aca="false">L35/N35</f>
        <v>0.0640637247710603</v>
      </c>
      <c r="M36" s="14"/>
      <c r="O36" s="13" t="n">
        <f aca="false">2994328.65</f>
        <v>2994328.65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8755323.22</v>
      </c>
      <c r="E39" s="12"/>
      <c r="F39" s="18" t="n">
        <f aca="false">SUM(F35,F31,F27,F23,F19,F14)</f>
        <v>10049688.79</v>
      </c>
      <c r="G39" s="12"/>
      <c r="H39" s="18" t="n">
        <f aca="false">SUM(H35,H31,H27,H23,H19,H14)</f>
        <v>7014113.1</v>
      </c>
      <c r="I39" s="12"/>
      <c r="J39" s="18" t="n">
        <f aca="false">SUM(J35,J31,J27,J23,J19,J14)</f>
        <v>3219851.08</v>
      </c>
      <c r="K39" s="12"/>
      <c r="L39" s="18" t="n">
        <f aca="false">SUM(L35,L31,L27,L23,L19,L14)</f>
        <v>3792994.84</v>
      </c>
      <c r="M39" s="12"/>
      <c r="N39" s="18" t="n">
        <f aca="false">SUM(N35,N31,N27,N23,N19,N14)</f>
        <v>32831971.03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0.26667065501489</v>
      </c>
      <c r="E40" s="12"/>
      <c r="F40" s="20" t="n">
        <f aca="false">F39/N39</f>
        <v>0.306094592396453</v>
      </c>
      <c r="G40" s="12"/>
      <c r="H40" s="20" t="n">
        <f aca="false">H39/N39</f>
        <v>0.21363667425239</v>
      </c>
      <c r="I40" s="12"/>
      <c r="J40" s="20" t="n">
        <f aca="false">J39/N39</f>
        <v>0.098070599448869</v>
      </c>
      <c r="K40" s="12"/>
      <c r="L40" s="20" t="n">
        <f aca="false">L39/N39</f>
        <v>0.115527478887398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9231160.77</v>
      </c>
      <c r="E14" s="13"/>
      <c r="F14" s="13" t="n">
        <v>2555573.02</v>
      </c>
      <c r="G14" s="13"/>
      <c r="H14" s="13" t="n">
        <v>5165902.82</v>
      </c>
      <c r="I14" s="13"/>
      <c r="J14" s="13" t="n">
        <v>1860114.72</v>
      </c>
      <c r="K14" s="13"/>
      <c r="L14" s="13" t="n">
        <f aca="false">974385.64+1712084.13</f>
        <v>2686469.77</v>
      </c>
      <c r="M14" s="13"/>
      <c r="N14" s="13" t="n">
        <f aca="false">SUM(L14,J14,H14,F14,D14)</f>
        <v>21499221.1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0.42937187012789</v>
      </c>
      <c r="E15" s="14"/>
      <c r="F15" s="14" t="n">
        <f aca="false">F14/N14</f>
        <v>0.118868167740272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0.124956609241997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1104.17</v>
      </c>
      <c r="E19" s="13"/>
      <c r="F19" s="13" t="n">
        <v>2817381.12</v>
      </c>
      <c r="G19" s="13"/>
      <c r="H19" s="13" t="n">
        <v>0</v>
      </c>
      <c r="I19" s="13"/>
      <c r="J19" s="13" t="n">
        <v>2005</v>
      </c>
      <c r="K19" s="13"/>
      <c r="L19" s="13" t="n">
        <v>444405.91</v>
      </c>
      <c r="M19" s="13"/>
      <c r="N19" s="13" t="n">
        <f aca="false">SUM(L19,J19,H19,F19,D19)</f>
        <v>3264896.2</v>
      </c>
      <c r="O19" s="1" t="s">
        <v>11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0.000338194519017174</v>
      </c>
      <c r="E20" s="14"/>
      <c r="F20" s="14" t="n">
        <f aca="false">F19/N19</f>
        <v>0.862931299316652</v>
      </c>
      <c r="G20" s="14"/>
      <c r="H20" s="14" t="n">
        <f aca="false">H19/N19</f>
        <v>0</v>
      </c>
      <c r="I20" s="14"/>
      <c r="J20" s="14" t="n">
        <f aca="false">J19/N19</f>
        <v>0.00061410834439392</v>
      </c>
      <c r="K20" s="14"/>
      <c r="L20" s="14" t="n">
        <f aca="false">L19/N19</f>
        <v>0.136116397819937</v>
      </c>
      <c r="M20" s="14"/>
      <c r="O20" s="13" t="n">
        <v>0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21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f aca="false">290490.43-212872.29</f>
        <v>77618.14</v>
      </c>
      <c r="E27" s="13"/>
      <c r="F27" s="13" t="n">
        <v>222492.95</v>
      </c>
      <c r="G27" s="13"/>
      <c r="H27" s="13" t="n">
        <v>435365.24</v>
      </c>
      <c r="I27" s="13"/>
      <c r="J27" s="13" t="n">
        <v>0</v>
      </c>
      <c r="K27" s="13"/>
      <c r="L27" s="13" t="n">
        <v>-193455.91</v>
      </c>
      <c r="M27" s="13"/>
      <c r="N27" s="13" t="n">
        <f aca="false">SUM(L27,J27,H27,F27,D27)</f>
        <v>542020.42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0.143201505212663</v>
      </c>
      <c r="E28" s="14"/>
      <c r="F28" s="14" t="n">
        <f aca="false">F27/N27</f>
        <v>0.410488132531981</v>
      </c>
      <c r="G28" s="14"/>
      <c r="H28" s="14" t="n">
        <f aca="false">H27/N27</f>
        <v>0.8032266385831</v>
      </c>
      <c r="I28" s="14"/>
      <c r="J28" s="14" t="n">
        <f aca="false">J27/N27</f>
        <v>0</v>
      </c>
      <c r="K28" s="14"/>
      <c r="L28" s="14" t="n">
        <f aca="false">L27/N27</f>
        <v>-0.356916276327744</v>
      </c>
      <c r="M28" s="14"/>
      <c r="O28" s="13" t="n">
        <v>212872.29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1277.6</v>
      </c>
      <c r="E31" s="13"/>
      <c r="F31" s="13" t="n">
        <v>1475809.01</v>
      </c>
      <c r="G31" s="13"/>
      <c r="H31" s="13" t="n">
        <v>1588512.44</v>
      </c>
      <c r="I31" s="13"/>
      <c r="J31" s="13" t="n">
        <v>2971378.64</v>
      </c>
      <c r="K31" s="13"/>
      <c r="L31" s="13" t="n">
        <v>3121.04</v>
      </c>
      <c r="M31" s="13"/>
      <c r="N31" s="13" t="n">
        <f aca="false">SUM(L31,J31,H31,F31,D31)</f>
        <v>6040098.73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0.000211519721300979</v>
      </c>
      <c r="E32" s="14"/>
      <c r="F32" s="14" t="n">
        <f aca="false">F31/N31</f>
        <v>0.244335246155819</v>
      </c>
      <c r="G32" s="14"/>
      <c r="H32" s="14" t="n">
        <f aca="false">H31/N31</f>
        <v>0.262994449430134</v>
      </c>
      <c r="I32" s="14"/>
      <c r="J32" s="14" t="n">
        <f aca="false">J31/N31</f>
        <v>0.491942064662244</v>
      </c>
      <c r="K32" s="14"/>
      <c r="L32" s="14" t="n">
        <f aca="false">L31/N31</f>
        <v>0.000516720030501885</v>
      </c>
      <c r="M32" s="14"/>
      <c r="O32" s="13" t="n">
        <v>1484576.05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1131743.91</v>
      </c>
      <c r="E35" s="13"/>
      <c r="F35" s="13" t="n">
        <v>4013620.31</v>
      </c>
      <c r="G35" s="13"/>
      <c r="H35" s="13" t="n">
        <v>1972547.72</v>
      </c>
      <c r="I35" s="13"/>
      <c r="J35" s="13" t="n">
        <v>45789.72</v>
      </c>
      <c r="K35" s="13"/>
      <c r="L35" s="13" t="n">
        <f aca="false">52629.22+663416.07</f>
        <v>716045.29</v>
      </c>
      <c r="M35" s="13"/>
      <c r="N35" s="13" t="n">
        <f aca="false">SUM(L35,J35,H35,F35,D35)</f>
        <v>7879746.95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0.143626935887833</v>
      </c>
      <c r="E36" s="14"/>
      <c r="F36" s="14" t="n">
        <f aca="false">F35/N35</f>
        <v>0.50935903595229</v>
      </c>
      <c r="G36" s="14"/>
      <c r="H36" s="14" t="n">
        <f aca="false">H35/N35</f>
        <v>0.250331353597592</v>
      </c>
      <c r="I36" s="14"/>
      <c r="J36" s="14" t="n">
        <f aca="false">J35/N35</f>
        <v>0.00581106478298773</v>
      </c>
      <c r="K36" s="14"/>
      <c r="L36" s="14" t="n">
        <f aca="false">L35/N35</f>
        <v>0.0908716097792963</v>
      </c>
      <c r="M36" s="14"/>
      <c r="O36" s="13" t="n">
        <v>3112416.5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10442904.59</v>
      </c>
      <c r="E39" s="12"/>
      <c r="F39" s="18" t="n">
        <f aca="false">SUM(F35,F31,F27,F23,F19,F14)</f>
        <v>11084876.41</v>
      </c>
      <c r="G39" s="12"/>
      <c r="H39" s="18" t="n">
        <f aca="false">SUM(H35,H31,H27,H23,H19,H14)</f>
        <v>9162328.22</v>
      </c>
      <c r="I39" s="12"/>
      <c r="J39" s="18" t="n">
        <f aca="false">SUM(J35,J31,J27,J23,J19,J14)</f>
        <v>4879288.08</v>
      </c>
      <c r="K39" s="12"/>
      <c r="L39" s="18" t="n">
        <f aca="false">SUM(L35,L31,L27,L23,L19,L14)</f>
        <v>3725281.86</v>
      </c>
      <c r="M39" s="12"/>
      <c r="N39" s="18" t="n">
        <f aca="false">SUM(N35,N31,N27,N23,N19,N14)</f>
        <v>39294679.16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0.265758744268622</v>
      </c>
      <c r="E40" s="12"/>
      <c r="F40" s="20" t="n">
        <f aca="false">F39/N39</f>
        <v>0.282096117005171</v>
      </c>
      <c r="G40" s="12"/>
      <c r="H40" s="20" t="n">
        <f aca="false">H39/N39</f>
        <v>0.233169691567982</v>
      </c>
      <c r="I40" s="12"/>
      <c r="J40" s="20" t="n">
        <f aca="false">J39/N39</f>
        <v>0.124171724627971</v>
      </c>
      <c r="K40" s="12"/>
      <c r="L40" s="20" t="n">
        <f aca="false">L39/N39</f>
        <v>0.0948037225302541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31" colorId="64" zoomScale="100" zoomScaleNormal="100" zoomScalePageLayoutView="100" workbookViewId="0">
      <selection pane="topLeft" activeCell="K3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8139276.22</v>
      </c>
      <c r="E14" s="13"/>
      <c r="F14" s="13" t="n">
        <v>3455362.88</v>
      </c>
      <c r="G14" s="13"/>
      <c r="H14" s="13" t="n">
        <v>1859430.72</v>
      </c>
      <c r="I14" s="13"/>
      <c r="J14" s="13" t="n">
        <v>974385.64</v>
      </c>
      <c r="K14" s="13"/>
      <c r="L14" s="13" t="n">
        <v>1712084.13</v>
      </c>
      <c r="M14" s="13"/>
      <c r="N14" s="13" t="n">
        <f aca="false">SUM(L14,J14,H14,F14,D14)</f>
        <v>16140539.59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0.504275348083329</v>
      </c>
      <c r="E15" s="14"/>
      <c r="F15" s="14" t="n">
        <f aca="false">F14/N14</f>
        <v>0.21407976237305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0.106073537408919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2005</v>
      </c>
      <c r="I19" s="13"/>
      <c r="J19" s="13" t="n">
        <v>0</v>
      </c>
      <c r="K19" s="13"/>
      <c r="L19" s="13" t="n">
        <v>444405.91</v>
      </c>
      <c r="M19" s="13"/>
      <c r="N19" s="13" t="n">
        <f aca="false">SUM(L19,J19,H19,F19,D19)</f>
        <v>446410.91</v>
      </c>
      <c r="O19" s="1" t="s">
        <v>11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0.00449137768608747</v>
      </c>
      <c r="I20" s="14"/>
      <c r="J20" s="14" t="n">
        <f aca="false">J19/N19</f>
        <v>0</v>
      </c>
      <c r="K20" s="14"/>
      <c r="L20" s="14" t="n">
        <f aca="false">L19/N19</f>
        <v>0.995508622313913</v>
      </c>
      <c r="M20" s="14"/>
      <c r="O20" s="13" t="n">
        <f aca="false">9973.39+177074.32+3326591.62</f>
        <v>3513639.33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21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222492.95</v>
      </c>
      <c r="E27" s="13"/>
      <c r="F27" s="13" t="n">
        <v>435365.24</v>
      </c>
      <c r="G27" s="13"/>
      <c r="H27" s="13" t="n">
        <v>0</v>
      </c>
      <c r="I27" s="13"/>
      <c r="J27" s="13" t="n">
        <v>0</v>
      </c>
      <c r="K27" s="13"/>
      <c r="L27" s="13" t="n">
        <v>-193455.91</v>
      </c>
      <c r="M27" s="13"/>
      <c r="N27" s="13" t="n">
        <f aca="false">SUM(L27,J27,H27,F27,D27)</f>
        <v>464402.28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0.479095300737972</v>
      </c>
      <c r="E28" s="14"/>
      <c r="F28" s="14" t="n">
        <f aca="false">F27/N27</f>
        <v>0.937474381047397</v>
      </c>
      <c r="G28" s="14"/>
      <c r="H28" s="14" t="n">
        <f aca="false">H27/N27</f>
        <v>0</v>
      </c>
      <c r="I28" s="14"/>
      <c r="J28" s="14" t="n">
        <f aca="false">J27/N27</f>
        <v>0</v>
      </c>
      <c r="K28" s="14"/>
      <c r="L28" s="14" t="n">
        <f aca="false">L27/N27</f>
        <v>-0.416569681785369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2555.2</v>
      </c>
      <c r="E31" s="13"/>
      <c r="F31" s="13" t="n">
        <v>3075315.03</v>
      </c>
      <c r="G31" s="13"/>
      <c r="H31" s="13" t="n">
        <v>1484576.05</v>
      </c>
      <c r="I31" s="13"/>
      <c r="J31" s="13" t="n">
        <v>0</v>
      </c>
      <c r="K31" s="13"/>
      <c r="L31" s="13" t="n">
        <v>3121.04</v>
      </c>
      <c r="M31" s="13"/>
      <c r="N31" s="13" t="n">
        <f aca="false">SUM(L31,J31,H31,F31,D31)</f>
        <v>4565567.32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0.000559667577084374</v>
      </c>
      <c r="E32" s="14"/>
      <c r="F32" s="14" t="n">
        <f aca="false">F31/N31</f>
        <v>0.673588803855377</v>
      </c>
      <c r="G32" s="14"/>
      <c r="H32" s="14" t="n">
        <f aca="false">H31/N31</f>
        <v>0.325167924585547</v>
      </c>
      <c r="I32" s="14"/>
      <c r="J32" s="14" t="n">
        <f aca="false">J31/N31</f>
        <v>0</v>
      </c>
      <c r="K32" s="14"/>
      <c r="L32" s="14" t="n">
        <f aca="false">L31/N31</f>
        <v>0.000683603981991005</v>
      </c>
      <c r="M32" s="14"/>
      <c r="O32" s="13" t="n">
        <f aca="false">1536897.81+16694.79</f>
        <v>1553592.6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2967641.79</v>
      </c>
      <c r="E35" s="13"/>
      <c r="F35" s="13" t="n">
        <v>4552270.22</v>
      </c>
      <c r="G35" s="13"/>
      <c r="H35" s="13" t="n">
        <v>1046489.72</v>
      </c>
      <c r="I35" s="13"/>
      <c r="J35" s="13" t="n">
        <v>52659.22</v>
      </c>
      <c r="K35" s="13"/>
      <c r="L35" s="13" t="n">
        <v>833470.97</v>
      </c>
      <c r="M35" s="13"/>
      <c r="N35" s="13" t="n">
        <f aca="false">SUM(L35,J35,H35,F35,D35)</f>
        <v>9452531.92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0.313952051695373</v>
      </c>
      <c r="E36" s="14"/>
      <c r="F36" s="14" t="n">
        <f aca="false">F35/N35</f>
        <v>0.481592684217035</v>
      </c>
      <c r="G36" s="14"/>
      <c r="H36" s="14" t="n">
        <f aca="false">H35/N35</f>
        <v>0.110709990599006</v>
      </c>
      <c r="I36" s="14"/>
      <c r="J36" s="14" t="n">
        <f aca="false">J35/N35</f>
        <v>0.0055709116293574</v>
      </c>
      <c r="K36" s="14"/>
      <c r="L36" s="14" t="n">
        <f aca="false">L35/N35</f>
        <v>0.0881743618592298</v>
      </c>
      <c r="M36" s="14"/>
      <c r="O36" s="13" t="n">
        <v>3059914.9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11331966.16</v>
      </c>
      <c r="E39" s="12"/>
      <c r="F39" s="18" t="n">
        <f aca="false">SUM(F35,F31,F27,F23,F19,F14)</f>
        <v>11518313.37</v>
      </c>
      <c r="G39" s="12"/>
      <c r="H39" s="18" t="n">
        <f aca="false">SUM(H35,H31,H27,H23,H19,H14)</f>
        <v>4392501.49</v>
      </c>
      <c r="I39" s="12"/>
      <c r="J39" s="18" t="n">
        <f aca="false">SUM(J35,J31,J27,J23,J19,J14)</f>
        <v>1027044.86</v>
      </c>
      <c r="K39" s="12"/>
      <c r="L39" s="18" t="n">
        <f aca="false">SUM(L35,L31,L27,L23,L19,L14)</f>
        <v>2868321.9</v>
      </c>
      <c r="M39" s="12"/>
      <c r="N39" s="18" t="n">
        <f aca="false">SUM(N35,N31,N27,N23,N19,N14)</f>
        <v>31138147.78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0.36392550514127</v>
      </c>
      <c r="E40" s="12"/>
      <c r="F40" s="20" t="n">
        <f aca="false">F39/N39</f>
        <v>0.369910036119689</v>
      </c>
      <c r="G40" s="12"/>
      <c r="H40" s="20" t="n">
        <f aca="false">H39/N39</f>
        <v>0.141064957396769</v>
      </c>
      <c r="I40" s="12"/>
      <c r="J40" s="20" t="n">
        <f aca="false">J39/N39</f>
        <v>0.0329834923790705</v>
      </c>
      <c r="K40" s="12"/>
      <c r="L40" s="20" t="n">
        <f aca="false">L39/N39</f>
        <v>0.0921160089632024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429861111111111" right="0.42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100" zoomScaleNormal="100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7716132.06</v>
      </c>
      <c r="E14" s="13"/>
      <c r="F14" s="13" t="n">
        <v>1859430.72</v>
      </c>
      <c r="G14" s="13"/>
      <c r="H14" s="13" t="n">
        <v>974385.64</v>
      </c>
      <c r="I14" s="13"/>
      <c r="J14" s="13" t="n">
        <v>-2000</v>
      </c>
      <c r="K14" s="13"/>
      <c r="L14" s="13" t="n">
        <v>1714084.13</v>
      </c>
      <c r="M14" s="13"/>
      <c r="N14" s="13" t="n">
        <f aca="false">SUM(L14,J14,H14,F14,D14)</f>
        <v>12262032.55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0.629270231385905</v>
      </c>
      <c r="E15" s="14"/>
      <c r="F15" s="14" t="n">
        <f aca="false">F14/N14</f>
        <v>0.151641313331859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0.139787928551862</v>
      </c>
      <c r="M15" s="14"/>
      <c r="O15" s="13" t="n">
        <v>8249472.32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3394818.78</v>
      </c>
      <c r="G19" s="13"/>
      <c r="H19" s="13" t="n">
        <v>120825.55</v>
      </c>
      <c r="I19" s="13"/>
      <c r="J19" s="13" t="n">
        <v>0</v>
      </c>
      <c r="K19" s="13"/>
      <c r="L19" s="13" t="n">
        <v>444405.91</v>
      </c>
      <c r="M19" s="13"/>
      <c r="N19" s="13" t="n">
        <f aca="false">SUM(L19,J19,H19,F19,D19)</f>
        <v>3960050.24</v>
      </c>
      <c r="O19" s="1" t="s">
        <v>11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</v>
      </c>
      <c r="E20" s="14"/>
      <c r="F20" s="14" t="n">
        <f aca="false">F19/N19</f>
        <v>0.857266593668266</v>
      </c>
      <c r="G20" s="14"/>
      <c r="H20" s="14" t="n">
        <f aca="false">H19/N19</f>
        <v>0.0305111154347375</v>
      </c>
      <c r="I20" s="14"/>
      <c r="J20" s="14" t="n">
        <f aca="false">J19/N19</f>
        <v>0</v>
      </c>
      <c r="K20" s="14"/>
      <c r="L20" s="14" t="n">
        <f aca="false">L19/N19</f>
        <v>0.112222290896996</v>
      </c>
      <c r="M20" s="14"/>
      <c r="O20" s="13" t="n">
        <v>1503714.38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21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435365.24</v>
      </c>
      <c r="E27" s="13"/>
      <c r="F27" s="13" t="n">
        <v>-144874.81</v>
      </c>
      <c r="G27" s="13"/>
      <c r="H27" s="13" t="n">
        <v>0</v>
      </c>
      <c r="I27" s="13"/>
      <c r="J27" s="13" t="n">
        <v>4011.82</v>
      </c>
      <c r="K27" s="13"/>
      <c r="L27" s="13" t="n">
        <v>-52592.92</v>
      </c>
      <c r="M27" s="13"/>
      <c r="N27" s="13" t="n">
        <f aca="false">SUM(L27,J27,H27,F27,D27)</f>
        <v>241909.33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1.79970421149114</v>
      </c>
      <c r="E28" s="14"/>
      <c r="F28" s="14" t="n">
        <f aca="false">F27/N27</f>
        <v>-0.598880621925578</v>
      </c>
      <c r="G28" s="14"/>
      <c r="H28" s="14" t="n">
        <f aca="false">H27/N27</f>
        <v>0</v>
      </c>
      <c r="I28" s="14"/>
      <c r="J28" s="14" t="n">
        <f aca="false">J27/N27</f>
        <v>0.0165839821060229</v>
      </c>
      <c r="K28" s="14"/>
      <c r="L28" s="14" t="n">
        <f aca="false">L27/N27</f>
        <v>-0.217407571671585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1486802.59</v>
      </c>
      <c r="E31" s="13"/>
      <c r="F31" s="13" t="n">
        <v>1501270.84</v>
      </c>
      <c r="G31" s="13"/>
      <c r="H31" s="13" t="n">
        <v>0</v>
      </c>
      <c r="I31" s="13"/>
      <c r="J31" s="13" t="n">
        <v>1536897.81</v>
      </c>
      <c r="K31" s="13"/>
      <c r="L31" s="13" t="n">
        <v>3121.04</v>
      </c>
      <c r="M31" s="13"/>
      <c r="N31" s="13" t="n">
        <f aca="false">SUM(L31,J31,H31,F31,D31)</f>
        <v>4528092.28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0.328350770713533</v>
      </c>
      <c r="E32" s="14"/>
      <c r="F32" s="14" t="n">
        <f aca="false">F31/N31</f>
        <v>0.331545990489399</v>
      </c>
      <c r="G32" s="14"/>
      <c r="H32" s="14" t="n">
        <f aca="false">H31/N31</f>
        <v>0</v>
      </c>
      <c r="I32" s="14"/>
      <c r="J32" s="14" t="n">
        <f aca="false">J31/N31</f>
        <v>0.339413977225747</v>
      </c>
      <c r="K32" s="14"/>
      <c r="L32" s="14" t="n">
        <f aca="false">L31/N31</f>
        <v>0.000689261571321157</v>
      </c>
      <c r="M32" s="14"/>
      <c r="O32" s="13" t="n">
        <v>1204941.97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2673331.44</v>
      </c>
      <c r="E35" s="13"/>
      <c r="F35" s="13" t="n">
        <v>3219397.62</v>
      </c>
      <c r="G35" s="13"/>
      <c r="H35" s="13" t="n">
        <v>438993.22</v>
      </c>
      <c r="I35" s="13"/>
      <c r="J35" s="13" t="n">
        <v>578948.05</v>
      </c>
      <c r="K35" s="13"/>
      <c r="L35" s="13" t="n">
        <v>207855.43</v>
      </c>
      <c r="M35" s="13"/>
      <c r="N35" s="13" t="n">
        <f aca="false">SUM(L35,J35,H35,F35,D35)</f>
        <v>7118525.76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0.375545657925666</v>
      </c>
      <c r="E36" s="14"/>
      <c r="F36" s="14" t="n">
        <f aca="false">F35/N35</f>
        <v>0.452256229525817</v>
      </c>
      <c r="G36" s="14"/>
      <c r="H36" s="14" t="n">
        <f aca="false">H35/N35</f>
        <v>0.0616691200960127</v>
      </c>
      <c r="I36" s="14"/>
      <c r="J36" s="14" t="n">
        <f aca="false">J35/N35</f>
        <v>0.0813297682018924</v>
      </c>
      <c r="K36" s="14"/>
      <c r="L36" s="14" t="n">
        <f aca="false">L35/N35</f>
        <v>0.0291992242506123</v>
      </c>
      <c r="M36" s="14"/>
      <c r="O36" s="13" t="n">
        <v>3341912.89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12311631.33</v>
      </c>
      <c r="E39" s="12"/>
      <c r="F39" s="18" t="n">
        <f aca="false">SUM(F35,F31,F27,F23,F19,F14)</f>
        <v>9830043.15</v>
      </c>
      <c r="G39" s="12"/>
      <c r="H39" s="18" t="n">
        <f aca="false">SUM(H35,H31,H27,H23,H19,H14)</f>
        <v>1534204.41</v>
      </c>
      <c r="I39" s="12"/>
      <c r="J39" s="18" t="n">
        <f aca="false">SUM(J35,J31,J27,J23,J19,J14)</f>
        <v>2117857.68</v>
      </c>
      <c r="K39" s="12"/>
      <c r="L39" s="18" t="n">
        <f aca="false">SUM(L35,L31,L27,L23,L19,L14)</f>
        <v>2385569.35</v>
      </c>
      <c r="M39" s="12"/>
      <c r="N39" s="18" t="n">
        <f aca="false">SUM(N35,N31,N27,N23,N19,N14)</f>
        <v>28179305.92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0.436903285160829</v>
      </c>
      <c r="E40" s="12"/>
      <c r="F40" s="20" t="n">
        <f aca="false">F39/N39</f>
        <v>0.348839079922945</v>
      </c>
      <c r="G40" s="12"/>
      <c r="H40" s="20" t="n">
        <f aca="false">H39/N39</f>
        <v>0.0544443647531827</v>
      </c>
      <c r="I40" s="12"/>
      <c r="J40" s="20" t="n">
        <f aca="false">J39/N39</f>
        <v>0.0751564884533537</v>
      </c>
      <c r="K40" s="12"/>
      <c r="L40" s="20" t="n">
        <f aca="false">L39/N39</f>
        <v>0.0846567817096895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290277777777778" right="0.4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100" zoomScaleNormal="100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7024991.54</v>
      </c>
      <c r="E14" s="13"/>
      <c r="F14" s="13" t="n">
        <v>4853352.35</v>
      </c>
      <c r="G14" s="13"/>
      <c r="H14" s="13" t="n">
        <v>0</v>
      </c>
      <c r="I14" s="13"/>
      <c r="J14" s="13" t="n">
        <v>1539</v>
      </c>
      <c r="K14" s="13"/>
      <c r="L14" s="13" t="n">
        <v>6081050.74</v>
      </c>
      <c r="M14" s="13"/>
      <c r="N14" s="13" t="n">
        <f aca="false">SUM(L14,J14,H14,F14,D14)</f>
        <v>17960933.63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0.391126190025346</v>
      </c>
      <c r="E15" s="14"/>
      <c r="F15" s="14" t="n">
        <f aca="false">F14/N14</f>
        <v>0.270217152959882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0.338570971045897</v>
      </c>
      <c r="M15" s="14"/>
      <c r="O15" s="13" t="n">
        <v>2986712.47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2005</v>
      </c>
      <c r="E19" s="13"/>
      <c r="F19" s="13" t="n">
        <f aca="false">183708.79-62883.24</f>
        <v>120825.55</v>
      </c>
      <c r="G19" s="13"/>
      <c r="H19" s="13" t="n">
        <v>1503714.38</v>
      </c>
      <c r="I19" s="13"/>
      <c r="J19" s="13" t="n">
        <v>0</v>
      </c>
      <c r="K19" s="13"/>
      <c r="L19" s="13" t="n">
        <v>444405.91</v>
      </c>
      <c r="M19" s="13"/>
      <c r="N19" s="13" t="n">
        <f aca="false">SUM(L19,J19,H19,F19,D19)</f>
        <v>2070950.84</v>
      </c>
      <c r="O19" s="1" t="s">
        <v>11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0.00096815431891179</v>
      </c>
      <c r="E20" s="14"/>
      <c r="F20" s="14" t="n">
        <f aca="false">F19/N19</f>
        <v>0.0583430314550586</v>
      </c>
      <c r="G20" s="14"/>
      <c r="H20" s="14" t="n">
        <f aca="false">H19/N19</f>
        <v>0.726098539354995</v>
      </c>
      <c r="I20" s="14"/>
      <c r="J20" s="14" t="n">
        <f aca="false">J19/N19</f>
        <v>0</v>
      </c>
      <c r="K20" s="14"/>
      <c r="L20" s="14" t="n">
        <f aca="false">L19/N19</f>
        <v>0.214590274871035</v>
      </c>
      <c r="M20" s="14"/>
      <c r="O20" s="13" t="n">
        <v>2896377.45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21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289749.62</v>
      </c>
      <c r="E27" s="13"/>
      <c r="F27" s="13" t="n">
        <v>0</v>
      </c>
      <c r="G27" s="13"/>
      <c r="H27" s="13" t="n">
        <v>4011.82</v>
      </c>
      <c r="I27" s="13"/>
      <c r="J27" s="13" t="n">
        <v>144874.81</v>
      </c>
      <c r="K27" s="13"/>
      <c r="L27" s="13" t="n">
        <f aca="false">-197492.73+25</f>
        <v>-197467.73</v>
      </c>
      <c r="M27" s="13"/>
      <c r="N27" s="13" t="n">
        <f aca="false">SUM(L27,J27,H27,F27,D27)</f>
        <v>241168.52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1.20144046992535</v>
      </c>
      <c r="E28" s="14"/>
      <c r="F28" s="14" t="n">
        <f aca="false">F27/N27</f>
        <v>0</v>
      </c>
      <c r="G28" s="14"/>
      <c r="H28" s="14" t="n">
        <f aca="false">H27/N27</f>
        <v>0.0166349239942261</v>
      </c>
      <c r="I28" s="14"/>
      <c r="J28" s="14" t="n">
        <f aca="false">J27/N27</f>
        <v>0.600720234962673</v>
      </c>
      <c r="K28" s="14"/>
      <c r="L28" s="14" t="n">
        <f aca="false">L27/N27</f>
        <v>-0.818795628882244</v>
      </c>
      <c r="M28" s="14"/>
      <c r="O28" s="13" t="n">
        <v>652.21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1484576.05</v>
      </c>
      <c r="E31" s="13"/>
      <c r="F31" s="13" t="n">
        <v>-9525.33</v>
      </c>
      <c r="G31" s="13"/>
      <c r="H31" s="13" t="n">
        <v>1536897.81</v>
      </c>
      <c r="I31" s="13"/>
      <c r="J31" s="13" t="n">
        <v>1217777.54</v>
      </c>
      <c r="K31" s="13"/>
      <c r="L31" s="13" t="n">
        <v>-189.2</v>
      </c>
      <c r="M31" s="13"/>
      <c r="N31" s="13" t="n">
        <f aca="false">SUM(L31,J31,H31,F31,D31)</f>
        <v>4229536.87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0.351002035359961</v>
      </c>
      <c r="E32" s="14"/>
      <c r="F32" s="14" t="n">
        <f aca="false">F31/N31</f>
        <v>-0.00225209763923869</v>
      </c>
      <c r="G32" s="14"/>
      <c r="H32" s="14" t="n">
        <f aca="false">H31/N31</f>
        <v>0.363372600177854</v>
      </c>
      <c r="I32" s="14"/>
      <c r="J32" s="14" t="n">
        <f aca="false">J31/N31</f>
        <v>0.287922195131497</v>
      </c>
      <c r="K32" s="14"/>
      <c r="L32" s="14" t="n">
        <f aca="false">L31/N31</f>
        <v>-4.47330300728647E-005</v>
      </c>
      <c r="M32" s="14"/>
      <c r="O32" s="13" t="n">
        <v>1604419.57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0</v>
      </c>
      <c r="E35" s="13"/>
      <c r="F35" s="13" t="n">
        <v>2586962.08</v>
      </c>
      <c r="G35" s="13"/>
      <c r="H35" s="13" t="n">
        <v>613143.35</v>
      </c>
      <c r="I35" s="13"/>
      <c r="J35" s="13" t="n">
        <v>1078218.44</v>
      </c>
      <c r="K35" s="13"/>
      <c r="L35" s="13" t="n">
        <v>289392.93</v>
      </c>
      <c r="M35" s="13"/>
      <c r="N35" s="13" t="n">
        <f aca="false">SUM(L35,J35,H35,F35,D35)</f>
        <v>4567716.8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</v>
      </c>
      <c r="E36" s="14"/>
      <c r="F36" s="14" t="n">
        <f aca="false">F35/N35</f>
        <v>0.566357809223199</v>
      </c>
      <c r="G36" s="14"/>
      <c r="H36" s="14" t="n">
        <f aca="false">H35/N35</f>
        <v>0.134234099189337</v>
      </c>
      <c r="I36" s="14"/>
      <c r="J36" s="14" t="n">
        <f aca="false">J35/N35</f>
        <v>0.236051946127658</v>
      </c>
      <c r="K36" s="14"/>
      <c r="L36" s="14" t="n">
        <f aca="false">L35/N35</f>
        <v>0.0633561454598061</v>
      </c>
      <c r="M36" s="14"/>
      <c r="O36" s="13" t="n">
        <v>978679.13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8801322.21</v>
      </c>
      <c r="E39" s="12"/>
      <c r="F39" s="18" t="n">
        <f aca="false">SUM(F35,F31,F27,F23,F19,F14)</f>
        <v>7551614.65</v>
      </c>
      <c r="G39" s="12"/>
      <c r="H39" s="18" t="n">
        <f aca="false">SUM(H35,H31,H27,H23,H19,H14)</f>
        <v>3657767.36</v>
      </c>
      <c r="I39" s="12"/>
      <c r="J39" s="18" t="n">
        <f aca="false">SUM(J35,J31,J27,J23,J19,J14)</f>
        <v>2442409.79</v>
      </c>
      <c r="K39" s="12"/>
      <c r="L39" s="18" t="n">
        <f aca="false">SUM(L35,L31,L27,L23,L19,L14)</f>
        <v>6685888.41</v>
      </c>
      <c r="M39" s="12"/>
      <c r="N39" s="18" t="n">
        <f aca="false">SUM(N35,N31,N27,N23,N19,N14)</f>
        <v>29139002.42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0.302046105873517</v>
      </c>
      <c r="E40" s="12"/>
      <c r="F40" s="20" t="n">
        <f aca="false">F39/N39</f>
        <v>0.259158310952225</v>
      </c>
      <c r="G40" s="12"/>
      <c r="H40" s="20" t="n">
        <f aca="false">H39/N39</f>
        <v>0.125528228704543</v>
      </c>
      <c r="I40" s="12"/>
      <c r="J40" s="20" t="n">
        <f aca="false">J39/N39</f>
        <v>0.0838192658347018</v>
      </c>
      <c r="K40" s="12"/>
      <c r="L40" s="20" t="n">
        <f aca="false">L39/N39</f>
        <v>0.229448088635012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false" showOutlineSymbols="true" defaultGridColor="true" view="normal" topLeftCell="J10" colorId="64" zoomScale="100" zoomScaleNormal="100" zoomScalePageLayoutView="100" workbookViewId="0">
      <selection pane="topLeft" activeCell="J10" activeCellId="0" sqref="J10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19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0</v>
      </c>
      <c r="E14" s="13"/>
      <c r="F14" s="13" t="n">
        <v>3995609.14</v>
      </c>
      <c r="G14" s="13"/>
      <c r="H14" s="13" t="n">
        <v>4246004.18</v>
      </c>
      <c r="I14" s="13"/>
      <c r="J14" s="13" t="n">
        <v>1480001.13</v>
      </c>
      <c r="K14" s="13"/>
      <c r="L14" s="13" t="n">
        <v>18408675.15</v>
      </c>
      <c r="M14" s="13"/>
      <c r="N14" s="13" t="n">
        <f aca="false">SUM(L14,J14,H14,F14,D14)</f>
        <v>28130289.6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</v>
      </c>
      <c r="E15" s="14"/>
      <c r="F15" s="14" t="n">
        <f aca="false">F14/N14</f>
        <v>0.142039388744864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0.654407594509799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v>361082.48</v>
      </c>
      <c r="M19" s="13"/>
      <c r="N19" s="13" t="n">
        <f aca="false">SUM(L19,J19,H19,F19,D19)</f>
        <v>361082.48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1</v>
      </c>
      <c r="M20" s="14"/>
      <c r="O20" s="13" t="n">
        <v>2607998.87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 t="n">
        <v>666128.31</v>
      </c>
      <c r="E23" s="13"/>
      <c r="F23" s="13" t="n">
        <v>0</v>
      </c>
      <c r="G23" s="13"/>
      <c r="H23" s="13" t="n">
        <v>222042.41</v>
      </c>
      <c r="I23" s="13"/>
      <c r="J23" s="13" t="n">
        <v>222042.83</v>
      </c>
      <c r="K23" s="13"/>
      <c r="L23" s="13" t="n">
        <f aca="false">220242.35+581497.16</f>
        <v>801739.51</v>
      </c>
      <c r="M23" s="13"/>
      <c r="N23" s="13" t="n">
        <f aca="false">SUM(L23,J23,H23,F23,D23)</f>
        <v>1911953.06</v>
      </c>
      <c r="O23" s="1" t="s">
        <v>11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0.348402020915723</v>
      </c>
      <c r="E24" s="14"/>
      <c r="F24" s="14" t="n">
        <f aca="false">F23/N23</f>
        <v>0</v>
      </c>
      <c r="G24" s="14"/>
      <c r="H24" s="14" t="n">
        <f aca="false">H23/N23</f>
        <v>0.116133818682766</v>
      </c>
      <c r="I24" s="14"/>
      <c r="J24" s="14" t="n">
        <f aca="false">J23/N23</f>
        <v>0.116134038353431</v>
      </c>
      <c r="K24" s="14"/>
      <c r="L24" s="14" t="n">
        <f aca="false">L23/N23</f>
        <v>0.41933012204808</v>
      </c>
      <c r="M24" s="14"/>
      <c r="O24" s="13" t="n">
        <v>0</v>
      </c>
    </row>
    <row r="25" customFormat="false" ht="15" hidden="false" customHeight="false" outlineLevel="0" collapsed="false">
      <c r="F25" s="13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1241186.19</v>
      </c>
      <c r="E27" s="13"/>
      <c r="F27" s="13" t="n">
        <v>0</v>
      </c>
      <c r="G27" s="13"/>
      <c r="H27" s="13" t="n">
        <v>1395232.05</v>
      </c>
      <c r="I27" s="13"/>
      <c r="J27" s="13" t="n">
        <v>0</v>
      </c>
      <c r="K27" s="13"/>
      <c r="L27" s="13" t="n">
        <v>74964.58</v>
      </c>
      <c r="M27" s="13"/>
      <c r="N27" s="13" t="n">
        <f aca="false">SUM(L27,J27,H27,F27,D27)</f>
        <v>2711382.82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0.457768700474395</v>
      </c>
      <c r="E28" s="14"/>
      <c r="F28" s="14" t="n">
        <f aca="false">F27/N27</f>
        <v>0</v>
      </c>
      <c r="G28" s="14"/>
      <c r="H28" s="14" t="n">
        <f aca="false">H27/N27</f>
        <v>0.51458320075953</v>
      </c>
      <c r="I28" s="14"/>
      <c r="J28" s="14" t="n">
        <f aca="false">J27/N27</f>
        <v>0</v>
      </c>
      <c r="K28" s="14"/>
      <c r="L28" s="14" t="n">
        <f aca="false">L27/N27</f>
        <v>0.0276480987660754</v>
      </c>
      <c r="M28" s="14"/>
      <c r="O28" s="13"/>
    </row>
    <row r="29" customFormat="false" ht="15" hidden="false" customHeight="false" outlineLevel="0" collapsed="false">
      <c r="F29" s="2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5724350.44</v>
      </c>
      <c r="E31" s="13"/>
      <c r="F31" s="13" t="n">
        <v>4147270.02</v>
      </c>
      <c r="G31" s="13"/>
      <c r="H31" s="13" t="n">
        <v>762082.3</v>
      </c>
      <c r="I31" s="13"/>
      <c r="J31" s="13" t="n">
        <v>297628.78</v>
      </c>
      <c r="K31" s="13"/>
      <c r="L31" s="13" t="n">
        <f aca="false">453522.66-36038.09</f>
        <v>417484.57</v>
      </c>
      <c r="M31" s="13"/>
      <c r="N31" s="13" t="n">
        <f aca="false">SUM(L31,J31,H31,F31,D31)</f>
        <v>11348816.11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0.504400669154908</v>
      </c>
      <c r="E32" s="14"/>
      <c r="F32" s="14" t="n">
        <f aca="false">F31/N31</f>
        <v>0.365436357396402</v>
      </c>
      <c r="G32" s="14"/>
      <c r="H32" s="14" t="n">
        <f aca="false">H31/N31</f>
        <v>0.0671508193113193</v>
      </c>
      <c r="I32" s="14"/>
      <c r="J32" s="14" t="n">
        <f aca="false">J31/N31</f>
        <v>0.0262255355197574</v>
      </c>
      <c r="K32" s="14"/>
      <c r="L32" s="14" t="n">
        <f aca="false">L31/N31</f>
        <v>0.0367866186176137</v>
      </c>
      <c r="M32" s="14"/>
      <c r="O32" s="13" t="n">
        <f aca="false">5165558.61+633377+211786</f>
        <v>6010721.61</v>
      </c>
    </row>
    <row r="33" customFormat="false" ht="15" hidden="false" customHeight="false" outlineLevel="0" collapsed="false"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customFormat="false" ht="15" hidden="false" customHeight="false" outlineLevel="0" collapsed="false">
      <c r="A34" s="9"/>
      <c r="B34" s="9"/>
      <c r="C34" s="9"/>
      <c r="D34" s="9"/>
      <c r="E34" s="9"/>
      <c r="F34" s="10"/>
      <c r="G34" s="10"/>
      <c r="H34" s="10"/>
      <c r="I34" s="10"/>
      <c r="J34" s="10"/>
      <c r="K34" s="10"/>
      <c r="L34" s="10"/>
      <c r="M34" s="10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2" t="s">
        <v>10</v>
      </c>
      <c r="C35" s="12"/>
      <c r="D35" s="18" t="n">
        <f aca="false">SUM(D31,D27,D23,D19,D14)</f>
        <v>7631664.94</v>
      </c>
      <c r="E35" s="12"/>
      <c r="F35" s="18" t="n">
        <f aca="false">SUM(F31,F27,F23,F19,F14)</f>
        <v>8142879.16</v>
      </c>
      <c r="G35" s="12"/>
      <c r="H35" s="18" t="n">
        <f aca="false">SUM(H31,H27,H23,H19,H14)</f>
        <v>6625360.94</v>
      </c>
      <c r="I35" s="12"/>
      <c r="J35" s="18" t="n">
        <f aca="false">SUM(J31,J27,J23,J19,J14)</f>
        <v>1999672.74</v>
      </c>
      <c r="K35" s="12"/>
      <c r="L35" s="18" t="n">
        <f aca="false">SUM(L31,L27,L23,L19,L14)</f>
        <v>20063946.29</v>
      </c>
      <c r="M35" s="12"/>
      <c r="N35" s="18" t="n">
        <f aca="false">SUM(N31,N27,N23,N19,N14)</f>
        <v>44463524.07</v>
      </c>
      <c r="O35" s="18" t="n">
        <f aca="false">SUM(O32,O28,O24,O20,O15)</f>
        <v>8618720.48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5.75" hidden="false" customHeight="false" outlineLevel="0" collapsed="false">
      <c r="A36" s="12"/>
      <c r="B36" s="12" t="s">
        <v>12</v>
      </c>
      <c r="C36" s="12"/>
      <c r="D36" s="20" t="n">
        <f aca="false">D35/N35</f>
        <v>0.171638778068632</v>
      </c>
      <c r="E36" s="12"/>
      <c r="F36" s="20" t="n">
        <f aca="false">F35/N35</f>
        <v>0.183136162288452</v>
      </c>
      <c r="G36" s="12"/>
      <c r="H36" s="20" t="n">
        <f aca="false">H35/N35</f>
        <v>0.149006653848884</v>
      </c>
      <c r="I36" s="12"/>
      <c r="J36" s="20" t="n">
        <f aca="false">J35/N35</f>
        <v>0.0449733299783406</v>
      </c>
      <c r="K36" s="12"/>
      <c r="L36" s="20" t="n">
        <f aca="false">L35/N35</f>
        <v>0.451245075815692</v>
      </c>
      <c r="M36" s="12"/>
      <c r="N36" s="18"/>
      <c r="O36" s="12" t="s">
        <v>18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5.75" hidden="false" customHeight="false" outlineLevel="0" collapsed="false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8"/>
      <c r="O37" s="12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</row>
    <row r="38" customFormat="false" ht="9.95" hidden="false" customHeight="true" outlineLevel="0" collapsed="false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I14" colorId="64" zoomScale="100" zoomScaleNormal="100" zoomScalePageLayoutView="100" workbookViewId="0">
      <selection pane="topLeft" activeCell="I14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10862564.92</v>
      </c>
      <c r="E14" s="13"/>
      <c r="F14" s="13" t="n">
        <v>0</v>
      </c>
      <c r="G14" s="13"/>
      <c r="H14" s="13" t="n">
        <v>1539</v>
      </c>
      <c r="I14" s="13"/>
      <c r="J14" s="13" t="n">
        <v>4368505.61</v>
      </c>
      <c r="K14" s="13"/>
      <c r="L14" s="13" t="n">
        <v>5699257.73</v>
      </c>
      <c r="M14" s="13"/>
      <c r="N14" s="13" t="n">
        <f aca="false">SUM(L14,J14,H14,F14,D14)</f>
        <v>20931867.26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0.518948681695395</v>
      </c>
      <c r="E15" s="14"/>
      <c r="F15" s="14" t="n">
        <f aca="false">F14/N14</f>
        <v>0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0.272276603859946</v>
      </c>
      <c r="M15" s="14"/>
      <c r="O15" s="13" t="n">
        <v>8978874.26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/>
      <c r="E19" s="13"/>
      <c r="F19" s="13" t="n">
        <v>4400091.83</v>
      </c>
      <c r="G19" s="13"/>
      <c r="H19" s="13" t="n">
        <v>0</v>
      </c>
      <c r="I19" s="13"/>
      <c r="J19" s="13" t="n">
        <v>0</v>
      </c>
      <c r="K19" s="13"/>
      <c r="L19" s="13" t="n">
        <v>444405.91</v>
      </c>
      <c r="M19" s="13"/>
      <c r="N19" s="13" t="n">
        <f aca="false">SUM(L19,J19,H19,F19,D19)</f>
        <v>4844497.74</v>
      </c>
      <c r="O19" s="1" t="s">
        <v>39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</v>
      </c>
      <c r="E20" s="14"/>
      <c r="F20" s="14" t="n">
        <f aca="false">F19/N19</f>
        <v>0.908265844293696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0.0917341557063044</v>
      </c>
      <c r="M20" s="14"/>
      <c r="O20" s="13" t="n">
        <v>1000000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21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195872.9</v>
      </c>
      <c r="E27" s="13"/>
      <c r="F27" s="13" t="n">
        <v>4011.82</v>
      </c>
      <c r="G27" s="13"/>
      <c r="H27" s="13" t="n">
        <v>144874.81</v>
      </c>
      <c r="I27" s="13"/>
      <c r="J27" s="13" t="n">
        <v>0</v>
      </c>
      <c r="K27" s="13"/>
      <c r="L27" s="13" t="n">
        <f aca="false">-197492.73+25</f>
        <v>-197467.73</v>
      </c>
      <c r="M27" s="13"/>
      <c r="N27" s="13" t="n">
        <f aca="false">SUM(L27,J27,H27,F27,D27)</f>
        <v>147291.8</v>
      </c>
      <c r="O27" s="1" t="s">
        <v>40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1.32982895178143</v>
      </c>
      <c r="E28" s="14"/>
      <c r="F28" s="14" t="n">
        <f aca="false">F27/N27</f>
        <v>0.0272372256975609</v>
      </c>
      <c r="G28" s="14"/>
      <c r="H28" s="14" t="n">
        <f aca="false">H27/N27</f>
        <v>0.983590464642295</v>
      </c>
      <c r="I28" s="14"/>
      <c r="J28" s="14" t="n">
        <f aca="false">J27/N27</f>
        <v>0</v>
      </c>
      <c r="K28" s="14"/>
      <c r="L28" s="14" t="n">
        <f aca="false">L27/N27</f>
        <v>-1.34065664212129</v>
      </c>
      <c r="M28" s="14"/>
      <c r="O28" s="13" t="n">
        <v>144874.81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0</v>
      </c>
      <c r="E31" s="13"/>
      <c r="F31" s="13" t="n">
        <v>1559976.76</v>
      </c>
      <c r="G31" s="13"/>
      <c r="H31" s="13" t="n">
        <v>1217777.54</v>
      </c>
      <c r="I31" s="13"/>
      <c r="J31" s="13" t="n">
        <v>1581340.62</v>
      </c>
      <c r="K31" s="13"/>
      <c r="L31" s="13" t="n">
        <v>-189.2</v>
      </c>
      <c r="M31" s="13"/>
      <c r="N31" s="13" t="n">
        <f aca="false">SUM(L31,J31,H31,F31,D31)</f>
        <v>4358905.72</v>
      </c>
      <c r="O31" s="1" t="s">
        <v>41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0.357882656842599</v>
      </c>
      <c r="G32" s="14"/>
      <c r="H32" s="14" t="n">
        <f aca="false">H31/N31</f>
        <v>0.279376893703496</v>
      </c>
      <c r="I32" s="14"/>
      <c r="J32" s="14" t="n">
        <f aca="false">J31/N31</f>
        <v>0.362783854843275</v>
      </c>
      <c r="K32" s="14"/>
      <c r="L32" s="14" t="n">
        <f aca="false">L31/N31</f>
        <v>-4.34053893691465E-005</v>
      </c>
      <c r="M32" s="14"/>
      <c r="O32" s="13" t="n">
        <v>1100305.79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126549.55</v>
      </c>
      <c r="E35" s="13"/>
      <c r="F35" s="13" t="n">
        <v>613143.35</v>
      </c>
      <c r="G35" s="13"/>
      <c r="H35" s="13" t="n">
        <v>1138414.35</v>
      </c>
      <c r="I35" s="13"/>
      <c r="J35" s="13" t="n">
        <v>536193.6</v>
      </c>
      <c r="K35" s="13"/>
      <c r="L35" s="13" t="n">
        <v>671682.55</v>
      </c>
      <c r="M35" s="13"/>
      <c r="N35" s="13" t="n">
        <f aca="false">SUM(L35,J35,H35,F35,D35)</f>
        <v>3085983.4</v>
      </c>
      <c r="O35" s="1" t="s">
        <v>42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0.0410078518244784</v>
      </c>
      <c r="E36" s="14"/>
      <c r="F36" s="14" t="n">
        <f aca="false">F35/N35</f>
        <v>0.198686535384474</v>
      </c>
      <c r="G36" s="14"/>
      <c r="H36" s="14" t="n">
        <f aca="false">H35/N35</f>
        <v>0.368898403666073</v>
      </c>
      <c r="I36" s="14"/>
      <c r="J36" s="14" t="n">
        <f aca="false">J35/N35</f>
        <v>0.173751291079531</v>
      </c>
      <c r="K36" s="14"/>
      <c r="L36" s="14" t="n">
        <f aca="false">L35/N35</f>
        <v>0.217655918045444</v>
      </c>
      <c r="M36" s="14"/>
      <c r="O36" s="13" t="n">
        <v>1063696.02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11184987.37</v>
      </c>
      <c r="E39" s="12"/>
      <c r="F39" s="18" t="n">
        <f aca="false">SUM(F35,F31,F27,F23,F19,F14)</f>
        <v>6577223.76</v>
      </c>
      <c r="G39" s="12"/>
      <c r="H39" s="18" t="n">
        <f aca="false">SUM(H35,H31,H27,H23,H19,H14)</f>
        <v>2502605.7</v>
      </c>
      <c r="I39" s="12"/>
      <c r="J39" s="18" t="n">
        <f aca="false">SUM(J35,J31,J27,J23,J19,J14)</f>
        <v>6486039.83</v>
      </c>
      <c r="K39" s="12"/>
      <c r="L39" s="18" t="n">
        <f aca="false">SUM(L35,L31,L27,L23,L19,L14)</f>
        <v>6686385.02</v>
      </c>
      <c r="M39" s="12"/>
      <c r="N39" s="18" t="n">
        <f aca="false">SUM(N35,N31,N27,N23,N19,N14)</f>
        <v>33437241.68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0.334506879396399</v>
      </c>
      <c r="E40" s="12"/>
      <c r="F40" s="20" t="n">
        <f aca="false">F39/N39</f>
        <v>0.196703538615569</v>
      </c>
      <c r="G40" s="12"/>
      <c r="H40" s="20" t="n">
        <f aca="false">H39/N39</f>
        <v>0.0748448608276471</v>
      </c>
      <c r="I40" s="12"/>
      <c r="J40" s="20" t="n">
        <f aca="false">J39/N39</f>
        <v>0.19397652151073</v>
      </c>
      <c r="K40" s="12"/>
      <c r="L40" s="20" t="n">
        <f aca="false">L39/N39</f>
        <v>0.199968199649655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290277777777778" right="0.259722222222222" top="0.490277777777778" bottom="0.5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100" zoomScaleNormal="100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4.41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43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5714782.94</v>
      </c>
      <c r="E14" s="13"/>
      <c r="F14" s="13" t="n">
        <v>882079.46</v>
      </c>
      <c r="G14" s="13"/>
      <c r="H14" s="13" t="n">
        <v>4368505.61</v>
      </c>
      <c r="I14" s="13"/>
      <c r="J14" s="13" t="n">
        <v>4030388.46</v>
      </c>
      <c r="K14" s="13"/>
      <c r="L14" s="13" t="n">
        <f aca="false">9082357.21+681819.86</f>
        <v>9764177.07</v>
      </c>
      <c r="M14" s="13"/>
      <c r="N14" s="13" t="n">
        <f aca="false">SUM(L14,J14,H14,F14,D14)</f>
        <v>24759933.54</v>
      </c>
      <c r="O14" s="1" t="s">
        <v>44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0.230807684954715</v>
      </c>
      <c r="E15" s="14"/>
      <c r="F15" s="14" t="n">
        <f aca="false">F14/N14</f>
        <v>0.0356252757534663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0.394353928867614</v>
      </c>
      <c r="M15" s="14"/>
      <c r="O15" s="13" t="n">
        <v>3360451.57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2896377.45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v>22240.62</v>
      </c>
      <c r="M19" s="13"/>
      <c r="N19" s="13" t="n">
        <f aca="false">SUM(L19,J19,H19,F19,D19)</f>
        <v>2918618.07</v>
      </c>
      <c r="O19" s="1" t="s">
        <v>39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0.99237974292402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0.0076202570759798</v>
      </c>
      <c r="M20" s="14"/>
      <c r="O20" s="13" t="n">
        <v>1000000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21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0</v>
      </c>
      <c r="E27" s="13"/>
      <c r="F27" s="13" t="n">
        <v>0</v>
      </c>
      <c r="G27" s="13"/>
      <c r="H27" s="13" t="n">
        <v>144874.81</v>
      </c>
      <c r="I27" s="13"/>
      <c r="J27" s="13" t="n">
        <v>0</v>
      </c>
      <c r="K27" s="13"/>
      <c r="L27" s="13" t="n">
        <f aca="false">-197492.73+25</f>
        <v>-197467.73</v>
      </c>
      <c r="M27" s="13"/>
      <c r="N27" s="13" t="n">
        <f aca="false">SUM(L27,J27,H27,F27,D27)</f>
        <v>-52592.92</v>
      </c>
      <c r="O27" s="1" t="s">
        <v>45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-0</v>
      </c>
      <c r="E28" s="14"/>
      <c r="F28" s="14" t="n">
        <f aca="false">F27/N27</f>
        <v>-0</v>
      </c>
      <c r="G28" s="14"/>
      <c r="H28" s="14" t="n">
        <f aca="false">H27/N27</f>
        <v>-2.75464473164829</v>
      </c>
      <c r="I28" s="14"/>
      <c r="J28" s="14" t="n">
        <f aca="false">J27/N27</f>
        <v>-0</v>
      </c>
      <c r="K28" s="14"/>
      <c r="L28" s="14" t="n">
        <f aca="false">L27/N27</f>
        <v>3.75464473164829</v>
      </c>
      <c r="M28" s="14"/>
      <c r="O28" s="13" t="n">
        <v>144874.81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0</v>
      </c>
      <c r="E31" s="13"/>
      <c r="F31" s="13" t="n">
        <v>1217777.54</v>
      </c>
      <c r="G31" s="13"/>
      <c r="H31" s="13" t="n">
        <v>1581340.62</v>
      </c>
      <c r="I31" s="13"/>
      <c r="J31" s="13" t="n">
        <v>-189.2</v>
      </c>
      <c r="K31" s="13"/>
      <c r="L31" s="13" t="n">
        <v>1100305.79</v>
      </c>
      <c r="M31" s="13"/>
      <c r="N31" s="13" t="n">
        <f aca="false">SUM(L31,J31,H31,F31,D31)</f>
        <v>3899234.75</v>
      </c>
      <c r="O31" s="1" t="s">
        <v>46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0.312311932488804</v>
      </c>
      <c r="G32" s="14"/>
      <c r="H32" s="14" t="n">
        <f aca="false">H31/N31</f>
        <v>0.405551530335536</v>
      </c>
      <c r="I32" s="14"/>
      <c r="J32" s="14" t="n">
        <f aca="false">J31/N31</f>
        <v>-4.85223414671302E-005</v>
      </c>
      <c r="K32" s="14"/>
      <c r="L32" s="14" t="n">
        <f aca="false">L31/N31</f>
        <v>0.282185059517127</v>
      </c>
      <c r="M32" s="14"/>
      <c r="O32" s="13" t="n">
        <v>1486817.27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613143.35</v>
      </c>
      <c r="E35" s="13"/>
      <c r="F35" s="13" t="n">
        <v>1138414.35</v>
      </c>
      <c r="G35" s="13"/>
      <c r="H35" s="13" t="n">
        <v>536193.6</v>
      </c>
      <c r="I35" s="13"/>
      <c r="J35" s="13" t="n">
        <v>807306.43</v>
      </c>
      <c r="K35" s="13"/>
      <c r="L35" s="13" t="n">
        <v>928072.54</v>
      </c>
      <c r="M35" s="13"/>
      <c r="N35" s="13" t="n">
        <f aca="false">SUM(L35,J35,H35,F35,D35)</f>
        <v>4023130.27</v>
      </c>
      <c r="O35" s="1" t="s">
        <v>47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0.152404547914378</v>
      </c>
      <c r="E36" s="14"/>
      <c r="F36" s="14" t="n">
        <f aca="false">F35/N35</f>
        <v>0.282967309930036</v>
      </c>
      <c r="G36" s="14"/>
      <c r="H36" s="14" t="n">
        <f aca="false">H35/N35</f>
        <v>0.133277712630469</v>
      </c>
      <c r="I36" s="14"/>
      <c r="J36" s="14" t="n">
        <f aca="false">J35/N35</f>
        <v>0.200666241414052</v>
      </c>
      <c r="K36" s="14"/>
      <c r="L36" s="14" t="n">
        <f aca="false">L35/N35</f>
        <v>0.230684188111065</v>
      </c>
      <c r="M36" s="14"/>
      <c r="O36" s="13" t="n">
        <v>691008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9224303.74</v>
      </c>
      <c r="E39" s="12"/>
      <c r="F39" s="18" t="n">
        <f aca="false">SUM(F35,F31,F27,F23,F19,F14)</f>
        <v>3238271.35</v>
      </c>
      <c r="G39" s="12"/>
      <c r="H39" s="18" t="n">
        <f aca="false">SUM(H35,H31,H27,H23,H19,H14)</f>
        <v>6630914.64</v>
      </c>
      <c r="I39" s="12"/>
      <c r="J39" s="18" t="n">
        <f aca="false">SUM(J35,J31,J27,J23,J19,J14)</f>
        <v>4837505.69</v>
      </c>
      <c r="K39" s="12"/>
      <c r="L39" s="18" t="n">
        <f aca="false">SUM(L35,L31,L27,L23,L19,L14)</f>
        <v>11686024.05</v>
      </c>
      <c r="M39" s="12"/>
      <c r="N39" s="18" t="n">
        <f aca="false">SUM(N35,N31,N27,N23,N19,N14)</f>
        <v>35617019.47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0.25898584096206</v>
      </c>
      <c r="E40" s="12"/>
      <c r="F40" s="20" t="n">
        <f aca="false">F39/N39</f>
        <v>0.0909192121684291</v>
      </c>
      <c r="G40" s="12"/>
      <c r="H40" s="20" t="n">
        <f aca="false">H39/N39</f>
        <v>0.18617264270485</v>
      </c>
      <c r="I40" s="12"/>
      <c r="J40" s="20" t="n">
        <f aca="false">J39/N39</f>
        <v>0.135820059117372</v>
      </c>
      <c r="K40" s="12"/>
      <c r="L40" s="20" t="n">
        <f aca="false">L39/N39</f>
        <v>0.328102245047289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40277777777778" right="0.359722222222222" top="0.984027777777778" bottom="0.7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100" zoomScaleNormal="100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4.41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48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4147088.81</v>
      </c>
      <c r="E14" s="13"/>
      <c r="F14" s="13" t="n">
        <v>4368505.61</v>
      </c>
      <c r="G14" s="13"/>
      <c r="H14" s="13" t="n">
        <v>4030388.46</v>
      </c>
      <c r="I14" s="13"/>
      <c r="J14" s="13" t="n">
        <v>4145790.82</v>
      </c>
      <c r="K14" s="13"/>
      <c r="L14" s="13" t="n">
        <f aca="false">8885821.83+681819.86</f>
        <v>9567641.69</v>
      </c>
      <c r="M14" s="13"/>
      <c r="N14" s="13" t="n">
        <f aca="false">SUM(L14,J14,H14,F14,D14)</f>
        <v>26259415.39</v>
      </c>
      <c r="O14" s="1" t="s">
        <v>49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0.157927689874592</v>
      </c>
      <c r="E15" s="14"/>
      <c r="F15" s="14" t="n">
        <f aca="false">F14/N14</f>
        <v>0.166359591221654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0.364350902253654</v>
      </c>
      <c r="M15" s="14"/>
      <c r="O15" s="13" t="n">
        <v>1400000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62316.77</v>
      </c>
      <c r="E19" s="13"/>
      <c r="F19" s="13" t="n">
        <v>2046377.11</v>
      </c>
      <c r="G19" s="13"/>
      <c r="H19" s="13" t="n">
        <v>0</v>
      </c>
      <c r="I19" s="13"/>
      <c r="J19" s="13" t="n">
        <v>0</v>
      </c>
      <c r="K19" s="13"/>
      <c r="L19" s="13" t="n">
        <f aca="false">19417.71+422165.29</f>
        <v>441583</v>
      </c>
      <c r="M19" s="13"/>
      <c r="N19" s="13" t="n">
        <f aca="false">SUM(L19,J19,H19,F19,D19)</f>
        <v>2550276.88</v>
      </c>
      <c r="O19" s="1" t="s">
        <v>50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0.0244352958256046</v>
      </c>
      <c r="E20" s="14"/>
      <c r="F20" s="14" t="n">
        <f aca="false">F19/N19</f>
        <v>0.802413701056648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0.173151003117748</v>
      </c>
      <c r="M20" s="14"/>
      <c r="O20" s="13" t="n">
        <v>2804400.03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21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0</v>
      </c>
      <c r="E27" s="13"/>
      <c r="F27" s="13" t="n">
        <v>144874.81</v>
      </c>
      <c r="G27" s="13"/>
      <c r="H27" s="13" t="n">
        <v>0</v>
      </c>
      <c r="I27" s="13"/>
      <c r="J27" s="13" t="n">
        <v>0</v>
      </c>
      <c r="K27" s="13"/>
      <c r="L27" s="13" t="n">
        <f aca="false">-197492.73+25</f>
        <v>-197467.73</v>
      </c>
      <c r="M27" s="13"/>
      <c r="N27" s="13" t="n">
        <f aca="false">SUM(L27,J27,H27,F27,D27)</f>
        <v>-52592.92</v>
      </c>
      <c r="O27" s="1" t="s">
        <v>45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-0</v>
      </c>
      <c r="E28" s="14"/>
      <c r="F28" s="14" t="n">
        <f aca="false">F27/N27</f>
        <v>-2.75464473164829</v>
      </c>
      <c r="G28" s="14"/>
      <c r="H28" s="14" t="n">
        <f aca="false">H27/N27</f>
        <v>-0</v>
      </c>
      <c r="I28" s="14"/>
      <c r="J28" s="14" t="n">
        <f aca="false">J27/N27</f>
        <v>-0</v>
      </c>
      <c r="K28" s="14"/>
      <c r="L28" s="14" t="n">
        <f aca="false">L27/N27</f>
        <v>3.75464473164829</v>
      </c>
      <c r="M28" s="14"/>
      <c r="O28" s="13" t="n">
        <v>144874.81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1214467.3</v>
      </c>
      <c r="E31" s="13"/>
      <c r="F31" s="13" t="n">
        <v>1581340.62</v>
      </c>
      <c r="G31" s="13"/>
      <c r="H31" s="13" t="n">
        <v>-189.2</v>
      </c>
      <c r="I31" s="13"/>
      <c r="J31" s="13" t="n">
        <v>2587123.06</v>
      </c>
      <c r="K31" s="13"/>
      <c r="L31" s="13" t="n">
        <v>0</v>
      </c>
      <c r="M31" s="13"/>
      <c r="N31" s="13" t="n">
        <f aca="false">SUM(L31,J31,H31,F31,D31)</f>
        <v>5382741.78</v>
      </c>
      <c r="O31" s="1" t="s">
        <v>49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0.225622433628982</v>
      </c>
      <c r="E32" s="14"/>
      <c r="F32" s="14" t="n">
        <f aca="false">F31/N31</f>
        <v>0.293779765894696</v>
      </c>
      <c r="G32" s="14"/>
      <c r="H32" s="14" t="n">
        <f aca="false">H31/N31</f>
        <v>-3.51493732623377E-005</v>
      </c>
      <c r="I32" s="14"/>
      <c r="J32" s="14" t="n">
        <f aca="false">J31/N31</f>
        <v>0.480632949849584</v>
      </c>
      <c r="K32" s="14"/>
      <c r="L32" s="14" t="n">
        <f aca="false">L31/N31</f>
        <v>0</v>
      </c>
      <c r="M32" s="14"/>
      <c r="O32" s="13" t="n">
        <v>546126.27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674958.96</v>
      </c>
      <c r="E35" s="13"/>
      <c r="F35" s="13" t="n">
        <v>536193.6</v>
      </c>
      <c r="G35" s="13"/>
      <c r="H35" s="13" t="n">
        <v>807306.43</v>
      </c>
      <c r="I35" s="13"/>
      <c r="J35" s="13" t="n">
        <v>1482169.4</v>
      </c>
      <c r="K35" s="13"/>
      <c r="L35" s="13" t="n">
        <v>136911.14</v>
      </c>
      <c r="M35" s="13"/>
      <c r="N35" s="13" t="n">
        <f aca="false">SUM(L35,J35,H35,F35,D35)</f>
        <v>3637539.53</v>
      </c>
      <c r="O35" s="1" t="s">
        <v>45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0.185553711357193</v>
      </c>
      <c r="E36" s="14"/>
      <c r="F36" s="14" t="n">
        <f aca="false">F35/N35</f>
        <v>0.147405573349192</v>
      </c>
      <c r="G36" s="14"/>
      <c r="H36" s="14" t="n">
        <f aca="false">H35/N35</f>
        <v>0.221937500154122</v>
      </c>
      <c r="I36" s="14"/>
      <c r="J36" s="14" t="n">
        <f aca="false">J35/N35</f>
        <v>0.407464822794654</v>
      </c>
      <c r="K36" s="14"/>
      <c r="L36" s="14" t="n">
        <f aca="false">L35/N35</f>
        <v>0.0376383923448387</v>
      </c>
      <c r="M36" s="14"/>
      <c r="O36" s="1" t="s">
        <v>51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6098831.84</v>
      </c>
      <c r="E39" s="12"/>
      <c r="F39" s="18" t="n">
        <f aca="false">SUM(F35,F31,F27,F23,F19,F14)</f>
        <v>8677291.75</v>
      </c>
      <c r="G39" s="12"/>
      <c r="H39" s="18" t="n">
        <f aca="false">SUM(H35,H31,H27,H23,H19,H14)</f>
        <v>4837505.69</v>
      </c>
      <c r="I39" s="12"/>
      <c r="J39" s="18" t="n">
        <f aca="false">SUM(J35,J31,J27,J23,J19,J14)</f>
        <v>8215083.28</v>
      </c>
      <c r="K39" s="12"/>
      <c r="L39" s="18" t="n">
        <f aca="false">SUM(L35,L31,L27,L23,L19,L14)</f>
        <v>10017363.86</v>
      </c>
      <c r="M39" s="12"/>
      <c r="N39" s="18" t="n">
        <f aca="false">SUM(N35,N31,N27,N23,N19,N14)</f>
        <v>37846076.42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0.161148325451698</v>
      </c>
      <c r="E40" s="12"/>
      <c r="F40" s="20" t="n">
        <f aca="false">F39/N39</f>
        <v>0.22927850310566</v>
      </c>
      <c r="G40" s="12"/>
      <c r="H40" s="20" t="n">
        <f aca="false">H39/N39</f>
        <v>0.127820533793659</v>
      </c>
      <c r="I40" s="12"/>
      <c r="J40" s="20" t="n">
        <f aca="false">J39/N39</f>
        <v>0.217065652693622</v>
      </c>
      <c r="K40" s="12"/>
      <c r="L40" s="20" t="n">
        <f aca="false">L39/N39</f>
        <v>0.264686984955361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2" right="0.4" top="0.984027777777778" bottom="0.80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G12" colorId="64" zoomScale="75" zoomScaleNormal="75" zoomScalePageLayoutView="100" workbookViewId="0">
      <selection pane="topLeft" activeCell="G12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4.41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52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4368505.61</v>
      </c>
      <c r="E14" s="13"/>
      <c r="F14" s="13" t="n">
        <v>2207235.46</v>
      </c>
      <c r="G14" s="13"/>
      <c r="H14" s="13" t="n">
        <v>4145790.82</v>
      </c>
      <c r="I14" s="13"/>
      <c r="J14" s="13" t="n">
        <v>3961806.98</v>
      </c>
      <c r="K14" s="13"/>
      <c r="L14" s="13" t="n">
        <f aca="false">8438904.44+681819.86</f>
        <v>9120724.3</v>
      </c>
      <c r="M14" s="13"/>
      <c r="N14" s="13" t="n">
        <f aca="false">SUM(L14,J14,H14,F14,D14)</f>
        <v>23804063.17</v>
      </c>
      <c r="O14" s="1" t="s">
        <v>53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0.183519325200984</v>
      </c>
      <c r="E15" s="14"/>
      <c r="F15" s="14" t="n">
        <f aca="false">F14/N14</f>
        <v>0.0927251555432669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0.383158296752243</v>
      </c>
      <c r="M15" s="14"/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2046377.11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f aca="false">19417.71+422165.29</f>
        <v>441583</v>
      </c>
      <c r="M19" s="13"/>
      <c r="N19" s="13" t="n">
        <f aca="false">SUM(L19,J19,H19,F19,D19)</f>
        <v>2487960.11</v>
      </c>
      <c r="O19" s="1" t="s">
        <v>50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0.822512025725364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0.177487974274636</v>
      </c>
      <c r="M20" s="14"/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21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144874.81</v>
      </c>
      <c r="E27" s="13"/>
      <c r="F27" s="13" t="n">
        <v>0</v>
      </c>
      <c r="G27" s="13"/>
      <c r="H27" s="13" t="n">
        <v>0</v>
      </c>
      <c r="I27" s="13"/>
      <c r="J27" s="13" t="n">
        <v>0</v>
      </c>
      <c r="K27" s="13"/>
      <c r="L27" s="13" t="n">
        <f aca="false">-197492.73+25</f>
        <v>-197467.73</v>
      </c>
      <c r="M27" s="13"/>
      <c r="N27" s="13" t="n">
        <f aca="false">SUM(L27,J27,H27,F27,D27)</f>
        <v>-52592.92</v>
      </c>
      <c r="O27" s="1" t="s">
        <v>54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-2.75464473164829</v>
      </c>
      <c r="E28" s="14"/>
      <c r="F28" s="14" t="n">
        <f aca="false">F27/N27</f>
        <v>-0</v>
      </c>
      <c r="G28" s="14"/>
      <c r="H28" s="14" t="n">
        <f aca="false">H27/N27</f>
        <v>-0</v>
      </c>
      <c r="I28" s="14"/>
      <c r="J28" s="14" t="n">
        <f aca="false">J27/N27</f>
        <v>-0</v>
      </c>
      <c r="K28" s="14"/>
      <c r="L28" s="14" t="n">
        <f aca="false">L27/N27</f>
        <v>3.75464473164829</v>
      </c>
      <c r="M28" s="14"/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1581340.62</v>
      </c>
      <c r="E31" s="13"/>
      <c r="F31" s="13" t="n">
        <v>-189.2</v>
      </c>
      <c r="G31" s="13"/>
      <c r="H31" s="13" t="n">
        <v>2587123.06</v>
      </c>
      <c r="I31" s="13"/>
      <c r="J31" s="13" t="n">
        <v>546126.27</v>
      </c>
      <c r="K31" s="13"/>
      <c r="L31" s="13" t="n">
        <v>0</v>
      </c>
      <c r="M31" s="13"/>
      <c r="N31" s="13" t="n">
        <f aca="false">SUM(L31,J31,H31,F31,D31)</f>
        <v>4714400.75</v>
      </c>
      <c r="O31" s="1" t="s">
        <v>55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0.335427704146704</v>
      </c>
      <c r="E32" s="14"/>
      <c r="F32" s="14" t="n">
        <f aca="false">F31/N31</f>
        <v>-4.01323540430881E-005</v>
      </c>
      <c r="G32" s="14"/>
      <c r="H32" s="14" t="n">
        <f aca="false">H31/N31</f>
        <v>0.548770288567428</v>
      </c>
      <c r="I32" s="14"/>
      <c r="J32" s="14" t="n">
        <f aca="false">J31/N31</f>
        <v>0.115842139639911</v>
      </c>
      <c r="K32" s="14"/>
      <c r="L32" s="14" t="n">
        <f aca="false">L31/N31</f>
        <v>0</v>
      </c>
      <c r="M32" s="14"/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536193.6</v>
      </c>
      <c r="E35" s="13"/>
      <c r="F35" s="13" t="n">
        <v>807306.43</v>
      </c>
      <c r="G35" s="13"/>
      <c r="H35" s="13" t="n">
        <v>2650570.21</v>
      </c>
      <c r="I35" s="13"/>
      <c r="J35" s="13" t="n">
        <v>500614.52</v>
      </c>
      <c r="K35" s="13"/>
      <c r="L35" s="13" t="n">
        <v>26385.12</v>
      </c>
      <c r="M35" s="13"/>
      <c r="N35" s="13" t="n">
        <f aca="false">SUM(L35,J35,H35,F35,D35)</f>
        <v>4521069.88</v>
      </c>
      <c r="O35" s="1" t="s">
        <v>56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0.118598830416662</v>
      </c>
      <c r="E36" s="14"/>
      <c r="F36" s="14" t="n">
        <f aca="false">F35/N35</f>
        <v>0.178565350996079</v>
      </c>
      <c r="G36" s="14"/>
      <c r="H36" s="14" t="n">
        <f aca="false">H35/N35</f>
        <v>0.586270568770771</v>
      </c>
      <c r="I36" s="14"/>
      <c r="J36" s="14" t="n">
        <f aca="false">J35/N35</f>
        <v>0.110729215271497</v>
      </c>
      <c r="K36" s="14"/>
      <c r="L36" s="14" t="n">
        <f aca="false">L35/N35</f>
        <v>0.00583603454499137</v>
      </c>
      <c r="M36" s="14"/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8677291.75</v>
      </c>
      <c r="E39" s="12"/>
      <c r="F39" s="18" t="n">
        <f aca="false">SUM(F35,F31,F27,F23,F19,F14)</f>
        <v>3014352.69</v>
      </c>
      <c r="G39" s="12"/>
      <c r="H39" s="18" t="n">
        <f aca="false">SUM(H35,H31,H27,H23,H19,H14)</f>
        <v>9383484.09</v>
      </c>
      <c r="I39" s="12"/>
      <c r="J39" s="18" t="n">
        <f aca="false">SUM(J35,J31,J27,J23,J19,J14)</f>
        <v>5008547.77</v>
      </c>
      <c r="K39" s="12"/>
      <c r="L39" s="18" t="n">
        <f aca="false">SUM(L35,L31,L27,L23,L19,L14)</f>
        <v>9459920.45</v>
      </c>
      <c r="M39" s="12"/>
      <c r="N39" s="18" t="n">
        <f aca="false">SUM(N35,N31,N27,N23,N19,N14)</f>
        <v>35543596.75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0.244130941813029</v>
      </c>
      <c r="E40" s="12"/>
      <c r="F40" s="20" t="n">
        <f aca="false">F39/N39</f>
        <v>0.0848071935769978</v>
      </c>
      <c r="G40" s="12"/>
      <c r="H40" s="20" t="n">
        <f aca="false">H39/N39</f>
        <v>0.263999283921653</v>
      </c>
      <c r="I40" s="12"/>
      <c r="J40" s="20" t="n">
        <f aca="false">J39/N39</f>
        <v>0.140912800840843</v>
      </c>
      <c r="K40" s="12"/>
      <c r="L40" s="20" t="n">
        <f aca="false">L39/N39</f>
        <v>0.266149779847477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409722222222222" right="0.420138888888889" top="0.984027777777778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I1" colorId="64" zoomScale="85" zoomScaleNormal="85" zoomScalePageLayoutView="100" workbookViewId="0">
      <selection pane="topLeft" activeCell="I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56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57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3971478.74</v>
      </c>
      <c r="E14" s="13"/>
      <c r="F14" s="13" t="n">
        <v>3856970.57</v>
      </c>
      <c r="G14" s="13"/>
      <c r="H14" s="13" t="n">
        <v>3961806.98</v>
      </c>
      <c r="I14" s="13"/>
      <c r="J14" s="13" t="n">
        <v>3551416.52</v>
      </c>
      <c r="K14" s="13"/>
      <c r="L14" s="13" t="n">
        <f aca="false">9291272.33+681819.86</f>
        <v>9973092.19</v>
      </c>
      <c r="M14" s="13"/>
      <c r="N14" s="13" t="n">
        <f aca="false">SUM(L14,J14,H14,F14,D14)</f>
        <v>25314765</v>
      </c>
      <c r="O14" s="1" t="s">
        <v>58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0.156883887328206</v>
      </c>
      <c r="E15" s="14"/>
      <c r="F15" s="14" t="n">
        <f aca="false">F14/N14</f>
        <v>0.152360512530928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0.393963451369191</v>
      </c>
      <c r="M15" s="14"/>
      <c r="O15" s="1" t="s">
        <v>59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 t="s">
        <v>60</v>
      </c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/>
      <c r="E19" s="13"/>
      <c r="F19" s="13" t="n">
        <v>2804400.03</v>
      </c>
      <c r="G19" s="13"/>
      <c r="H19" s="13"/>
      <c r="I19" s="13"/>
      <c r="J19" s="13"/>
      <c r="K19" s="13"/>
      <c r="L19" s="13" t="n">
        <f aca="false">19417.71+422165.29</f>
        <v>441583</v>
      </c>
      <c r="M19" s="13"/>
      <c r="N19" s="13" t="n">
        <f aca="false">SUM(L19,J19,H19,F19,D19)</f>
        <v>3245983.03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</v>
      </c>
      <c r="E20" s="14"/>
      <c r="F20" s="14" t="n">
        <f aca="false">F19/N19</f>
        <v>0.863960163710406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0.136039836289594</v>
      </c>
      <c r="M20" s="14"/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21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144874.81</v>
      </c>
      <c r="E27" s="13"/>
      <c r="F27" s="13" t="n">
        <v>144874.81</v>
      </c>
      <c r="G27" s="13"/>
      <c r="H27" s="13" t="n">
        <v>144874.81</v>
      </c>
      <c r="I27" s="13"/>
      <c r="J27" s="13"/>
      <c r="K27" s="13"/>
      <c r="L27" s="13" t="n">
        <f aca="false">-197492.73+25</f>
        <v>-197467.73</v>
      </c>
      <c r="M27" s="13"/>
      <c r="N27" s="13" t="n">
        <f aca="false">SUM(L27,J27,H27,F27,D27)</f>
        <v>237156.7</v>
      </c>
      <c r="O27" s="1" t="s">
        <v>61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0.610882214164727</v>
      </c>
      <c r="E28" s="14"/>
      <c r="F28" s="14" t="n">
        <f aca="false">F27/N27</f>
        <v>0.610882214164727</v>
      </c>
      <c r="G28" s="14"/>
      <c r="H28" s="14" t="n">
        <f aca="false">H27/N27</f>
        <v>0.610882214164727</v>
      </c>
      <c r="I28" s="14"/>
      <c r="J28" s="14" t="n">
        <f aca="false">J27/N27</f>
        <v>0</v>
      </c>
      <c r="K28" s="14"/>
      <c r="L28" s="14" t="n">
        <f aca="false">L27/N27</f>
        <v>-0.832646642494182</v>
      </c>
      <c r="M28" s="14"/>
      <c r="O28" s="1" t="s">
        <v>62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/>
      <c r="E31" s="13"/>
      <c r="F31" s="13" t="n">
        <v>2587123.06</v>
      </c>
      <c r="G31" s="13"/>
      <c r="H31" s="13" t="n">
        <v>546126.27</v>
      </c>
      <c r="I31" s="13"/>
      <c r="J31" s="13"/>
      <c r="K31" s="13"/>
      <c r="L31" s="13"/>
      <c r="M31" s="13"/>
      <c r="N31" s="13" t="n">
        <f aca="false">SUM(L31,J31,H31,F31,D31)</f>
        <v>3133249.33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0.825699708998262</v>
      </c>
      <c r="G32" s="14"/>
      <c r="H32" s="14" t="n">
        <f aca="false">H31/N31</f>
        <v>0.174300291001738</v>
      </c>
      <c r="I32" s="14"/>
      <c r="J32" s="14" t="n">
        <f aca="false">J31/N31</f>
        <v>0</v>
      </c>
      <c r="K32" s="14"/>
      <c r="L32" s="14" t="n">
        <f aca="false">L31/N31</f>
        <v>0</v>
      </c>
      <c r="M32" s="14"/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430539.24</v>
      </c>
      <c r="E35" s="13"/>
      <c r="F35" s="13" t="n">
        <v>3127805.71</v>
      </c>
      <c r="G35" s="13"/>
      <c r="H35" s="13" t="n">
        <v>1229839.52</v>
      </c>
      <c r="I35" s="13"/>
      <c r="J35" s="13" t="n">
        <v>150.56</v>
      </c>
      <c r="K35" s="13"/>
      <c r="L35" s="13" t="n">
        <v>26234.56</v>
      </c>
      <c r="M35" s="13"/>
      <c r="N35" s="13" t="n">
        <f aca="false">SUM(L35,J35,H35,F35,D35)</f>
        <v>4814569.59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0.0894242428013176</v>
      </c>
      <c r="E36" s="14"/>
      <c r="F36" s="14" t="n">
        <f aca="false">F35/N35</f>
        <v>0.649654273664783</v>
      </c>
      <c r="G36" s="14"/>
      <c r="H36" s="14" t="n">
        <f aca="false">H35/N35</f>
        <v>0.255441217955269</v>
      </c>
      <c r="I36" s="14"/>
      <c r="J36" s="14" t="n">
        <f aca="false">J35/N35</f>
        <v>3.12717465570998E-005</v>
      </c>
      <c r="K36" s="14"/>
      <c r="L36" s="14" t="n">
        <f aca="false">L35/N35</f>
        <v>0.00544899383207378</v>
      </c>
      <c r="M36" s="14"/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4546892.79</v>
      </c>
      <c r="E39" s="12"/>
      <c r="F39" s="18" t="n">
        <f aca="false">SUM(F35,F31,F27,F23,F19,F14)</f>
        <v>12521174.18</v>
      </c>
      <c r="G39" s="12"/>
      <c r="H39" s="18" t="n">
        <f aca="false">SUM(H35,H31,H27,H23,H19,H14)</f>
        <v>5882647.58</v>
      </c>
      <c r="I39" s="12"/>
      <c r="J39" s="18" t="n">
        <f aca="false">SUM(J35,J31,J27,J23,J19,J14)</f>
        <v>3551567.08</v>
      </c>
      <c r="K39" s="12"/>
      <c r="L39" s="18" t="n">
        <f aca="false">SUM(L35,L31,L27,L23,L19,L14)</f>
        <v>10312137.78</v>
      </c>
      <c r="M39" s="12"/>
      <c r="N39" s="18" t="n">
        <f aca="false">SUM(N35,N31,N27,N23,N19,N14)</f>
        <v>36814419.41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0.123508474746309</v>
      </c>
      <c r="E40" s="12"/>
      <c r="F40" s="20" t="n">
        <f aca="false">F39/N39</f>
        <v>0.340116030095502</v>
      </c>
      <c r="G40" s="12"/>
      <c r="H40" s="20" t="n">
        <f aca="false">H39/N39</f>
        <v>0.159791942241036</v>
      </c>
      <c r="I40" s="12"/>
      <c r="J40" s="20" t="n">
        <f aca="false">J39/N39</f>
        <v>0.096472174134988</v>
      </c>
      <c r="K40" s="12"/>
      <c r="L40" s="20" t="n">
        <f aca="false">L39/N39</f>
        <v>0.280111378782165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20138888888889" right="0.4" top="0.984027777777778" bottom="0.5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O1" activeCellId="0" sqref="O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3995609.14</v>
      </c>
      <c r="E14" s="13"/>
      <c r="F14" s="13" t="n">
        <v>4246004.18</v>
      </c>
      <c r="G14" s="13"/>
      <c r="H14" s="13" t="n">
        <v>1480001.13</v>
      </c>
      <c r="I14" s="13"/>
      <c r="J14" s="13" t="n">
        <v>0</v>
      </c>
      <c r="K14" s="13"/>
      <c r="L14" s="13" t="n">
        <v>18408675.15</v>
      </c>
      <c r="M14" s="13"/>
      <c r="N14" s="13" t="n">
        <f aca="false">SUM(L14,J14,H14,F14,D14)</f>
        <v>28130289.6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0.142039388744864</v>
      </c>
      <c r="E15" s="14"/>
      <c r="F15" s="14" t="n">
        <f aca="false">F14/N14</f>
        <v>0.150940649398789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0.654407594509799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v>361082.48</v>
      </c>
      <c r="M19" s="13"/>
      <c r="N19" s="13" t="n">
        <f aca="false">SUM(L19,J19,H19,F19,D19)</f>
        <v>361082.48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1</v>
      </c>
      <c r="M20" s="14"/>
      <c r="O20" s="13" t="n">
        <v>2179404.27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21</v>
      </c>
      <c r="B23" s="1" t="s">
        <v>10</v>
      </c>
      <c r="D23" s="13" t="n">
        <v>0</v>
      </c>
      <c r="E23" s="13"/>
      <c r="F23" s="13" t="n">
        <v>0</v>
      </c>
      <c r="G23" s="13"/>
      <c r="H23" s="13" t="n">
        <v>0</v>
      </c>
      <c r="I23" s="13"/>
      <c r="J23" s="13" t="n">
        <v>0</v>
      </c>
      <c r="K23" s="13"/>
      <c r="L23" s="13" t="n">
        <v>0</v>
      </c>
      <c r="M23" s="13"/>
      <c r="N23" s="13" t="n">
        <f aca="false">SUM(L23,J23,H23,F23,D23)</f>
        <v>0</v>
      </c>
      <c r="O23" s="1" t="s">
        <v>11</v>
      </c>
    </row>
    <row r="24" customFormat="false" ht="15" hidden="false" customHeight="false" outlineLevel="0" collapsed="false">
      <c r="B24" s="1" t="s">
        <v>12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O24" s="13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222042.77</v>
      </c>
      <c r="E27" s="13"/>
      <c r="F27" s="13" t="n">
        <v>222042.41</v>
      </c>
      <c r="G27" s="13"/>
      <c r="H27" s="13" t="n">
        <v>222042.83</v>
      </c>
      <c r="I27" s="13"/>
      <c r="J27" s="13" t="n">
        <v>220242.35</v>
      </c>
      <c r="K27" s="13"/>
      <c r="L27" s="13" t="n">
        <f aca="false">222492.95+359004.21</f>
        <v>581497.16</v>
      </c>
      <c r="M27" s="13"/>
      <c r="N27" s="13" t="n">
        <f aca="false">SUM(L27,J27,H27,F27,D27)</f>
        <v>1467867.52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0.151268944216437</v>
      </c>
      <c r="E28" s="14"/>
      <c r="F28" s="14" t="n">
        <f aca="false">F27/N27</f>
        <v>0.151268698962697</v>
      </c>
      <c r="G28" s="14"/>
      <c r="H28" s="14" t="n">
        <f aca="false">H27/N27</f>
        <v>0.151268985092061</v>
      </c>
      <c r="I28" s="14"/>
      <c r="J28" s="14" t="n">
        <f aca="false">J27/N27</f>
        <v>0.150042389384023</v>
      </c>
      <c r="K28" s="14"/>
      <c r="L28" s="14" t="n">
        <f aca="false">L27/N27</f>
        <v>0.396150982344783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0</v>
      </c>
      <c r="E31" s="13"/>
      <c r="F31" s="13" t="n">
        <v>1395232.05</v>
      </c>
      <c r="G31" s="13"/>
      <c r="H31" s="13" t="n">
        <v>8876.53</v>
      </c>
      <c r="I31" s="13"/>
      <c r="J31" s="13" t="n">
        <v>0</v>
      </c>
      <c r="K31" s="13"/>
      <c r="L31" s="13" t="n">
        <v>74964.58</v>
      </c>
      <c r="M31" s="13"/>
      <c r="N31" s="13" t="n">
        <f aca="false">SUM(L31,J31,H31,F31,D31)</f>
        <v>1479073.16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0.943315102817497</v>
      </c>
      <c r="G32" s="14"/>
      <c r="H32" s="14" t="n">
        <f aca="false">H31/N31</f>
        <v>0.00600141375021639</v>
      </c>
      <c r="I32" s="14"/>
      <c r="J32" s="14" t="n">
        <f aca="false">J31/N31</f>
        <v>0</v>
      </c>
      <c r="K32" s="14"/>
      <c r="L32" s="14" t="n">
        <f aca="false">L31/N31</f>
        <v>0.0506834834322867</v>
      </c>
      <c r="M32" s="14"/>
      <c r="O32" s="13" t="n">
        <v>1285097.06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3114212.1</v>
      </c>
      <c r="E35" s="13"/>
      <c r="F35" s="13" t="n">
        <v>6798657.07</v>
      </c>
      <c r="G35" s="13"/>
      <c r="H35" s="13" t="n">
        <v>800728.78</v>
      </c>
      <c r="I35" s="13"/>
      <c r="J35" s="13" t="n">
        <v>453522.66</v>
      </c>
      <c r="K35" s="13"/>
      <c r="L35" s="13" t="n">
        <f aca="false">-51876.61+15838.52</f>
        <v>-36038.09</v>
      </c>
      <c r="M35" s="13"/>
      <c r="N35" s="13" t="n">
        <f aca="false">SUM(L35,J35,H35,F35,D35)</f>
        <v>11131082.52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0.279776211739018</v>
      </c>
      <c r="E36" s="14"/>
      <c r="F36" s="14" t="n">
        <f aca="false">F35/N35</f>
        <v>0.61078130161953</v>
      </c>
      <c r="G36" s="14"/>
      <c r="H36" s="14" t="n">
        <f aca="false">H35/N35</f>
        <v>0.0719362899844893</v>
      </c>
      <c r="I36" s="14"/>
      <c r="J36" s="14" t="n">
        <f aca="false">J35/N35</f>
        <v>0.040743805392254</v>
      </c>
      <c r="K36" s="14"/>
      <c r="L36" s="14" t="n">
        <f aca="false">L35/N35</f>
        <v>-0.00323760873529127</v>
      </c>
      <c r="M36" s="14"/>
      <c r="O36" s="13" t="n">
        <f aca="false">510244.44+1027933.48+288940.56+240012+6115697.12</f>
        <v>8182827.6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7331864.01</v>
      </c>
      <c r="E39" s="12"/>
      <c r="F39" s="18" t="n">
        <f aca="false">SUM(F35,F31,F27,F23,F19,F14)</f>
        <v>12661935.71</v>
      </c>
      <c r="G39" s="12"/>
      <c r="H39" s="18" t="n">
        <f aca="false">SUM(H35,H31,H27,H23,H19,H14)</f>
        <v>2511649.27</v>
      </c>
      <c r="I39" s="12"/>
      <c r="J39" s="18" t="n">
        <f aca="false">SUM(J35,J31,J27,J23,J19,J14)</f>
        <v>673765.01</v>
      </c>
      <c r="K39" s="12"/>
      <c r="L39" s="18" t="n">
        <f aca="false">SUM(L35,L31,L27,L23,L19,L14)</f>
        <v>19390181.28</v>
      </c>
      <c r="M39" s="12"/>
      <c r="N39" s="18" t="n">
        <f aca="false">SUM(N35,N31,N27,N23,N19,N14)</f>
        <v>42569395.28</v>
      </c>
      <c r="O39" s="18" t="n">
        <f aca="false">SUM(O36,O32,O28,O20,O15)</f>
        <v>11647328.93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0.172233219705723</v>
      </c>
      <c r="E40" s="12"/>
      <c r="F40" s="20" t="n">
        <f aca="false">F39/N39</f>
        <v>0.297442226433243</v>
      </c>
      <c r="G40" s="12"/>
      <c r="H40" s="20" t="n">
        <f aca="false">H39/N39</f>
        <v>0.0590012907977583</v>
      </c>
      <c r="I40" s="12"/>
      <c r="J40" s="20" t="n">
        <f aca="false">J39/N39</f>
        <v>0.0158274508145656</v>
      </c>
      <c r="K40" s="12"/>
      <c r="L40" s="20" t="n">
        <f aca="false">L39/N39</f>
        <v>0.45549581224871</v>
      </c>
      <c r="M40" s="12"/>
      <c r="N40" s="18"/>
      <c r="O40" s="12" t="s">
        <v>18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30" colorId="64" zoomScale="100" zoomScaleNormal="100" zoomScalePageLayoutView="100" workbookViewId="0">
      <selection pane="topLeft" activeCell="K30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8241613.32</v>
      </c>
      <c r="E14" s="13"/>
      <c r="F14" s="13" t="n">
        <v>1480001.13</v>
      </c>
      <c r="G14" s="13"/>
      <c r="H14" s="13" t="n">
        <v>0</v>
      </c>
      <c r="I14" s="13"/>
      <c r="J14" s="13" t="n">
        <v>0</v>
      </c>
      <c r="K14" s="13"/>
      <c r="L14" s="13" t="n">
        <f aca="false">6781315.73+11637732.7</f>
        <v>18419048.43</v>
      </c>
      <c r="M14" s="13"/>
      <c r="N14" s="13" t="n">
        <f aca="false">SUM(L14,J14,H14,F14,D14)</f>
        <v>28140662.88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0.292872039125185</v>
      </c>
      <c r="E15" s="14"/>
      <c r="F15" s="14" t="n">
        <f aca="false">F14/N14</f>
        <v>0.0525929732469756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0.65453498762784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v>361082.48</v>
      </c>
      <c r="M19" s="13"/>
      <c r="N19" s="13" t="n">
        <f aca="false">SUM(L19,J19,H19,F19,D19)</f>
        <v>361082.48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1</v>
      </c>
      <c r="M20" s="14"/>
      <c r="O20" s="13" t="n">
        <f aca="false">2283513.15</f>
        <v>2283513.15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21</v>
      </c>
      <c r="B23" s="1" t="s">
        <v>10</v>
      </c>
      <c r="D23" s="13" t="n">
        <v>0</v>
      </c>
      <c r="E23" s="13"/>
      <c r="F23" s="13" t="n">
        <v>0</v>
      </c>
      <c r="G23" s="13"/>
      <c r="H23" s="13" t="n">
        <v>0</v>
      </c>
      <c r="I23" s="13"/>
      <c r="J23" s="13" t="n">
        <v>0</v>
      </c>
      <c r="K23" s="13"/>
      <c r="L23" s="13" t="n">
        <v>0</v>
      </c>
      <c r="M23" s="13"/>
      <c r="N23" s="13" t="n">
        <f aca="false">SUM(L23,J23,H23,F23,D23)</f>
        <v>0</v>
      </c>
      <c r="O23" s="1" t="s">
        <v>11</v>
      </c>
    </row>
    <row r="24" customFormat="false" ht="15" hidden="false" customHeight="false" outlineLevel="0" collapsed="false">
      <c r="B24" s="1" t="s">
        <v>12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O24" s="13" t="n">
        <v>76019.61</v>
      </c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444085.18</v>
      </c>
      <c r="E27" s="13"/>
      <c r="F27" s="13" t="n">
        <v>222042.83</v>
      </c>
      <c r="G27" s="13"/>
      <c r="H27" s="13" t="n">
        <v>220242.35</v>
      </c>
      <c r="I27" s="13"/>
      <c r="J27" s="13" t="n">
        <v>222492.95</v>
      </c>
      <c r="K27" s="13"/>
      <c r="L27" s="13" t="n">
        <v>359004.21</v>
      </c>
      <c r="M27" s="13"/>
      <c r="N27" s="13" t="n">
        <f aca="false">SUM(L27,J27,H27,F27,D27)</f>
        <v>1467867.52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0.302537643179134</v>
      </c>
      <c r="E28" s="14"/>
      <c r="F28" s="14" t="n">
        <f aca="false">F27/N27</f>
        <v>0.151268985092061</v>
      </c>
      <c r="G28" s="14"/>
      <c r="H28" s="14" t="n">
        <f aca="false">H27/N27</f>
        <v>0.150042389384023</v>
      </c>
      <c r="I28" s="14"/>
      <c r="J28" s="14" t="n">
        <f aca="false">J27/N27</f>
        <v>0.15157563401907</v>
      </c>
      <c r="K28" s="14"/>
      <c r="L28" s="14" t="n">
        <f aca="false">L27/N27</f>
        <v>0.244575348325713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0</v>
      </c>
      <c r="E31" s="13"/>
      <c r="F31" s="13" t="n">
        <v>8876.53</v>
      </c>
      <c r="G31" s="13"/>
      <c r="H31" s="13" t="n">
        <v>1285097.06</v>
      </c>
      <c r="I31" s="13"/>
      <c r="J31" s="13" t="n">
        <v>0</v>
      </c>
      <c r="K31" s="13"/>
      <c r="L31" s="13" t="n">
        <v>74964.58</v>
      </c>
      <c r="M31" s="13"/>
      <c r="N31" s="13" t="n">
        <f aca="false">SUM(L31,J31,H31,F31,D31)</f>
        <v>1368938.17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0.00648424464634513</v>
      </c>
      <c r="G32" s="14"/>
      <c r="H32" s="14" t="n">
        <f aca="false">H31/N31</f>
        <v>0.938754640759268</v>
      </c>
      <c r="I32" s="14"/>
      <c r="J32" s="14" t="n">
        <f aca="false">J31/N31</f>
        <v>0</v>
      </c>
      <c r="K32" s="14"/>
      <c r="L32" s="14" t="n">
        <f aca="false">L31/N31</f>
        <v>0.0547611145943867</v>
      </c>
      <c r="M32" s="14"/>
      <c r="O32" s="13" t="n">
        <v>728225.76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4396232.6</v>
      </c>
      <c r="E35" s="13"/>
      <c r="F35" s="13" t="n">
        <v>5981524.27</v>
      </c>
      <c r="G35" s="13"/>
      <c r="H35" s="13" t="n">
        <v>2413378.42</v>
      </c>
      <c r="I35" s="13"/>
      <c r="J35" s="13" t="n">
        <v>-51876.61</v>
      </c>
      <c r="K35" s="13"/>
      <c r="L35" s="13" t="n">
        <v>15838.52</v>
      </c>
      <c r="M35" s="13"/>
      <c r="N35" s="13" t="n">
        <f aca="false">SUM(L35,J35,H35,F35,D35)</f>
        <v>12755097.2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0.344664766647172</v>
      </c>
      <c r="E36" s="14"/>
      <c r="F36" s="14" t="n">
        <f aca="false">F35/N35</f>
        <v>0.468951680744542</v>
      </c>
      <c r="G36" s="14"/>
      <c r="H36" s="14" t="n">
        <f aca="false">H35/N35</f>
        <v>0.189208939936577</v>
      </c>
      <c r="I36" s="14"/>
      <c r="J36" s="14" t="n">
        <f aca="false">J35/N35</f>
        <v>-0.00406712776755633</v>
      </c>
      <c r="K36" s="14"/>
      <c r="L36" s="14" t="n">
        <f aca="false">L35/N35</f>
        <v>0.00124174043926533</v>
      </c>
      <c r="M36" s="14"/>
      <c r="O36" s="13" t="n">
        <v>7228704.26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13081931.1</v>
      </c>
      <c r="E39" s="12"/>
      <c r="F39" s="18" t="n">
        <f aca="false">SUM(F35,F31,F27,F23,F19,F14)</f>
        <v>7692444.76</v>
      </c>
      <c r="G39" s="12"/>
      <c r="H39" s="18" t="n">
        <f aca="false">SUM(H35,H31,H27,H23,H19,H14)</f>
        <v>3918717.83</v>
      </c>
      <c r="I39" s="12"/>
      <c r="J39" s="18" t="n">
        <f aca="false">SUM(J35,J31,J27,J23,J19,J14)</f>
        <v>170616.34</v>
      </c>
      <c r="K39" s="12"/>
      <c r="L39" s="18" t="n">
        <f aca="false">SUM(L35,L31,L27,L23,L19,L14)</f>
        <v>19229938.22</v>
      </c>
      <c r="M39" s="12"/>
      <c r="N39" s="18" t="n">
        <f aca="false">SUM(N35,N31,N27,N23,N19,N14)</f>
        <v>44093648.25</v>
      </c>
      <c r="O39" s="18" t="n">
        <f aca="false">SUM(O36,O32,O28,O20,O15)</f>
        <v>10240443.17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0.296685160316713</v>
      </c>
      <c r="E40" s="12"/>
      <c r="F40" s="20" t="n">
        <f aca="false">F39/N39</f>
        <v>0.174456981114054</v>
      </c>
      <c r="G40" s="12"/>
      <c r="H40" s="20" t="n">
        <f aca="false">H39/N39</f>
        <v>0.0888726151163961</v>
      </c>
      <c r="I40" s="12"/>
      <c r="J40" s="20" t="n">
        <f aca="false">J39/N39</f>
        <v>0.00386940856044952</v>
      </c>
      <c r="K40" s="12"/>
      <c r="L40" s="20" t="n">
        <f aca="false">L39/N39</f>
        <v>0.436115834892387</v>
      </c>
      <c r="M40" s="12"/>
      <c r="N40" s="18"/>
      <c r="O40" s="12" t="s">
        <v>18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100" zoomScaleNormal="100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5700266.62</v>
      </c>
      <c r="E14" s="13"/>
      <c r="F14" s="13" t="n">
        <v>0</v>
      </c>
      <c r="G14" s="13"/>
      <c r="H14" s="13" t="n">
        <v>1249148.06</v>
      </c>
      <c r="I14" s="13"/>
      <c r="J14" s="13" t="n">
        <v>5532167.67</v>
      </c>
      <c r="K14" s="13"/>
      <c r="L14" s="13" t="n">
        <f aca="false">2567970.69+9086514.98</f>
        <v>11654485.67</v>
      </c>
      <c r="M14" s="13"/>
      <c r="N14" s="13" t="n">
        <f aca="false">SUM(L14,J14,H14,F14,D14)</f>
        <v>24136068.02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0.23617213107274</v>
      </c>
      <c r="E15" s="14"/>
      <c r="F15" s="14" t="n">
        <f aca="false">F14/N14</f>
        <v>0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0.482865960617226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v>361082.48</v>
      </c>
      <c r="M19" s="13"/>
      <c r="N19" s="13" t="n">
        <f aca="false">SUM(L19,J19,H19,F19,D19)</f>
        <v>361082.48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1</v>
      </c>
      <c r="M20" s="14"/>
      <c r="O20" s="13" t="n">
        <f aca="false">9025.65+1923557.92</f>
        <v>1932583.57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21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442285.18</v>
      </c>
      <c r="E27" s="13"/>
      <c r="F27" s="13" t="n">
        <v>0</v>
      </c>
      <c r="G27" s="13"/>
      <c r="H27" s="13" t="n">
        <v>222492.95</v>
      </c>
      <c r="I27" s="13"/>
      <c r="J27" s="13" t="n">
        <v>121847.95</v>
      </c>
      <c r="K27" s="13"/>
      <c r="L27" s="13" t="n">
        <f aca="false">233144.44+4011.82</f>
        <v>237156.26</v>
      </c>
      <c r="M27" s="13"/>
      <c r="N27" s="13" t="n">
        <f aca="false">SUM(L27,J27,H27,F27,D27)</f>
        <v>1023782.34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0.432010948733497</v>
      </c>
      <c r="E28" s="14"/>
      <c r="F28" s="14" t="n">
        <f aca="false">F27/N27</f>
        <v>0</v>
      </c>
      <c r="G28" s="14"/>
      <c r="H28" s="14" t="n">
        <f aca="false">H27/N27</f>
        <v>0.217324465667185</v>
      </c>
      <c r="I28" s="14"/>
      <c r="J28" s="14" t="n">
        <f aca="false">J27/N27</f>
        <v>0.119017436850884</v>
      </c>
      <c r="K28" s="14"/>
      <c r="L28" s="14" t="n">
        <f aca="false">L27/N27</f>
        <v>0.231647148748434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0</v>
      </c>
      <c r="E31" s="13"/>
      <c r="F31" s="13" t="n">
        <v>2013322.82</v>
      </c>
      <c r="G31" s="13"/>
      <c r="H31" s="13" t="n">
        <v>0</v>
      </c>
      <c r="I31" s="13"/>
      <c r="J31" s="13" t="n">
        <v>0</v>
      </c>
      <c r="K31" s="13"/>
      <c r="L31" s="13" t="n">
        <v>74964.58</v>
      </c>
      <c r="M31" s="13"/>
      <c r="N31" s="13" t="n">
        <f aca="false">SUM(L31,J31,H31,F31,D31)</f>
        <v>2088287.4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0.964102364454241</v>
      </c>
      <c r="G32" s="14"/>
      <c r="H32" s="14" t="n">
        <f aca="false">H31/N31</f>
        <v>0</v>
      </c>
      <c r="I32" s="14"/>
      <c r="J32" s="14" t="n">
        <f aca="false">J31/N31</f>
        <v>0</v>
      </c>
      <c r="K32" s="14"/>
      <c r="L32" s="14" t="n">
        <f aca="false">L31/N31</f>
        <v>0.0358976355457587</v>
      </c>
      <c r="M32" s="14"/>
      <c r="O32" s="13" t="n">
        <v>1038874.2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6438672.59</v>
      </c>
      <c r="E35" s="13"/>
      <c r="F35" s="13" t="n">
        <v>6404761.2</v>
      </c>
      <c r="G35" s="13"/>
      <c r="H35" s="13" t="n">
        <v>2241875.7</v>
      </c>
      <c r="I35" s="13"/>
      <c r="J35" s="13" t="n">
        <v>0</v>
      </c>
      <c r="K35" s="13"/>
      <c r="L35" s="13" t="n">
        <f aca="false">15838.52+135363.86</f>
        <v>151202.38</v>
      </c>
      <c r="M35" s="13"/>
      <c r="N35" s="13" t="n">
        <f aca="false">SUM(L35,J35,H35,F35,D35)</f>
        <v>15236511.87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0.422581798572773</v>
      </c>
      <c r="E36" s="14"/>
      <c r="F36" s="14" t="n">
        <f aca="false">F35/N35</f>
        <v>0.420356132338313</v>
      </c>
      <c r="G36" s="14"/>
      <c r="H36" s="14" t="n">
        <f aca="false">H35/N35</f>
        <v>0.147138381745638</v>
      </c>
      <c r="I36" s="14"/>
      <c r="J36" s="14" t="n">
        <f aca="false">J35/N35</f>
        <v>0</v>
      </c>
      <c r="K36" s="14"/>
      <c r="L36" s="14" t="n">
        <f aca="false">L35/N35</f>
        <v>0.00992368734327642</v>
      </c>
      <c r="M36" s="14"/>
      <c r="O36" s="13" t="n">
        <f aca="false">495954+798596+1893738+3068582.61</f>
        <v>6256870.61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12581224.39</v>
      </c>
      <c r="E39" s="12"/>
      <c r="F39" s="18" t="n">
        <f aca="false">SUM(F35,F31,F27,F23,F19,F14)</f>
        <v>8418084.02</v>
      </c>
      <c r="G39" s="12"/>
      <c r="H39" s="18" t="n">
        <f aca="false">SUM(H35,H31,H27,H23,H19,H14)</f>
        <v>3713516.71</v>
      </c>
      <c r="I39" s="12"/>
      <c r="J39" s="18" t="n">
        <f aca="false">SUM(J35,J31,J27,J23,J19,J14)</f>
        <v>5654015.62</v>
      </c>
      <c r="K39" s="12"/>
      <c r="L39" s="18" t="n">
        <f aca="false">SUM(L35,L31,L27,L23,L19,L14)</f>
        <v>12547587.13</v>
      </c>
      <c r="M39" s="12"/>
      <c r="N39" s="18" t="n">
        <f aca="false">SUM(N35,N31,N27,N23,N19,N14)</f>
        <v>42914427.87</v>
      </c>
      <c r="O39" s="18" t="n">
        <f aca="false">SUM(O36,O32,O28,O20,O15)</f>
        <v>9228328.38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0.29317003661594</v>
      </c>
      <c r="E40" s="12"/>
      <c r="F40" s="20" t="n">
        <f aca="false">F39/N39</f>
        <v>0.19615976345999</v>
      </c>
      <c r="G40" s="12"/>
      <c r="H40" s="20" t="n">
        <f aca="false">H39/N39</f>
        <v>0.086533058794336</v>
      </c>
      <c r="I40" s="12"/>
      <c r="J40" s="20" t="n">
        <f aca="false">J39/N39</f>
        <v>0.131750926218278</v>
      </c>
      <c r="K40" s="12"/>
      <c r="L40" s="20" t="n">
        <f aca="false">L39/N39</f>
        <v>0.292386214911456</v>
      </c>
      <c r="M40" s="12"/>
      <c r="N40" s="18"/>
      <c r="O40" s="12" t="s">
        <v>18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J14" colorId="64" zoomScale="100" zoomScaleNormal="100" zoomScalePageLayoutView="100" workbookViewId="0">
      <selection pane="topLeft" activeCell="J14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1463248.43</v>
      </c>
      <c r="E14" s="13"/>
      <c r="F14" s="13" t="n">
        <v>1249148.06</v>
      </c>
      <c r="G14" s="13"/>
      <c r="H14" s="13" t="n">
        <v>5532167.67</v>
      </c>
      <c r="I14" s="13"/>
      <c r="J14" s="13" t="n">
        <v>2567970.69</v>
      </c>
      <c r="K14" s="13"/>
      <c r="L14" s="13" t="n">
        <f aca="false">4983986.03+4102528.95</f>
        <v>9086514.98</v>
      </c>
      <c r="M14" s="13"/>
      <c r="N14" s="13" t="n">
        <f aca="false">SUM(L14,J14,H14,F14,D14)</f>
        <v>19899049.83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0.0735335828846457</v>
      </c>
      <c r="E15" s="14"/>
      <c r="F15" s="14" t="n">
        <f aca="false">F14/N14</f>
        <v>0.0627742565937381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0.45663059581373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f aca="false">9025.65+361082.48</f>
        <v>370108.13</v>
      </c>
      <c r="M19" s="13"/>
      <c r="N19" s="13" t="n">
        <f aca="false">SUM(L19,J19,H19,F19,D19)</f>
        <v>370108.13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1</v>
      </c>
      <c r="M20" s="14"/>
      <c r="O20" s="13" t="n">
        <v>2490724.78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21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442285.18</v>
      </c>
      <c r="E27" s="13"/>
      <c r="F27" s="13" t="n">
        <v>222492.95</v>
      </c>
      <c r="G27" s="13"/>
      <c r="H27" s="13" t="n">
        <v>0</v>
      </c>
      <c r="I27" s="13"/>
      <c r="J27" s="13" t="n">
        <v>121847.95</v>
      </c>
      <c r="K27" s="13"/>
      <c r="L27" s="13" t="n">
        <f aca="false">233144.44+4011.82</f>
        <v>237156.26</v>
      </c>
      <c r="M27" s="13"/>
      <c r="N27" s="13" t="n">
        <f aca="false">SUM(L27,J27,H27,F27,D27)</f>
        <v>1023782.34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0.432010948733497</v>
      </c>
      <c r="E28" s="14"/>
      <c r="F28" s="14" t="n">
        <f aca="false">F27/N27</f>
        <v>0.217324465667185</v>
      </c>
      <c r="G28" s="14"/>
      <c r="H28" s="14" t="n">
        <f aca="false">H27/N27</f>
        <v>0</v>
      </c>
      <c r="I28" s="14"/>
      <c r="J28" s="14" t="n">
        <f aca="false">J27/N27</f>
        <v>0.119017436850884</v>
      </c>
      <c r="K28" s="14"/>
      <c r="L28" s="14" t="n">
        <f aca="false">L27/N27</f>
        <v>0.231647148748434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0</v>
      </c>
      <c r="E31" s="13"/>
      <c r="F31" s="13" t="n">
        <v>0</v>
      </c>
      <c r="G31" s="13"/>
      <c r="H31" s="13" t="n">
        <v>1038874.2</v>
      </c>
      <c r="I31" s="13"/>
      <c r="J31" s="13" t="n">
        <v>0</v>
      </c>
      <c r="K31" s="13"/>
      <c r="L31" s="13" t="n">
        <v>74964.58</v>
      </c>
      <c r="M31" s="13"/>
      <c r="N31" s="13" t="n">
        <f aca="false">SUM(L31,J31,H31,F31,D31)</f>
        <v>1113838.78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</v>
      </c>
      <c r="G32" s="14"/>
      <c r="H32" s="14" t="n">
        <f aca="false">H31/N31</f>
        <v>0.932697100023757</v>
      </c>
      <c r="I32" s="14"/>
      <c r="J32" s="14" t="n">
        <f aca="false">J31/N31</f>
        <v>0</v>
      </c>
      <c r="K32" s="14"/>
      <c r="L32" s="14" t="n">
        <f aca="false">L31/N31</f>
        <v>0.0673028999762425</v>
      </c>
      <c r="M32" s="14"/>
      <c r="O32" s="13" t="n">
        <v>960474.71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5395360.85</v>
      </c>
      <c r="E35" s="13"/>
      <c r="F35" s="13" t="n">
        <v>6518635.31</v>
      </c>
      <c r="G35" s="13"/>
      <c r="H35" s="13" t="n">
        <v>1980111</v>
      </c>
      <c r="I35" s="13"/>
      <c r="J35" s="13" t="n">
        <v>15838.52</v>
      </c>
      <c r="K35" s="13"/>
      <c r="L35" s="13" t="n">
        <v>135363.86</v>
      </c>
      <c r="M35" s="13"/>
      <c r="N35" s="13" t="n">
        <f aca="false">SUM(L35,J35,H35,F35,D35)</f>
        <v>14045309.54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0.38413968981135</v>
      </c>
      <c r="E36" s="14"/>
      <c r="F36" s="14" t="n">
        <f aca="false">F35/N35</f>
        <v>0.464114748872954</v>
      </c>
      <c r="G36" s="14"/>
      <c r="H36" s="14" t="n">
        <f aca="false">H35/N35</f>
        <v>0.140980232180771</v>
      </c>
      <c r="I36" s="14"/>
      <c r="J36" s="14" t="n">
        <f aca="false">J35/N35</f>
        <v>0.00112767326023631</v>
      </c>
      <c r="K36" s="14"/>
      <c r="L36" s="14" t="n">
        <f aca="false">L35/N35</f>
        <v>0.00963765587468854</v>
      </c>
      <c r="M36" s="14"/>
      <c r="O36" s="13" t="n">
        <f aca="false">248624.1+3000000+900000+600000</f>
        <v>4748624.1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7300894.46</v>
      </c>
      <c r="E39" s="12"/>
      <c r="F39" s="18" t="n">
        <f aca="false">SUM(F35,F31,F27,F23,F19,F14)</f>
        <v>7990276.32</v>
      </c>
      <c r="G39" s="12"/>
      <c r="H39" s="18" t="n">
        <f aca="false">SUM(H35,H31,H27,H23,H19,H14)</f>
        <v>8551152.87</v>
      </c>
      <c r="I39" s="12"/>
      <c r="J39" s="18" t="n">
        <f aca="false">SUM(J35,J31,J27,J23,J19,J14)</f>
        <v>2705657.16</v>
      </c>
      <c r="K39" s="12"/>
      <c r="L39" s="18" t="n">
        <f aca="false">SUM(L35,L31,L27,L23,L19,L14)</f>
        <v>9972803.57</v>
      </c>
      <c r="M39" s="12"/>
      <c r="N39" s="18" t="n">
        <f aca="false">SUM(N35,N31,N27,N23,N19,N14)</f>
        <v>36520784.38</v>
      </c>
      <c r="O39" s="18" t="n">
        <f aca="false">SUM(O36,O32,O28,O20,O15)</f>
        <v>8199823.59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0.199910669607584</v>
      </c>
      <c r="E40" s="12"/>
      <c r="F40" s="20" t="n">
        <f aca="false">F39/N39</f>
        <v>0.218787094955599</v>
      </c>
      <c r="G40" s="12"/>
      <c r="H40" s="20" t="n">
        <f aca="false">H39/N39</f>
        <v>0.234144830544299</v>
      </c>
      <c r="I40" s="12"/>
      <c r="J40" s="20" t="n">
        <f aca="false">J39/N39</f>
        <v>0.0740854065960782</v>
      </c>
      <c r="K40" s="12"/>
      <c r="L40" s="20" t="n">
        <f aca="false">L39/N39</f>
        <v>0.27307199829644</v>
      </c>
      <c r="M40" s="12"/>
      <c r="N40" s="18"/>
      <c r="O40" s="12" t="s">
        <v>18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40277777777778" right="0.390277777777778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1249158.06</v>
      </c>
      <c r="E14" s="13"/>
      <c r="F14" s="13" t="n">
        <v>5532167.67</v>
      </c>
      <c r="G14" s="13"/>
      <c r="H14" s="13" t="n">
        <v>2567970.69</v>
      </c>
      <c r="I14" s="13"/>
      <c r="J14" s="13" t="n">
        <v>4983986.03</v>
      </c>
      <c r="K14" s="13"/>
      <c r="L14" s="13" t="n">
        <f aca="false">2146835.69+1955693.26</f>
        <v>4102528.95</v>
      </c>
      <c r="M14" s="13"/>
      <c r="N14" s="13" t="n">
        <f aca="false">SUM(L14,J14,H14,F14,D14)</f>
        <v>18435811.4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0.0677571511715508</v>
      </c>
      <c r="E15" s="14"/>
      <c r="F15" s="14" t="n">
        <f aca="false">F14/N14</f>
        <v>0.30007725453299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0.222530425213614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0</v>
      </c>
      <c r="I19" s="13"/>
      <c r="J19" s="13" t="n">
        <v>9025.65</v>
      </c>
      <c r="K19" s="13"/>
      <c r="L19" s="13" t="n">
        <f aca="false">37119.76+323962.72</f>
        <v>361082.48</v>
      </c>
      <c r="M19" s="13"/>
      <c r="N19" s="13" t="n">
        <f aca="false">SUM(L19,J19,H19,F19,D19)</f>
        <v>370108.13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0.0243865218524111</v>
      </c>
      <c r="K20" s="14"/>
      <c r="L20" s="14" t="n">
        <f aca="false">L19/N19</f>
        <v>0.975613478147589</v>
      </c>
      <c r="M20" s="14"/>
      <c r="O20" s="13" t="n">
        <v>1999159.89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21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222492.95</v>
      </c>
      <c r="E27" s="13"/>
      <c r="F27" s="13" t="n">
        <v>-222492.95</v>
      </c>
      <c r="G27" s="13"/>
      <c r="H27" s="13" t="n">
        <v>130653.41</v>
      </c>
      <c r="I27" s="13"/>
      <c r="J27" s="13" t="n">
        <v>224338.98</v>
      </c>
      <c r="K27" s="13"/>
      <c r="L27" s="13" t="n">
        <f aca="false">222492.95+4011.82</f>
        <v>226504.77</v>
      </c>
      <c r="M27" s="13"/>
      <c r="N27" s="13" t="n">
        <f aca="false">SUM(L27,J27,H27,F27,D27)</f>
        <v>581497.16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0.382620871269603</v>
      </c>
      <c r="E28" s="14"/>
      <c r="F28" s="14" t="n">
        <f aca="false">F27/N27</f>
        <v>-0.382620871269603</v>
      </c>
      <c r="G28" s="14"/>
      <c r="H28" s="14" t="n">
        <f aca="false">H27/N27</f>
        <v>0.224684519525426</v>
      </c>
      <c r="I28" s="14"/>
      <c r="J28" s="14" t="n">
        <f aca="false">J27/N27</f>
        <v>0.385795486946144</v>
      </c>
      <c r="K28" s="14"/>
      <c r="L28" s="14" t="n">
        <f aca="false">L27/N27</f>
        <v>0.389519993528429</v>
      </c>
      <c r="M28" s="14"/>
      <c r="O28" s="13" t="n">
        <f aca="false">222492.95*3</f>
        <v>667478.85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0</v>
      </c>
      <c r="E31" s="13"/>
      <c r="F31" s="13" t="n">
        <v>1038874.2</v>
      </c>
      <c r="G31" s="13"/>
      <c r="H31" s="13" t="n">
        <v>938546.94</v>
      </c>
      <c r="I31" s="13"/>
      <c r="J31" s="13" t="n">
        <v>0</v>
      </c>
      <c r="K31" s="13"/>
      <c r="L31" s="13" t="n">
        <v>96892.35</v>
      </c>
      <c r="M31" s="13"/>
      <c r="N31" s="13" t="n">
        <f aca="false">SUM(L31,J31,H31,F31,D31)</f>
        <v>2074313.49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0.500827963086717</v>
      </c>
      <c r="G32" s="14"/>
      <c r="H32" s="14" t="n">
        <f aca="false">H31/N31</f>
        <v>0.452461474374348</v>
      </c>
      <c r="I32" s="14"/>
      <c r="J32" s="14" t="n">
        <f aca="false">J31/N31</f>
        <v>0</v>
      </c>
      <c r="K32" s="14"/>
      <c r="L32" s="14" t="n">
        <f aca="false">L31/N31</f>
        <v>0.0467105625389343</v>
      </c>
      <c r="M32" s="14"/>
      <c r="O32" s="13" t="n">
        <f aca="false">1670664.22+1063418</f>
        <v>2734082.22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4559322.25</v>
      </c>
      <c r="E35" s="13"/>
      <c r="F35" s="13" t="n">
        <v>3470049.92</v>
      </c>
      <c r="G35" s="13"/>
      <c r="H35" s="13" t="n">
        <v>1591871.96</v>
      </c>
      <c r="I35" s="13"/>
      <c r="J35" s="13" t="n">
        <v>-942980.93</v>
      </c>
      <c r="K35" s="13"/>
      <c r="L35" s="13" t="n">
        <f aca="false">1504434.26+829198.68</f>
        <v>2333632.94</v>
      </c>
      <c r="M35" s="13"/>
      <c r="N35" s="13" t="n">
        <f aca="false">SUM(L35,J35,H35,F35,D35)</f>
        <v>11011896.14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0.41403607444485</v>
      </c>
      <c r="E36" s="14"/>
      <c r="F36" s="14" t="n">
        <f aca="false">F35/N35</f>
        <v>0.31511829351489</v>
      </c>
      <c r="G36" s="14"/>
      <c r="H36" s="14" t="n">
        <f aca="false">H35/N35</f>
        <v>0.144559296579054</v>
      </c>
      <c r="I36" s="14"/>
      <c r="J36" s="14" t="n">
        <f aca="false">J35/N35</f>
        <v>-0.0856329298797764</v>
      </c>
      <c r="K36" s="14"/>
      <c r="L36" s="14" t="n">
        <f aca="false">L35/N35</f>
        <v>0.211919265340982</v>
      </c>
      <c r="M36" s="14"/>
      <c r="O36" s="13" t="n">
        <v>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6030973.26</v>
      </c>
      <c r="E39" s="12"/>
      <c r="F39" s="18" t="n">
        <f aca="false">SUM(F35,F31,F27,F23,F19,F14)</f>
        <v>9818598.84</v>
      </c>
      <c r="G39" s="12"/>
      <c r="H39" s="18" t="n">
        <f aca="false">SUM(H35,H31,H27,H23,H19,H14)</f>
        <v>5229043</v>
      </c>
      <c r="I39" s="12"/>
      <c r="J39" s="18" t="n">
        <f aca="false">SUM(J35,J31,J27,J23,J19,J14)</f>
        <v>4274369.73</v>
      </c>
      <c r="K39" s="12"/>
      <c r="L39" s="18" t="n">
        <f aca="false">SUM(L35,L31,L27,L23,L19,L14)</f>
        <v>7189337.25</v>
      </c>
      <c r="M39" s="12"/>
      <c r="N39" s="18" t="n">
        <f aca="false">SUM(N35,N31,N27,N23,N19,N14)</f>
        <v>32542322.08</v>
      </c>
      <c r="O39" s="18" t="n">
        <f aca="false">SUM(O36,O32,O28,O20,O15)</f>
        <v>5400720.96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0.185327071779753</v>
      </c>
      <c r="E40" s="12"/>
      <c r="F40" s="20" t="n">
        <f aca="false">F39/N39</f>
        <v>0.301717831194178</v>
      </c>
      <c r="G40" s="12"/>
      <c r="H40" s="20" t="n">
        <f aca="false">H39/N39</f>
        <v>0.160684384695882</v>
      </c>
      <c r="I40" s="12"/>
      <c r="J40" s="20" t="n">
        <f aca="false">J39/N39</f>
        <v>0.131348024873338</v>
      </c>
      <c r="K40" s="12"/>
      <c r="L40" s="20" t="n">
        <f aca="false">L39/N39</f>
        <v>0.22092268745685</v>
      </c>
      <c r="M40" s="12"/>
      <c r="N40" s="18"/>
      <c r="O40" s="12" t="s">
        <v>18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29861111111111" right="0.340277777777778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2" colorId="64" zoomScale="100" zoomScaleNormal="100" zoomScalePageLayoutView="100" workbookViewId="0">
      <selection pane="topLeft" activeCell="K22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6712742.32</v>
      </c>
      <c r="E14" s="13"/>
      <c r="F14" s="13" t="n">
        <v>2567970.69</v>
      </c>
      <c r="G14" s="13"/>
      <c r="H14" s="13" t="n">
        <v>4983986.03</v>
      </c>
      <c r="I14" s="13"/>
      <c r="J14" s="13" t="n">
        <v>2146835.69</v>
      </c>
      <c r="K14" s="13"/>
      <c r="L14" s="13" t="n">
        <f aca="false">24740.94+1930952.32</f>
        <v>1955693.26</v>
      </c>
      <c r="M14" s="13"/>
      <c r="N14" s="13" t="n">
        <f aca="false">SUM(L14,J14,H14,F14,D14)</f>
        <v>18367227.99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0.365473893156591</v>
      </c>
      <c r="E15" s="14"/>
      <c r="F15" s="14" t="n">
        <f aca="false">F14/N14</f>
        <v>0.139812643007324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0.106477322602233</v>
      </c>
      <c r="M15" s="14"/>
      <c r="O15" s="13" t="n">
        <v>2772914.88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9025.65</v>
      </c>
      <c r="I19" s="13"/>
      <c r="J19" s="13" t="n">
        <v>37119.76</v>
      </c>
      <c r="K19" s="13"/>
      <c r="L19" s="13" t="n">
        <f aca="false">-152850.42+476813.14</f>
        <v>323962.72</v>
      </c>
      <c r="M19" s="13"/>
      <c r="N19" s="13" t="n">
        <f aca="false">SUM(L19,J19,H19,F19,D19)</f>
        <v>370108.13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0.0243865218524111</v>
      </c>
      <c r="I20" s="14"/>
      <c r="J20" s="14" t="n">
        <f aca="false">J19/N19</f>
        <v>0.100294365325074</v>
      </c>
      <c r="K20" s="14"/>
      <c r="L20" s="14" t="n">
        <f aca="false">L19/N19</f>
        <v>0.875319112822515</v>
      </c>
      <c r="M20" s="14"/>
      <c r="O20" s="13" t="n">
        <f aca="false">72893.35+2346886.15</f>
        <v>2419779.5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21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222492.95</v>
      </c>
      <c r="E27" s="13"/>
      <c r="F27" s="13" t="n">
        <v>353146.36</v>
      </c>
      <c r="G27" s="13"/>
      <c r="H27" s="13" t="n">
        <v>224338.98</v>
      </c>
      <c r="I27" s="13"/>
      <c r="J27" s="13" t="n">
        <v>222492.95</v>
      </c>
      <c r="K27" s="13"/>
      <c r="L27" s="13" t="n">
        <v>4011.82</v>
      </c>
      <c r="M27" s="13"/>
      <c r="N27" s="13" t="n">
        <f aca="false">SUM(L27,J27,H27,F27,D27)</f>
        <v>1026483.06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0.216752675879522</v>
      </c>
      <c r="E28" s="14"/>
      <c r="F28" s="14" t="n">
        <f aca="false">F27/N27</f>
        <v>0.344035253733267</v>
      </c>
      <c r="G28" s="14"/>
      <c r="H28" s="14" t="n">
        <f aca="false">H27/N27</f>
        <v>0.218551078670504</v>
      </c>
      <c r="I28" s="14"/>
      <c r="J28" s="14" t="n">
        <f aca="false">J27/N27</f>
        <v>0.216752675879522</v>
      </c>
      <c r="K28" s="14"/>
      <c r="L28" s="14" t="n">
        <f aca="false">L27/N27</f>
        <v>0.00390831583718488</v>
      </c>
      <c r="M28" s="14"/>
      <c r="O28" s="13" t="n">
        <f aca="false">222492.95</f>
        <v>222492.95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0</v>
      </c>
      <c r="E31" s="13"/>
      <c r="F31" s="13" t="n">
        <v>2609211.16</v>
      </c>
      <c r="G31" s="13"/>
      <c r="H31" s="13" t="n">
        <v>0</v>
      </c>
      <c r="I31" s="13"/>
      <c r="J31" s="13" t="n">
        <v>0</v>
      </c>
      <c r="K31" s="13"/>
      <c r="L31" s="13" t="n">
        <v>96892.35</v>
      </c>
      <c r="M31" s="13"/>
      <c r="N31" s="13" t="n">
        <f aca="false">SUM(L31,J31,H31,F31,D31)</f>
        <v>2706103.51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0.964194884030877</v>
      </c>
      <c r="G32" s="14"/>
      <c r="H32" s="14" t="n">
        <f aca="false">H31/N31</f>
        <v>0</v>
      </c>
      <c r="I32" s="14"/>
      <c r="J32" s="14" t="n">
        <f aca="false">J31/N31</f>
        <v>0</v>
      </c>
      <c r="K32" s="14"/>
      <c r="L32" s="14" t="n">
        <f aca="false">L31/N31</f>
        <v>0.0358051159691227</v>
      </c>
      <c r="M32" s="14"/>
      <c r="O32" s="13" t="n">
        <f aca="false">860590.43+1148606.8</f>
        <v>2009197.23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3194421.4</v>
      </c>
      <c r="E35" s="13"/>
      <c r="F35" s="13" t="n">
        <v>1991871.96</v>
      </c>
      <c r="G35" s="13"/>
      <c r="H35" s="13" t="n">
        <v>-942980.93</v>
      </c>
      <c r="I35" s="13"/>
      <c r="J35" s="13" t="n">
        <v>1504434.26</v>
      </c>
      <c r="K35" s="13"/>
      <c r="L35" s="13" t="n">
        <f aca="false">-739143.8+1568342.48</f>
        <v>829198.68</v>
      </c>
      <c r="M35" s="13"/>
      <c r="N35" s="13" t="n">
        <f aca="false">SUM(L35,J35,H35,F35,D35)</f>
        <v>6576945.37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0.485699853091527</v>
      </c>
      <c r="E36" s="14"/>
      <c r="F36" s="14" t="n">
        <f aca="false">F35/N35</f>
        <v>0.30285669835205</v>
      </c>
      <c r="G36" s="14"/>
      <c r="H36" s="14" t="n">
        <f aca="false">H35/N35</f>
        <v>-0.143376731438473</v>
      </c>
      <c r="I36" s="14"/>
      <c r="J36" s="14" t="n">
        <f aca="false">J35/N35</f>
        <v>0.228743615062139</v>
      </c>
      <c r="K36" s="14"/>
      <c r="L36" s="14" t="n">
        <f aca="false">L35/N35</f>
        <v>0.126076564932757</v>
      </c>
      <c r="M36" s="14"/>
      <c r="O36" s="13" t="n">
        <f aca="false">400000+3350000</f>
        <v>3750000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10129656.67</v>
      </c>
      <c r="E39" s="12"/>
      <c r="F39" s="18" t="n">
        <f aca="false">SUM(F35,F31,F27,F23,F19,F14)</f>
        <v>7522200.17</v>
      </c>
      <c r="G39" s="12"/>
      <c r="H39" s="18" t="n">
        <f aca="false">SUM(H35,H31,H27,H23,H19,H14)</f>
        <v>4274369.73</v>
      </c>
      <c r="I39" s="12"/>
      <c r="J39" s="18" t="n">
        <f aca="false">SUM(J35,J31,J27,J23,J19,J14)</f>
        <v>3910882.66</v>
      </c>
      <c r="K39" s="12"/>
      <c r="L39" s="18" t="n">
        <f aca="false">SUM(L35,L31,L27,L23,L19,L14)</f>
        <v>3278454.59</v>
      </c>
      <c r="M39" s="12"/>
      <c r="N39" s="18" t="n">
        <f aca="false">SUM(N35,N31,N27,N23,N19,N14)</f>
        <v>29115563.82</v>
      </c>
      <c r="O39" s="18" t="n">
        <f aca="false">SUM(O36,O32,O28,O20,O15)</f>
        <v>11174384.56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0.347912090338493</v>
      </c>
      <c r="E40" s="12"/>
      <c r="F40" s="20" t="n">
        <f aca="false">F39/N39</f>
        <v>0.25835667193341</v>
      </c>
      <c r="G40" s="12"/>
      <c r="H40" s="20" t="n">
        <f aca="false">H39/N39</f>
        <v>0.14680703957599</v>
      </c>
      <c r="I40" s="12"/>
      <c r="J40" s="20" t="n">
        <f aca="false">J39/N39</f>
        <v>0.134322752057219</v>
      </c>
      <c r="K40" s="12"/>
      <c r="L40" s="20" t="n">
        <f aca="false">L39/N39</f>
        <v>0.112601446094888</v>
      </c>
      <c r="M40" s="12"/>
      <c r="N40" s="18"/>
      <c r="O40" s="12" t="s">
        <v>18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429861111111111" right="0.440277777777778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30" colorId="64" zoomScale="100" zoomScaleNormal="100" zoomScalePageLayoutView="100" workbookViewId="0">
      <selection pane="topLeft" activeCell="K30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8545503.7</v>
      </c>
      <c r="E14" s="13"/>
      <c r="F14" s="13" t="n">
        <v>5280547.76</v>
      </c>
      <c r="G14" s="13"/>
      <c r="H14" s="13" t="n">
        <v>5352225.66</v>
      </c>
      <c r="I14" s="13"/>
      <c r="J14" s="13" t="n">
        <v>46681.43</v>
      </c>
      <c r="K14" s="13"/>
      <c r="L14" s="13" t="n">
        <f aca="false">20281.51+1888730.32</f>
        <v>1909011.83</v>
      </c>
      <c r="M14" s="13"/>
      <c r="N14" s="13" t="n">
        <f aca="false">SUM(L14,J14,H14,F14,D14)</f>
        <v>21133970.38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0.404349185048872</v>
      </c>
      <c r="E15" s="14"/>
      <c r="F15" s="14" t="n">
        <f aca="false">F14/N14</f>
        <v>0.249860658695595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0.0903290671688734</v>
      </c>
      <c r="M15" s="14"/>
      <c r="O15" s="13" t="n">
        <v>1980000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72893.35</v>
      </c>
      <c r="E19" s="13"/>
      <c r="F19" s="13" t="n">
        <v>9025.65</v>
      </c>
      <c r="G19" s="13"/>
      <c r="H19" s="13" t="n">
        <v>37119.76</v>
      </c>
      <c r="I19" s="13"/>
      <c r="J19" s="13" t="n">
        <v>-152850.42</v>
      </c>
      <c r="K19" s="13"/>
      <c r="L19" s="13" t="n">
        <f aca="false">32407.23+444405.91</f>
        <v>476813.14</v>
      </c>
      <c r="M19" s="13"/>
      <c r="N19" s="13" t="n">
        <f aca="false">SUM(L19,J19,H19,F19,D19)</f>
        <v>443001.48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0.164544258407444</v>
      </c>
      <c r="E20" s="14"/>
      <c r="F20" s="14" t="n">
        <f aca="false">F19/N19</f>
        <v>0.0203738596990692</v>
      </c>
      <c r="G20" s="14"/>
      <c r="H20" s="14" t="n">
        <f aca="false">H19/N19</f>
        <v>0.0837915033602145</v>
      </c>
      <c r="I20" s="14"/>
      <c r="J20" s="14" t="n">
        <f aca="false">J19/N19</f>
        <v>-0.345033655418036</v>
      </c>
      <c r="K20" s="14"/>
      <c r="L20" s="14" t="n">
        <f aca="false">L19/N19</f>
        <v>1.07632403395131</v>
      </c>
      <c r="M20" s="14"/>
      <c r="O20" s="13" t="n">
        <v>1757637.33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21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14</v>
      </c>
      <c r="B27" s="1" t="s">
        <v>10</v>
      </c>
      <c r="D27" s="13" t="n">
        <v>453791.36</v>
      </c>
      <c r="E27" s="13"/>
      <c r="F27" s="13" t="n">
        <v>-98798.97</v>
      </c>
      <c r="G27" s="13"/>
      <c r="H27" s="13" t="n">
        <v>222492.95</v>
      </c>
      <c r="I27" s="13"/>
      <c r="J27" s="13" t="n">
        <v>222492.95</v>
      </c>
      <c r="K27" s="13"/>
      <c r="L27" s="13" t="n">
        <f aca="false">444985.9+4011.82</f>
        <v>448997.72</v>
      </c>
      <c r="M27" s="13"/>
      <c r="N27" s="13" t="n">
        <f aca="false">SUM(L27,J27,H27,F27,D27)</f>
        <v>1248976.01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0.363330725623785</v>
      </c>
      <c r="E28" s="14"/>
      <c r="F28" s="14" t="n">
        <f aca="false">F27/N27</f>
        <v>-0.0791039773454095</v>
      </c>
      <c r="G28" s="14"/>
      <c r="H28" s="14" t="n">
        <f aca="false">H27/N27</f>
        <v>0.178140291101348</v>
      </c>
      <c r="I28" s="14"/>
      <c r="J28" s="14" t="n">
        <f aca="false">J27/N27</f>
        <v>0.178140291101348</v>
      </c>
      <c r="K28" s="14"/>
      <c r="L28" s="14" t="n">
        <f aca="false">L27/N27</f>
        <v>0.359492669518929</v>
      </c>
      <c r="M28" s="14"/>
      <c r="O28" s="13" t="n">
        <v>323137.95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15</v>
      </c>
      <c r="B31" s="1" t="s">
        <v>10</v>
      </c>
      <c r="D31" s="13" t="n">
        <v>0</v>
      </c>
      <c r="E31" s="13"/>
      <c r="F31" s="13" t="n">
        <v>1148606.8</v>
      </c>
      <c r="G31" s="13"/>
      <c r="H31" s="13" t="n">
        <v>860590.43</v>
      </c>
      <c r="I31" s="13"/>
      <c r="J31" s="13" t="n">
        <v>0</v>
      </c>
      <c r="K31" s="13"/>
      <c r="L31" s="13" t="n">
        <f aca="false">105299.88-8407.53</f>
        <v>96892.35</v>
      </c>
      <c r="M31" s="13"/>
      <c r="N31" s="13" t="n">
        <f aca="false">SUM(L31,J31,H31,F31,D31)</f>
        <v>2106089.58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0.545374143107436</v>
      </c>
      <c r="G32" s="14"/>
      <c r="H32" s="14" t="n">
        <f aca="false">H31/N31</f>
        <v>0.408620050244966</v>
      </c>
      <c r="I32" s="14"/>
      <c r="J32" s="14" t="n">
        <f aca="false">J31/N31</f>
        <v>0</v>
      </c>
      <c r="K32" s="14"/>
      <c r="L32" s="14" t="n">
        <f aca="false">L31/N31</f>
        <v>0.0460058066475976</v>
      </c>
      <c r="M32" s="14"/>
      <c r="O32" s="13" t="n">
        <v>1588292.58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16</v>
      </c>
      <c r="B35" s="1" t="s">
        <v>10</v>
      </c>
      <c r="D35" s="13" t="n">
        <v>1125618.82</v>
      </c>
      <c r="E35" s="13"/>
      <c r="F35" s="13" t="n">
        <v>-898637.5</v>
      </c>
      <c r="G35" s="13"/>
      <c r="H35" s="13" t="n">
        <v>1244679.26</v>
      </c>
      <c r="I35" s="13"/>
      <c r="J35" s="13" t="n">
        <v>-739143.8</v>
      </c>
      <c r="K35" s="13"/>
      <c r="L35" s="13" t="n">
        <f aca="false">-818199.1+2386541.58</f>
        <v>1568342.48</v>
      </c>
      <c r="M35" s="13"/>
      <c r="N35" s="13" t="n">
        <f aca="false">SUM(L35,J35,H35,F35,D35)</f>
        <v>2300859.26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0.489216719844047</v>
      </c>
      <c r="E36" s="14"/>
      <c r="F36" s="14" t="n">
        <f aca="false">F35/N35</f>
        <v>-0.390566044443762</v>
      </c>
      <c r="G36" s="14"/>
      <c r="H36" s="14" t="n">
        <f aca="false">H35/N35</f>
        <v>0.540962796655368</v>
      </c>
      <c r="I36" s="14"/>
      <c r="J36" s="14" t="n">
        <f aca="false">J35/N35</f>
        <v>-0.321246854533815</v>
      </c>
      <c r="K36" s="14"/>
      <c r="L36" s="14" t="n">
        <f aca="false">L35/N35</f>
        <v>0.681633382478162</v>
      </c>
      <c r="M36" s="14"/>
      <c r="O36" s="13" t="n">
        <f aca="false">4300000</f>
        <v>4300000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17</v>
      </c>
      <c r="B39" s="12" t="s">
        <v>10</v>
      </c>
      <c r="C39" s="12"/>
      <c r="D39" s="18" t="n">
        <f aca="false">SUM(D35,D31,D27,D23,D19,D14)</f>
        <v>10197807.23</v>
      </c>
      <c r="E39" s="12"/>
      <c r="F39" s="18" t="n">
        <f aca="false">SUM(F35,F31,F27,F23,F19,F14)</f>
        <v>5440743.74</v>
      </c>
      <c r="G39" s="12"/>
      <c r="H39" s="18" t="n">
        <f aca="false">SUM(H35,H31,H27,H23,H19,H14)</f>
        <v>7717108.06</v>
      </c>
      <c r="I39" s="12"/>
      <c r="J39" s="18" t="n">
        <f aca="false">SUM(J35,J31,J27,J23,J19,J14)</f>
        <v>-622819.84</v>
      </c>
      <c r="K39" s="12"/>
      <c r="L39" s="18" t="n">
        <f aca="false">SUM(L35,L31,L27,L23,L19,L14)</f>
        <v>4568753.28</v>
      </c>
      <c r="M39" s="12"/>
      <c r="N39" s="18" t="n">
        <f aca="false">SUM(N35,N31,N27,N23,N19,N14)</f>
        <v>27301592.47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0.373524263876026</v>
      </c>
      <c r="E40" s="12"/>
      <c r="F40" s="20" t="n">
        <f aca="false">F39/N39</f>
        <v>0.199283017867126</v>
      </c>
      <c r="G40" s="12"/>
      <c r="H40" s="20" t="n">
        <f aca="false">H39/N39</f>
        <v>0.282661462641047</v>
      </c>
      <c r="I40" s="12"/>
      <c r="J40" s="20" t="n">
        <f aca="false">J39/N39</f>
        <v>-0.0228125828441831</v>
      </c>
      <c r="K40" s="12"/>
      <c r="L40" s="20" t="n">
        <f aca="false">L39/N39</f>
        <v>0.167343838459984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79861111111111" right="0.4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1999-12-09T14:26:27Z</dcterms:created>
  <dc:creator>jlessor</dc:creator>
  <dc:description/>
  <dc:language>en-US</dc:language>
  <cp:lastModifiedBy>jlessor</cp:lastModifiedBy>
  <cp:lastPrinted>2001-11-01T16:33:36Z</cp:lastPrinted>
  <dcterms:modified xsi:type="dcterms:W3CDTF">2001-11-01T16:34:23Z</dcterms:modified>
  <cp:revision>0</cp:revision>
  <dc:subject/>
  <dc:title/>
</cp:coreProperties>
</file>