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8 Div. Adj." sheetId="1" state="visible" r:id="rId3"/>
    <sheet name="NNG-3rd CE 2001" sheetId="2" state="visible" r:id="rId4"/>
    <sheet name="TW-3rd CE 2001" sheetId="3" state="visible" r:id="rId5"/>
    <sheet name="NNG-Original 2002 Plan" sheetId="4" state="visible" r:id="rId6"/>
    <sheet name="TW-Original 2002 Plan" sheetId="5" state="visible" r:id="rId7"/>
    <sheet name="Blank" sheetId="6" state="visible" r:id="rId8"/>
  </sheets>
  <definedNames>
    <definedName function="false" hidden="false" localSheetId="0" name="_xlnm.Print_Area" vbProcedure="false">'1998 Div. Adj.'!$A$1:$P$60,'1998 Div. Adj.'!$A$1:$U$84,'1998 Div. Adj.'!$A$1:$U$84,'1998 Div. Adj.'!$A$1:$U$84,'1998 Div. Adj.'!$A$1:$U$84</definedName>
    <definedName function="false" hidden="false" name="NNG" vbProcedure="false">#REF!</definedName>
    <definedName function="false" hidden="false" name="TW" vbProcedure="false">#REF!</definedName>
    <definedName function="false" hidden="false" localSheetId="0" name="Excel_BuiltIn_Print_Area" vbProcedure="false">'1998 Div. Adj.'!$A$1:$P$60</definedName>
    <definedName function="false" hidden="false" localSheetId="0" name="NNG" vbProcedure="false">'1998 Div. Adj.'!$A$1:$P$60</definedName>
    <definedName function="false" hidden="false" localSheetId="0" name="Print_Area_MI" vbProcedure="false">'1998 Div. Adj.'!$A$1:$P$17</definedName>
    <definedName function="false" hidden="false" localSheetId="1" name="Excel_BuiltIn_Print_Area" vbProcedure="false">'NNG-3rd CE 2001'!$A$1:$U$84</definedName>
    <definedName function="false" hidden="false" localSheetId="1" name="NNG" vbProcedure="false">'NNG-3rd CE 2001'!$A$1:$U$84</definedName>
    <definedName function="false" hidden="false" localSheetId="1" name="Print_Area_MI" vbProcedure="false">'NNG-3rd CE 2001'!$A$1:$U$75</definedName>
    <definedName function="false" hidden="false" localSheetId="2" name="Excel_BuiltIn_Print_Area" vbProcedure="false">'TW-3rd CE 2001'!$A$1:$U$84</definedName>
    <definedName function="false" hidden="false" localSheetId="2" name="NNG" vbProcedure="false">'TW-3rd CE 2001'!$A$1:$U$84</definedName>
    <definedName function="false" hidden="false" localSheetId="2" name="Print_Area_MI" vbProcedure="false">'TW-3rd CE 2001'!$A$1:$U$74</definedName>
    <definedName function="false" hidden="false" localSheetId="2" name="TW" vbProcedure="false">'TW-3rd CE 2001'!$A$1:$U$84</definedName>
    <definedName function="false" hidden="false" localSheetId="3" name="Excel_BuiltIn_Print_Area" vbProcedure="false">'NNG-Original 2002 Plan'!$A$1:$U$84</definedName>
    <definedName function="false" hidden="false" localSheetId="3" name="NNG" vbProcedure="false">'NNG-Original 2002 Plan'!$A$1:$U$84</definedName>
    <definedName function="false" hidden="false" localSheetId="3" name="Print_Area_MI" vbProcedure="false">'NNG-Original 2002 Plan'!$A$1:$U$75</definedName>
    <definedName function="false" hidden="false" localSheetId="4" name="Excel_BuiltIn_Print_Area" vbProcedure="false">'TW-Original 2002 Plan'!$A$1:$U$84</definedName>
    <definedName function="false" hidden="false" localSheetId="4" name="NNG" vbProcedure="false">'TW-Original 2002 Plan'!$A$1:$U$84</definedName>
    <definedName function="false" hidden="false" localSheetId="4" name="Print_Area_MI" vbProcedure="false">'TW-Original 2002 Plan'!$A$1:$U$74</definedName>
    <definedName function="false" hidden="false" localSheetId="4" name="TW" vbProcedure="false">'TW-Original 2002 Plan'!$A$1:$U$84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<sst xmlns="http://schemas.openxmlformats.org/spreadsheetml/2006/main" count="421" uniqueCount="167">
  <si>
    <t xml:space="preserve">NORTHERN NATURAL GAS GROUP</t>
  </si>
  <si>
    <t xml:space="preserve">1999 - 2001 Operating &amp; Strategic Plan</t>
  </si>
  <si>
    <t xml:space="preserve">EPC (1998) Dividend Target Adjustment Item </t>
  </si>
  <si>
    <t xml:space="preserve">($ - Thousands)</t>
  </si>
  <si>
    <t xml:space="preserve">JAN.</t>
  </si>
  <si>
    <t xml:space="preserve">FEB.</t>
  </si>
  <si>
    <t xml:space="preserve">MAR.</t>
  </si>
  <si>
    <t xml:space="preserve">APR.</t>
  </si>
  <si>
    <t xml:space="preserve">MAY</t>
  </si>
  <si>
    <t xml:space="preserve">JUNE</t>
  </si>
  <si>
    <t xml:space="preserve">JULY</t>
  </si>
  <si>
    <t xml:space="preserve">AUG.</t>
  </si>
  <si>
    <t xml:space="preserve">SEP.</t>
  </si>
  <si>
    <t xml:space="preserve">OCT.</t>
  </si>
  <si>
    <t xml:space="preserve">NOV.</t>
  </si>
  <si>
    <t xml:space="preserve">DEC.</t>
  </si>
  <si>
    <t xml:space="preserve">1999 Plan - Financing Costs (Above The Line)  </t>
  </si>
  <si>
    <t xml:space="preserve">Beginning Balance - Check Book Cash (Acct. 1466)</t>
  </si>
  <si>
    <t xml:space="preserve">   Inc. / (Dec.) in Check Book Cash (Prior Mo.) </t>
  </si>
  <si>
    <t xml:space="preserve">   Interco. Cash Adjustment Inc. / (Dec.)</t>
  </si>
  <si>
    <t xml:space="preserve">Ending Balance</t>
  </si>
  <si>
    <t xml:space="preserve">   Average Monthly Balance</t>
  </si>
  <si>
    <t xml:space="preserve">   Short Term Interest Rate (Corp.-%)</t>
  </si>
  <si>
    <t xml:space="preserve">Short Term Interest Income / (Expense) </t>
  </si>
  <si>
    <t xml:space="preserve">   Composite F.I.T. &amp; S.I.T. Tax Impact</t>
  </si>
  <si>
    <t xml:space="preserve">      Total Net Income &amp; Cash Flow Impacts - 1999</t>
  </si>
  <si>
    <t xml:space="preserve">2000 Plan - Financing Costs (Above The Line)  </t>
  </si>
  <si>
    <t xml:space="preserve">      Total Net Income &amp; Cash Flow Impacts - 2000</t>
  </si>
  <si>
    <t xml:space="preserve">2001 Plan - Financing Costs (Above The Line)  </t>
  </si>
  <si>
    <t xml:space="preserve">      Total Net Income &amp; Cash Flow Impacts - 2001</t>
  </si>
  <si>
    <t xml:space="preserve">NORTHERN NATURAL GAS COMPANY (Co. 179 &amp; Co. 53K)</t>
  </si>
  <si>
    <t xml:space="preserve">2001 ACTUAL / ESTIMATE</t>
  </si>
  <si>
    <t xml:space="preserve">INTERCOMPANY FINANCING CALCULATION</t>
  </si>
  <si>
    <t xml:space="preserve">  " 3rd Current Estimate (9/19) "</t>
  </si>
  <si>
    <t xml:space="preserve">ACTUAL</t>
  </si>
  <si>
    <t xml:space="preserve">PRE</t>
  </si>
  <si>
    <t xml:space="preserve">YEAR END</t>
  </si>
  <si>
    <t xml:space="preserve">ACT.</t>
  </si>
  <si>
    <t xml:space="preserve">12/31/00</t>
  </si>
  <si>
    <t xml:space="preserve">12/31/01</t>
  </si>
  <si>
    <t xml:space="preserve">Balance Sheet Data</t>
  </si>
  <si>
    <t xml:space="preserve">Payable / (Receivable) Corp. - Beg. Balance</t>
  </si>
  <si>
    <r>
      <rPr>
        <sz val="10"/>
        <color rgb="FF0000FF"/>
        <rFont val="Arial"/>
        <family val="2"/>
      </rPr>
      <t xml:space="preserve">   (Inc.) / Dec. in Check Book Activity         </t>
    </r>
    <r>
      <rPr>
        <sz val="10"/>
        <color rgb="FFFF0000"/>
        <rFont val="Arial"/>
        <family val="2"/>
      </rPr>
      <t xml:space="preserve">(9/19/01)</t>
    </r>
    <r>
      <rPr>
        <sz val="10"/>
        <color rgb="FF0000FF"/>
        <rFont val="Arial"/>
        <family val="2"/>
      </rPr>
      <t xml:space="preserve"> </t>
    </r>
  </si>
  <si>
    <t xml:space="preserve">   Pay. / (Rec.) - Corp. (Co.011) / Interco.Netting (Co.827) </t>
  </si>
  <si>
    <t xml:space="preserve">* Average NNG Group Pay. / (Rec.) Balance </t>
  </si>
  <si>
    <t xml:space="preserve">   Dividends to EPC </t>
  </si>
  <si>
    <t xml:space="preserve">    Less: Trailblazer / Overthrust Beg. Balance</t>
  </si>
  <si>
    <t xml:space="preserve">   Other</t>
  </si>
  <si>
    <t xml:space="preserve">       Average Pay. / (Rec.) Balance NNG Only</t>
  </si>
  <si>
    <t xml:space="preserve">   Miscellaneous</t>
  </si>
  <si>
    <t xml:space="preserve">Payable / (Receivable) Corp. - End. Balance </t>
  </si>
  <si>
    <t xml:space="preserve">*</t>
  </si>
  <si>
    <t xml:space="preserve">Long Term Debt - Beginning Balance</t>
  </si>
  <si>
    <t xml:space="preserve">Rate Case Information (9/00)</t>
  </si>
  <si>
    <t xml:space="preserve">Amount</t>
  </si>
  <si>
    <t xml:space="preserve">Percent.</t>
  </si>
  <si>
    <t xml:space="preserve">   Principal - External</t>
  </si>
  <si>
    <t xml:space="preserve">   Long Term Debt (W/O Discount)</t>
  </si>
  <si>
    <t xml:space="preserve">                 - Corporate</t>
  </si>
  <si>
    <t xml:space="preserve">   Equity - End. Balance (NNG Only)</t>
  </si>
  <si>
    <t xml:space="preserve">   Debt Discount</t>
  </si>
  <si>
    <t xml:space="preserve">      Total Debt / Equity</t>
  </si>
  <si>
    <t xml:space="preserve">Long Term Debt - Ending Balance</t>
  </si>
  <si>
    <t xml:space="preserve">Equity - Beginning Balance</t>
  </si>
  <si>
    <t xml:space="preserve">   Net Income</t>
  </si>
  <si>
    <t xml:space="preserve">   Equity - End. Balance</t>
  </si>
  <si>
    <t xml:space="preserve">   Ardmore ('95), Lucent &amp; Trail.('98), Black Marlin (3/99)</t>
  </si>
  <si>
    <t xml:space="preserve">   Misc. (FASB 133)</t>
  </si>
  <si>
    <t xml:space="preserve">Equity - Ending Balance</t>
  </si>
  <si>
    <t xml:space="preserve">Revised Plan - Financing Costs (Below The Line)  </t>
  </si>
  <si>
    <t xml:space="preserve">Short Term Interest Expense / (Income)  </t>
  </si>
  <si>
    <t xml:space="preserve">Funds Flow Impact (After Tax)</t>
  </si>
  <si>
    <t xml:space="preserve">   Payable / (Receivable) Corp. - Beg. Balance</t>
  </si>
  <si>
    <t xml:space="preserve">   Acct. 1466 Only - ($91.0 @ 6%*.6053)</t>
  </si>
  <si>
    <t xml:space="preserve">      Short Term Interest Expense / (Income) </t>
  </si>
  <si>
    <t xml:space="preserve">     Less: 1460 ($38.8 @ 6%*.6053)</t>
  </si>
  <si>
    <t xml:space="preserve">      Interco. Cash Adjustment (Inc.) / Dec.</t>
  </si>
  <si>
    <t xml:space="preserve">     Less: 1420 ($39.1 @ 6%*.6053)</t>
  </si>
  <si>
    <t xml:space="preserve">   Payable / (Receivable) Corp. - End. Balance</t>
  </si>
  <si>
    <t xml:space="preserve">     Add: Assigned Rec. ($1.7*.6053)</t>
  </si>
  <si>
    <t xml:space="preserve">         Average Monthly Balance</t>
  </si>
  <si>
    <t xml:space="preserve">     Add: 2 Mo. LT Debt ($1.4*.6053)</t>
  </si>
  <si>
    <t xml:space="preserve">   Avg. Short Term Interest Rate (LIBOR-%)</t>
  </si>
  <si>
    <t xml:space="preserve">         Monthly Interest Expense / (Income)</t>
  </si>
  <si>
    <t xml:space="preserve">Principal</t>
  </si>
  <si>
    <t xml:space="preserve">Interest</t>
  </si>
  <si>
    <t xml:space="preserve">2001 Actual / Estimate (Financing Costs)</t>
  </si>
  <si>
    <t xml:space="preserve">Long Term Debt Components</t>
  </si>
  <si>
    <t xml:space="preserve">($000's)</t>
  </si>
  <si>
    <t xml:space="preserve">      Long Term - Interest Expense (External - Note #1)</t>
  </si>
  <si>
    <t xml:space="preserve">   Note #1 @ 8.00% (5/27/92 - 6/1/99)</t>
  </si>
  <si>
    <t xml:space="preserve">                    - Interest Expense (External - Note #2) </t>
  </si>
  <si>
    <t xml:space="preserve">   Note #2 @ 6.875% (4/30/93 - 5/1/05)</t>
  </si>
  <si>
    <t xml:space="preserve">                    - Interest Expense (External - Note #4) </t>
  </si>
  <si>
    <t xml:space="preserve">   Note #3 @ 6.75% (9/4/98 - 9/15/08)</t>
  </si>
  <si>
    <t xml:space="preserve">                    - Unamortized Debt Discount</t>
  </si>
  <si>
    <t xml:space="preserve">   Note #4 @ 7.00% (5/27/99 - 6/1/11)</t>
  </si>
  <si>
    <t xml:space="preserve">                    - Unamortized Debt Expense </t>
  </si>
  <si>
    <t xml:space="preserve">   Note #5 @ 8.0%</t>
  </si>
  <si>
    <t xml:space="preserve">   Other Issues</t>
  </si>
  <si>
    <t xml:space="preserve">                    - Corporate Tie-In Amount (Actual) </t>
  </si>
  <si>
    <t xml:space="preserve">   Debt - Discount / Amortization</t>
  </si>
  <si>
    <t xml:space="preserve">      Assigned Receivables / Other</t>
  </si>
  <si>
    <t xml:space="preserve">           - Expense</t>
  </si>
  <si>
    <t xml:space="preserve">         Total Intercompany Impact (Net)</t>
  </si>
  <si>
    <t xml:space="preserve">         Composite F.I.T. &amp; S.I.T. Tax Impact</t>
  </si>
  <si>
    <t xml:space="preserve">      Total Annual Interest Accrual</t>
  </si>
  <si>
    <t xml:space="preserve">            Updated Net Financing Costs</t>
  </si>
  <si>
    <t xml:space="preserve">Interest Payments</t>
  </si>
  <si>
    <t xml:space="preserve">Revised Plan - Financing Costs (Above The Line)  </t>
  </si>
  <si>
    <t xml:space="preserve">   Note #1 - June 1</t>
  </si>
  <si>
    <t xml:space="preserve">                - December 1</t>
  </si>
  <si>
    <t xml:space="preserve">   Beg. Balance - Corp. (Rec.) + Check Book Activity</t>
  </si>
  <si>
    <t xml:space="preserve">   Note #2 - May 1</t>
  </si>
  <si>
    <t xml:space="preserve">      - Corp. Pay.+ Co.011 / Netting Co.827 (1 Mo. Lag)</t>
  </si>
  <si>
    <t xml:space="preserve">                - November 1</t>
  </si>
  <si>
    <t xml:space="preserve">   Adjusted Beginning Balance</t>
  </si>
  <si>
    <t xml:space="preserve">   Note #3 - March 15</t>
  </si>
  <si>
    <t xml:space="preserve">      (Inc.) / Dec. in Check Book Cash (Current Month) </t>
  </si>
  <si>
    <t xml:space="preserve">                - September 15</t>
  </si>
  <si>
    <t xml:space="preserve">   Note #4 - June 1</t>
  </si>
  <si>
    <t xml:space="preserve">   Ending Balance</t>
  </si>
  <si>
    <t xml:space="preserve">      Total Annual Interest Payment </t>
  </si>
  <si>
    <t xml:space="preserve">   Average Short Term Interest Rate (Corp.-%)</t>
  </si>
  <si>
    <t xml:space="preserve">      Short Term Interest (Inc.) / Exp. Calculation </t>
  </si>
  <si>
    <t xml:space="preserve">         Corporate Tie-In Amount (Act. / Est. Adjust.) </t>
  </si>
  <si>
    <t xml:space="preserve">            Total Short Term Interest (Inc.) / Exp. </t>
  </si>
  <si>
    <t xml:space="preserve">      Long Term Interest Expense (External - Note #3)</t>
  </si>
  <si>
    <t xml:space="preserve">         Unamortized Debt Expense</t>
  </si>
  <si>
    <r>
      <rPr>
        <sz val="10"/>
        <color rgb="FF0000FF"/>
        <rFont val="Arial"/>
        <family val="2"/>
      </rPr>
      <t xml:space="preserve">      Interest Exp. Differential (</t>
    </r>
    <r>
      <rPr>
        <sz val="10"/>
        <color rgb="FFFF0000"/>
        <rFont val="Arial"/>
        <family val="2"/>
      </rPr>
      <t xml:space="preserve">9.50% vs. 6.75% all in Dec.</t>
    </r>
    <r>
      <rPr>
        <sz val="10"/>
        <color rgb="FF0000FF"/>
        <rFont val="Arial"/>
        <family val="2"/>
      </rPr>
      <t xml:space="preserve">)</t>
    </r>
  </si>
  <si>
    <t xml:space="preserve">   Total Intercompany Interest Expense / (Income)</t>
  </si>
  <si>
    <t xml:space="preserve">TRANSWESTERN PIPELINE GROUP</t>
  </si>
  <si>
    <r>
      <rPr>
        <sz val="10"/>
        <color rgb="FF0000FF"/>
        <rFont val="Arial"/>
        <family val="2"/>
      </rPr>
      <t xml:space="preserve">   (Inc.) / Dec. in Check Book Activity         </t>
    </r>
    <r>
      <rPr>
        <sz val="10"/>
        <color rgb="FFFF0000"/>
        <rFont val="Arial"/>
        <family val="2"/>
      </rPr>
      <t xml:space="preserve">(9/18/01)</t>
    </r>
    <r>
      <rPr>
        <sz val="10"/>
        <color rgb="FF0000FF"/>
        <rFont val="Arial"/>
        <family val="2"/>
      </rPr>
      <t xml:space="preserve"> </t>
    </r>
  </si>
  <si>
    <t xml:space="preserve">   Acct. 1466 Only - ($202.5 @ 6%*.6112)</t>
  </si>
  <si>
    <t xml:space="preserve">     Less: 1460 ($20.1 @ 6%*.6112)</t>
  </si>
  <si>
    <t xml:space="preserve">     Less: ASCC ($8.8 @ 6%*.6112)</t>
  </si>
  <si>
    <t xml:space="preserve">     Add: Assigned Rec. ($.6*.6112)</t>
  </si>
  <si>
    <t xml:space="preserve">      Long Term - Interest Expense (External - Note #1 &amp; #5)</t>
  </si>
  <si>
    <t xml:space="preserve">   Note #1 @ 5.2525% (4/1/01 - 6/28/01)</t>
  </si>
  <si>
    <t xml:space="preserve">   Note #2 @ 0.00% (?/??/?? - ?/??/??)</t>
  </si>
  <si>
    <t xml:space="preserve">                    - Interest Expense (External - Note #3 &amp; #4) </t>
  </si>
  <si>
    <r>
      <rPr>
        <sz val="10"/>
        <rFont val="Arial"/>
        <family val="2"/>
      </rPr>
      <t xml:space="preserve">   Note #4 @ 9.20% (</t>
    </r>
    <r>
      <rPr>
        <sz val="10"/>
        <color rgb="FFFF0000"/>
        <rFont val="Arial"/>
        <family val="2"/>
      </rPr>
      <t xml:space="preserve">?/??/?? - 11/1/02-04</t>
    </r>
    <r>
      <rPr>
        <sz val="10"/>
        <rFont val="Arial"/>
        <family val="2"/>
      </rPr>
      <t xml:space="preserve">)</t>
    </r>
  </si>
  <si>
    <r>
      <rPr>
        <sz val="10"/>
        <rFont val="Arial"/>
        <family val="2"/>
      </rPr>
      <t xml:space="preserve">   Note #3 @ 9.20% (</t>
    </r>
    <r>
      <rPr>
        <sz val="10"/>
        <color rgb="FFFF0000"/>
        <rFont val="Arial"/>
        <family val="2"/>
      </rPr>
      <t xml:space="preserve">?/??/?? - 11/1/01</t>
    </r>
    <r>
      <rPr>
        <sz val="10"/>
        <rFont val="Arial"/>
        <family val="2"/>
      </rPr>
      <t xml:space="preserve">)</t>
    </r>
  </si>
  <si>
    <t xml:space="preserve">   Note #5 @ 7.40% (3/31/00 - 4/1/01)</t>
  </si>
  <si>
    <t xml:space="preserve">      Total Annual Interest</t>
  </si>
  <si>
    <t xml:space="preserve">   Note #1 - June 29 (30+31+28 Days)</t>
  </si>
  <si>
    <t xml:space="preserve">                - September 28 (2+31+31+27 Days)</t>
  </si>
  <si>
    <t xml:space="preserve">                - December 31 (3+31+30+31 Days)</t>
  </si>
  <si>
    <t xml:space="preserve">   Note #3 Thru #4 - May 1</t>
  </si>
  <si>
    <t xml:space="preserve">   Note #5 - April 1</t>
  </si>
  <si>
    <t xml:space="preserve">                - October 1</t>
  </si>
  <si>
    <t xml:space="preserve">      Long Term Interest Expense (External)</t>
  </si>
  <si>
    <t xml:space="preserve">      Interest Expense Differential </t>
  </si>
  <si>
    <t xml:space="preserve">2002 OPERATING PLAN</t>
  </si>
  <si>
    <t xml:space="preserve">  " Preliminary 2002 Operating Plan (10/24/01) "</t>
  </si>
  <si>
    <t xml:space="preserve">3rd CE</t>
  </si>
  <si>
    <t xml:space="preserve">PLAN</t>
  </si>
  <si>
    <t xml:space="preserve">12/31/02</t>
  </si>
  <si>
    <r>
      <rPr>
        <sz val="10"/>
        <color rgb="FF0000FF"/>
        <rFont val="Arial"/>
        <family val="2"/>
      </rPr>
      <t xml:space="preserve">   (Inc.) / Dec. in Check Book Activity         </t>
    </r>
    <r>
      <rPr>
        <sz val="10"/>
        <color rgb="FFFF0000"/>
        <rFont val="Arial"/>
        <family val="2"/>
      </rPr>
      <t xml:space="preserve">(10/24/01)</t>
    </r>
    <r>
      <rPr>
        <sz val="10"/>
        <color rgb="FF0000FF"/>
        <rFont val="Arial"/>
        <family val="2"/>
      </rPr>
      <t xml:space="preserve"> </t>
    </r>
  </si>
  <si>
    <t xml:space="preserve">2002 Operating Plan (Financing Costs)</t>
  </si>
  <si>
    <t xml:space="preserve">      Long Term - Interest Expense (External - Note #3)</t>
  </si>
  <si>
    <t xml:space="preserve">   Note #1 @ 0.00% (?/??/?? - ?/??/??)</t>
  </si>
  <si>
    <r>
      <rPr>
        <sz val="10"/>
        <rFont val="Arial"/>
        <family val="2"/>
      </rPr>
      <t xml:space="preserve">   Note #3 @ 9.20% (</t>
    </r>
    <r>
      <rPr>
        <sz val="10"/>
        <color rgb="FFFF0000"/>
        <rFont val="Arial"/>
        <family val="2"/>
      </rPr>
      <t xml:space="preserve">?/??/?? - 11/1/02</t>
    </r>
    <r>
      <rPr>
        <sz val="10"/>
        <rFont val="Arial"/>
        <family val="2"/>
      </rPr>
      <t xml:space="preserve">)</t>
    </r>
  </si>
  <si>
    <t xml:space="preserve">   Note #5 @ 0.00% (?/??/?? - ?/??/??)</t>
  </si>
  <si>
    <t xml:space="preserve">   Note #1 - Month Day </t>
  </si>
  <si>
    <t xml:space="preserve">                - Month Day</t>
  </si>
  <si>
    <t xml:space="preserve">   Note #5 - Month Day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</si>
</sst>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9]#,##0_);\(#,##0\)"/>
    <numFmt numFmtId="167" formatCode="0.000%"/>
    <numFmt numFmtId="168" formatCode="dd\-mmm\-yy"/>
    <numFmt numFmtId="169" formatCode="hh:mm\ AM/PM_)"/>
    <numFmt numFmtId="170" formatCode="0.00%"/>
    <numFmt numFmtId="171" formatCode="dd\-mmm\-yy_)"/>
  </numFmts>
  <fonts count="35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sz val="8"/>
      <name val="Arial"/>
      <family val="2"/>
    </font>
    <font>
      <sz val="10"/>
      <color rgb="FF0000FF"/>
      <name val="Arial"/>
      <family val="0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0"/>
    </font>
    <font>
      <b val="true"/>
      <u val="single"/>
      <sz val="10"/>
      <color rgb="FF0000FF"/>
      <name val="Arial"/>
      <family val="2"/>
    </font>
    <font>
      <b val="true"/>
      <u val="single"/>
      <sz val="10"/>
      <color rgb="FF0000FF"/>
      <name val="Arial"/>
      <family val="0"/>
    </font>
    <font>
      <u val="single"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b val="true"/>
      <sz val="10"/>
      <color rgb="FF0000FF"/>
      <name val="Arial"/>
      <family val="0"/>
    </font>
    <font>
      <b val="true"/>
      <u val="double"/>
      <sz val="10"/>
      <name val="Arial"/>
      <family val="0"/>
    </font>
    <font>
      <u val="double"/>
      <sz val="1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sz val="10"/>
      <color rgb="FF008000"/>
      <name val="Arial"/>
      <family val="2"/>
    </font>
    <font>
      <u val="double"/>
      <sz val="10"/>
      <color rgb="FFFF0000"/>
      <name val="Arial"/>
      <family val="2"/>
    </font>
    <font>
      <u val="single"/>
      <sz val="10"/>
      <color rgb="FF000000"/>
      <name val="Arial"/>
      <family val="2"/>
    </font>
    <font>
      <sz val="10"/>
      <color rgb="FFFF00FF"/>
      <name val="Arial"/>
      <family val="2"/>
    </font>
    <font>
      <u val="single"/>
      <sz val="10"/>
      <color rgb="FFFF00FF"/>
      <name val="Arial"/>
      <family val="2"/>
    </font>
    <font>
      <b val="true"/>
      <u val="double"/>
      <sz val="10"/>
      <name val="Arial"/>
      <family val="2"/>
    </font>
    <font>
      <sz val="8"/>
      <color rgb="FF000000"/>
      <name val="Arial"/>
      <family val="2"/>
    </font>
    <font>
      <b val="true"/>
      <u val="single"/>
      <sz val="10"/>
      <name val="Arial"/>
      <family val="2"/>
    </font>
    <font>
      <sz val="10"/>
      <color rgb="FF3333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BFBFB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7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23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.82"/>
    <col collapsed="false" customWidth="true" hidden="false" outlineLevel="0" max="2" min="2" style="0" width="50.82"/>
    <col collapsed="false" customWidth="true" hidden="false" outlineLevel="0" max="3" min="3" style="0" width="5.82"/>
    <col collapsed="false" customWidth="true" hidden="false" outlineLevel="0" max="15" min="4" style="0" width="11.82"/>
    <col collapsed="false" customWidth="true" hidden="false" outlineLevel="0" max="16" min="16" style="0" width="12.33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  <c r="S2" s="2"/>
    </row>
    <row r="3" customFormat="false" ht="15" hidden="false" customHeight="tru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</row>
    <row r="4" customFormat="false" ht="12.6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</row>
    <row r="5" customFormat="false" ht="12.6" hidden="false" customHeight="true" outlineLevel="0" collapsed="false">
      <c r="A5" s="5"/>
      <c r="B5" s="6"/>
      <c r="C5" s="6"/>
      <c r="D5" s="7"/>
      <c r="E5" s="8"/>
      <c r="F5" s="2"/>
      <c r="G5" s="2"/>
      <c r="H5" s="2"/>
      <c r="I5" s="9"/>
      <c r="J5" s="10"/>
      <c r="K5" s="8"/>
      <c r="L5" s="7"/>
      <c r="M5" s="7"/>
      <c r="N5" s="7"/>
      <c r="O5" s="7"/>
      <c r="P5" s="7"/>
      <c r="Q5" s="2"/>
      <c r="R5" s="2"/>
      <c r="S5" s="2"/>
    </row>
    <row r="6" customFormat="false" ht="12.6" hidden="false" customHeight="true" outlineLevel="0" collapsed="false">
      <c r="A6" s="5"/>
      <c r="B6" s="7"/>
      <c r="C6" s="7"/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  <c r="N6" s="11" t="s">
        <v>14</v>
      </c>
      <c r="O6" s="11" t="s">
        <v>15</v>
      </c>
      <c r="P6" s="12" t="n">
        <v>1999</v>
      </c>
      <c r="Q6" s="2"/>
      <c r="R6" s="2"/>
      <c r="S6" s="2"/>
    </row>
    <row r="7" customFormat="false" ht="12.6" hidden="false" customHeight="true" outlineLevel="0" collapsed="false">
      <c r="A7" s="13" t="s">
        <v>16</v>
      </c>
      <c r="B7" s="14"/>
      <c r="C7" s="14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5"/>
      <c r="Q7" s="2"/>
      <c r="R7" s="2"/>
      <c r="S7" s="2"/>
    </row>
    <row r="8" customFormat="false" ht="12.6" hidden="false" customHeight="true" outlineLevel="0" collapsed="false">
      <c r="A8" s="2"/>
      <c r="B8" s="17" t="s">
        <v>17</v>
      </c>
      <c r="C8" s="17"/>
      <c r="D8" s="18" t="n">
        <f aca="false">-100000-1540</f>
        <v>-101540</v>
      </c>
      <c r="E8" s="19" t="n">
        <f aca="false">+D11</f>
        <v>-102054</v>
      </c>
      <c r="F8" s="19" t="n">
        <f aca="false">+E11</f>
        <v>-102579</v>
      </c>
      <c r="G8" s="19" t="n">
        <f aca="false">+F11</f>
        <v>-103055</v>
      </c>
      <c r="H8" s="19" t="n">
        <f aca="false">+G11</f>
        <v>-103585</v>
      </c>
      <c r="I8" s="19" t="n">
        <f aca="false">+H11</f>
        <v>-104100</v>
      </c>
      <c r="J8" s="19" t="n">
        <f aca="false">+I11</f>
        <v>-104635</v>
      </c>
      <c r="K8" s="19" t="n">
        <f aca="false">+J11</f>
        <v>-105156</v>
      </c>
      <c r="L8" s="19" t="n">
        <f aca="false">+K11</f>
        <v>-105697</v>
      </c>
      <c r="M8" s="19" t="n">
        <f aca="false">+L11</f>
        <v>-106241</v>
      </c>
      <c r="N8" s="19" t="n">
        <f aca="false">+M11</f>
        <v>-106769</v>
      </c>
      <c r="O8" s="19" t="n">
        <f aca="false">+N11</f>
        <v>-107318</v>
      </c>
      <c r="P8" s="20"/>
      <c r="Q8" s="2"/>
      <c r="R8" s="2"/>
      <c r="S8" s="2"/>
    </row>
    <row r="9" customFormat="false" ht="12.6" hidden="false" customHeight="true" outlineLevel="0" collapsed="false">
      <c r="A9" s="2"/>
      <c r="B9" s="17" t="s">
        <v>18</v>
      </c>
      <c r="C9" s="17"/>
      <c r="D9" s="21" t="n">
        <f aca="false">ROUND(-849*0.6053,0)</f>
        <v>-514</v>
      </c>
      <c r="E9" s="19" t="n">
        <f aca="false">+D20</f>
        <v>-525</v>
      </c>
      <c r="F9" s="19" t="n">
        <f aca="false">+E20</f>
        <v>-476</v>
      </c>
      <c r="G9" s="19" t="n">
        <f aca="false">+F20</f>
        <v>-530</v>
      </c>
      <c r="H9" s="19" t="n">
        <f aca="false">+G20</f>
        <v>-515</v>
      </c>
      <c r="I9" s="19" t="n">
        <f aca="false">+H20</f>
        <v>-535</v>
      </c>
      <c r="J9" s="19" t="n">
        <f aca="false">+I20</f>
        <v>-521</v>
      </c>
      <c r="K9" s="19" t="n">
        <f aca="false">+J20</f>
        <v>-541</v>
      </c>
      <c r="L9" s="19" t="n">
        <f aca="false">+K20</f>
        <v>-544</v>
      </c>
      <c r="M9" s="19" t="n">
        <f aca="false">+L20</f>
        <v>-528</v>
      </c>
      <c r="N9" s="19" t="n">
        <f aca="false">+M20</f>
        <v>-549</v>
      </c>
      <c r="O9" s="19" t="n">
        <f aca="false">+N20</f>
        <v>-534</v>
      </c>
      <c r="P9" s="20"/>
      <c r="Q9" s="2"/>
      <c r="R9" s="2"/>
      <c r="S9" s="2"/>
    </row>
    <row r="10" customFormat="false" ht="12.6" hidden="false" customHeight="true" outlineLevel="0" collapsed="false">
      <c r="A10" s="2"/>
      <c r="B10" s="17" t="s">
        <v>19</v>
      </c>
      <c r="C10" s="17"/>
      <c r="D10" s="22" t="n">
        <v>0</v>
      </c>
      <c r="E10" s="22" t="n">
        <v>0</v>
      </c>
      <c r="F10" s="22" t="n">
        <v>0</v>
      </c>
      <c r="G10" s="22" t="n">
        <v>0</v>
      </c>
      <c r="H10" s="22" t="n">
        <v>0</v>
      </c>
      <c r="I10" s="22" t="n">
        <v>0</v>
      </c>
      <c r="J10" s="22" t="n">
        <v>0</v>
      </c>
      <c r="K10" s="22" t="n">
        <v>0</v>
      </c>
      <c r="L10" s="22" t="n">
        <v>0</v>
      </c>
      <c r="M10" s="22" t="n">
        <v>0</v>
      </c>
      <c r="N10" s="22" t="n">
        <v>0</v>
      </c>
      <c r="O10" s="22" t="n">
        <v>0</v>
      </c>
      <c r="P10" s="20" t="n">
        <f aca="false">SUM(D10:O10)</f>
        <v>0</v>
      </c>
      <c r="Q10" s="20"/>
      <c r="R10" s="2"/>
      <c r="S10" s="2"/>
    </row>
    <row r="11" customFormat="false" ht="12.6" hidden="false" customHeight="true" outlineLevel="0" collapsed="false">
      <c r="A11" s="2"/>
      <c r="B11" s="17" t="s">
        <v>20</v>
      </c>
      <c r="C11" s="17"/>
      <c r="D11" s="23" t="n">
        <f aca="false">SUM(D8:D10)</f>
        <v>-102054</v>
      </c>
      <c r="E11" s="23" t="n">
        <f aca="false">SUM(E8:E10)</f>
        <v>-102579</v>
      </c>
      <c r="F11" s="23" t="n">
        <f aca="false">SUM(F8:F10)</f>
        <v>-103055</v>
      </c>
      <c r="G11" s="23" t="n">
        <f aca="false">SUM(G8:G10)</f>
        <v>-103585</v>
      </c>
      <c r="H11" s="23" t="n">
        <f aca="false">SUM(H8:H10)</f>
        <v>-104100</v>
      </c>
      <c r="I11" s="23" t="n">
        <f aca="false">SUM(I8:I10)</f>
        <v>-104635</v>
      </c>
      <c r="J11" s="23" t="n">
        <f aca="false">SUM(J8:J10)</f>
        <v>-105156</v>
      </c>
      <c r="K11" s="23" t="n">
        <f aca="false">SUM(K8:K10)</f>
        <v>-105697</v>
      </c>
      <c r="L11" s="23" t="n">
        <f aca="false">SUM(L8:L10)</f>
        <v>-106241</v>
      </c>
      <c r="M11" s="23" t="n">
        <f aca="false">SUM(M8:M10)</f>
        <v>-106769</v>
      </c>
      <c r="N11" s="23" t="n">
        <f aca="false">SUM(N8:N10)</f>
        <v>-107318</v>
      </c>
      <c r="O11" s="23" t="n">
        <f aca="false">SUM(O8:O10)</f>
        <v>-107852</v>
      </c>
      <c r="P11" s="20"/>
      <c r="Q11" s="2"/>
      <c r="R11" s="2"/>
      <c r="S11" s="2"/>
    </row>
    <row r="12" customFormat="false" ht="3.95" hidden="false" customHeight="true" outlineLevel="0" collapsed="false">
      <c r="A12" s="2"/>
      <c r="B12" s="24"/>
      <c r="C12" s="2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2"/>
      <c r="R12" s="2"/>
      <c r="S12" s="2"/>
    </row>
    <row r="13" customFormat="false" ht="12.6" hidden="false" customHeight="true" outlineLevel="0" collapsed="false">
      <c r="A13" s="2"/>
      <c r="B13" s="17" t="s">
        <v>21</v>
      </c>
      <c r="C13" s="17"/>
      <c r="D13" s="20" t="n">
        <f aca="false">ROUND((D11),0)</f>
        <v>-102054</v>
      </c>
      <c r="E13" s="20" t="n">
        <f aca="false">ROUND((E11),0)</f>
        <v>-102579</v>
      </c>
      <c r="F13" s="20" t="n">
        <f aca="false">ROUND((F11),0)</f>
        <v>-103055</v>
      </c>
      <c r="G13" s="20" t="n">
        <f aca="false">ROUND((G11),0)</f>
        <v>-103585</v>
      </c>
      <c r="H13" s="20" t="n">
        <f aca="false">ROUND((H11),0)</f>
        <v>-104100</v>
      </c>
      <c r="I13" s="20" t="n">
        <f aca="false">ROUND((I11),0)</f>
        <v>-104635</v>
      </c>
      <c r="J13" s="20" t="n">
        <f aca="false">ROUND((J11),0)</f>
        <v>-105156</v>
      </c>
      <c r="K13" s="20" t="n">
        <f aca="false">ROUND((K11),0)</f>
        <v>-105697</v>
      </c>
      <c r="L13" s="20" t="n">
        <f aca="false">ROUND((L11),0)</f>
        <v>-106241</v>
      </c>
      <c r="M13" s="20" t="n">
        <f aca="false">ROUND((M11),0)</f>
        <v>-106769</v>
      </c>
      <c r="N13" s="20" t="n">
        <f aca="false">ROUND((N11),0)</f>
        <v>-107318</v>
      </c>
      <c r="O13" s="20" t="n">
        <f aca="false">ROUND((O11),0)</f>
        <v>-107852</v>
      </c>
      <c r="P13" s="5"/>
      <c r="Q13" s="2"/>
      <c r="R13" s="2"/>
      <c r="S13" s="2"/>
    </row>
    <row r="14" customFormat="false" ht="3.95" hidden="false" customHeight="true" outlineLevel="0" collapsed="false">
      <c r="A14" s="2"/>
      <c r="B14" s="17"/>
      <c r="C14" s="1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5"/>
      <c r="Q14" s="2"/>
      <c r="R14" s="2"/>
      <c r="S14" s="2"/>
    </row>
    <row r="15" customFormat="false" ht="12.6" hidden="false" customHeight="true" outlineLevel="0" collapsed="false">
      <c r="A15" s="2"/>
      <c r="B15" s="17" t="s">
        <v>22</v>
      </c>
      <c r="C15" s="17"/>
      <c r="D15" s="25" t="n">
        <v>0.1</v>
      </c>
      <c r="E15" s="25" t="n">
        <v>0.1</v>
      </c>
      <c r="F15" s="25" t="n">
        <v>0.1</v>
      </c>
      <c r="G15" s="25" t="n">
        <v>0.1</v>
      </c>
      <c r="H15" s="25" t="n">
        <v>0.1</v>
      </c>
      <c r="I15" s="25" t="n">
        <v>0.1</v>
      </c>
      <c r="J15" s="25" t="n">
        <v>0.1</v>
      </c>
      <c r="K15" s="25" t="n">
        <v>0.1</v>
      </c>
      <c r="L15" s="25" t="n">
        <v>0.1</v>
      </c>
      <c r="M15" s="25" t="n">
        <v>0.1</v>
      </c>
      <c r="N15" s="25" t="n">
        <v>0.1</v>
      </c>
      <c r="O15" s="25" t="n">
        <v>0.1</v>
      </c>
      <c r="P15" s="5"/>
      <c r="Q15" s="2"/>
      <c r="R15" s="2"/>
      <c r="S15" s="2"/>
    </row>
    <row r="16" customFormat="false" ht="3.95" hidden="false" customHeight="true" outlineLevel="0" collapsed="false">
      <c r="A16" s="2"/>
      <c r="B16" s="26"/>
      <c r="C16" s="26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5"/>
      <c r="Q16" s="2"/>
      <c r="R16" s="2"/>
      <c r="S16" s="2"/>
    </row>
    <row r="17" customFormat="false" ht="12.6" hidden="false" customHeight="true" outlineLevel="0" collapsed="false">
      <c r="A17" s="2"/>
      <c r="B17" s="17" t="s">
        <v>23</v>
      </c>
      <c r="C17" s="17"/>
      <c r="D17" s="20" t="n">
        <f aca="false">ROUND((D13)*(D15*(31/365)),0)</f>
        <v>-867</v>
      </c>
      <c r="E17" s="20" t="n">
        <f aca="false">ROUND((E13)*(E15*(28/365)),0)</f>
        <v>-787</v>
      </c>
      <c r="F17" s="20" t="n">
        <f aca="false">ROUND((F13)*(F15*(31/365)),0)</f>
        <v>-875</v>
      </c>
      <c r="G17" s="20" t="n">
        <f aca="false">ROUND((G13)*(G15*(30/365)),0)</f>
        <v>-851</v>
      </c>
      <c r="H17" s="20" t="n">
        <f aca="false">ROUND((H13)*(H15*(31/365)),0)</f>
        <v>-884</v>
      </c>
      <c r="I17" s="20" t="n">
        <f aca="false">ROUND((I13)*(I15*(30/365)),0)</f>
        <v>-860</v>
      </c>
      <c r="J17" s="20" t="n">
        <f aca="false">ROUND((J13)*(J15*(31/365)),0)</f>
        <v>-893</v>
      </c>
      <c r="K17" s="20" t="n">
        <f aca="false">ROUND((K13)*(K15*(31/365)),0)</f>
        <v>-898</v>
      </c>
      <c r="L17" s="20" t="n">
        <f aca="false">ROUND((L13)*(L15*(30/365)),0)</f>
        <v>-873</v>
      </c>
      <c r="M17" s="20" t="n">
        <f aca="false">ROUND((M13)*(M15*(31/365)),0)</f>
        <v>-907</v>
      </c>
      <c r="N17" s="20" t="n">
        <f aca="false">ROUND((N13)*(N15*(30/365)),0)</f>
        <v>-882</v>
      </c>
      <c r="O17" s="20" t="n">
        <f aca="false">ROUND((O13)*(O15*(31/365)),0)</f>
        <v>-916</v>
      </c>
      <c r="P17" s="27" t="n">
        <f aca="false">SUM(D17:O17)</f>
        <v>-10493</v>
      </c>
      <c r="Q17" s="2"/>
      <c r="R17" s="2"/>
      <c r="S17" s="2"/>
    </row>
    <row r="18" customFormat="false" ht="12.6" hidden="false" customHeight="true" outlineLevel="0" collapsed="false">
      <c r="A18" s="2"/>
      <c r="B18" s="17" t="s">
        <v>24</v>
      </c>
      <c r="C18" s="17"/>
      <c r="D18" s="28" t="n">
        <f aca="false">ROUND(+D17*-0.3947,0)</f>
        <v>342</v>
      </c>
      <c r="E18" s="28" t="n">
        <f aca="false">ROUND(+E17*-0.3947,0)</f>
        <v>311</v>
      </c>
      <c r="F18" s="28" t="n">
        <f aca="false">ROUND(+F17*-0.3947,0)</f>
        <v>345</v>
      </c>
      <c r="G18" s="28" t="n">
        <f aca="false">ROUND(+G17*-0.3947,0)</f>
        <v>336</v>
      </c>
      <c r="H18" s="28" t="n">
        <f aca="false">ROUND(+H17*-0.3947,0)</f>
        <v>349</v>
      </c>
      <c r="I18" s="28" t="n">
        <f aca="false">ROUND(+I17*-0.3947,0)</f>
        <v>339</v>
      </c>
      <c r="J18" s="28" t="n">
        <f aca="false">ROUND(+J17*-0.3947,0)</f>
        <v>352</v>
      </c>
      <c r="K18" s="28" t="n">
        <f aca="false">ROUND(+K17*-0.3947,0)</f>
        <v>354</v>
      </c>
      <c r="L18" s="28" t="n">
        <f aca="false">ROUND(+L17*-0.3947,0)</f>
        <v>345</v>
      </c>
      <c r="M18" s="28" t="n">
        <f aca="false">ROUND(+M17*-0.3947,0)</f>
        <v>358</v>
      </c>
      <c r="N18" s="28" t="n">
        <f aca="false">ROUND(+N17*-0.3947,0)</f>
        <v>348</v>
      </c>
      <c r="O18" s="28" t="n">
        <f aca="false">ROUND(+O17*-0.3947,0)</f>
        <v>362</v>
      </c>
      <c r="P18" s="29" t="n">
        <f aca="false">SUM(D18:O18)</f>
        <v>4141</v>
      </c>
      <c r="Q18" s="2"/>
      <c r="R18" s="2"/>
      <c r="S18" s="2"/>
    </row>
    <row r="19" customFormat="false" ht="3.95" hidden="false" customHeight="true" outlineLevel="0" collapsed="false">
      <c r="A19" s="2"/>
      <c r="B19" s="17"/>
      <c r="C19" s="1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3"/>
      <c r="Q19" s="2"/>
      <c r="R19" s="2"/>
      <c r="S19" s="2"/>
    </row>
    <row r="20" customFormat="false" ht="12.6" hidden="false" customHeight="true" outlineLevel="0" collapsed="false">
      <c r="A20" s="2"/>
      <c r="B20" s="30" t="s">
        <v>25</v>
      </c>
      <c r="C20" s="31"/>
      <c r="D20" s="32" t="n">
        <f aca="false">SUM(D17:D18)</f>
        <v>-525</v>
      </c>
      <c r="E20" s="32" t="n">
        <f aca="false">SUM(E17:E18)</f>
        <v>-476</v>
      </c>
      <c r="F20" s="32" t="n">
        <f aca="false">SUM(F17:F18)</f>
        <v>-530</v>
      </c>
      <c r="G20" s="32" t="n">
        <f aca="false">SUM(G17:G18)</f>
        <v>-515</v>
      </c>
      <c r="H20" s="32" t="n">
        <f aca="false">SUM(H17:H18)</f>
        <v>-535</v>
      </c>
      <c r="I20" s="32" t="n">
        <f aca="false">SUM(I17:I18)</f>
        <v>-521</v>
      </c>
      <c r="J20" s="32" t="n">
        <f aca="false">SUM(J17:J18)</f>
        <v>-541</v>
      </c>
      <c r="K20" s="32" t="n">
        <f aca="false">SUM(K17:K18)</f>
        <v>-544</v>
      </c>
      <c r="L20" s="32" t="n">
        <f aca="false">SUM(L17:L18)</f>
        <v>-528</v>
      </c>
      <c r="M20" s="32" t="n">
        <f aca="false">SUM(M17:M18)</f>
        <v>-549</v>
      </c>
      <c r="N20" s="32" t="n">
        <f aca="false">SUM(N17:N18)</f>
        <v>-534</v>
      </c>
      <c r="O20" s="32" t="n">
        <f aca="false">SUM(O17:O18)</f>
        <v>-554</v>
      </c>
      <c r="P20" s="32" t="n">
        <f aca="false">SUM(P17:P18)</f>
        <v>-6352</v>
      </c>
      <c r="Q20" s="33" t="n">
        <f aca="false">+P20-SUM(D20:O20)</f>
        <v>0</v>
      </c>
      <c r="R20" s="2"/>
      <c r="S20" s="2"/>
    </row>
    <row r="21" customFormat="false" ht="12.6" hidden="false" customHeight="true" outlineLevel="0" collapsed="false">
      <c r="A21" s="2"/>
      <c r="B21" s="17"/>
      <c r="C21" s="17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5"/>
      <c r="Q21" s="2"/>
      <c r="R21" s="2"/>
      <c r="S21" s="2"/>
    </row>
    <row r="22" customFormat="false" ht="6" hidden="false" customHeight="true" outlineLevel="0" collapsed="false">
      <c r="A22" s="35"/>
      <c r="B22" s="36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  <c r="Q22" s="2"/>
      <c r="R22" s="2"/>
      <c r="S22" s="2"/>
    </row>
    <row r="23" customFormat="false" ht="12.6" hidden="false" customHeight="true" outlineLevel="0" collapsed="false">
      <c r="A23" s="2"/>
      <c r="B23" s="17"/>
      <c r="C23" s="17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5"/>
      <c r="Q23" s="2"/>
      <c r="R23" s="2"/>
      <c r="S23" s="2"/>
    </row>
    <row r="24" customFormat="false" ht="12.6" hidden="false" customHeight="true" outlineLevel="0" collapsed="false">
      <c r="A24" s="2"/>
      <c r="B24" s="7"/>
      <c r="C24" s="7"/>
      <c r="D24" s="11" t="s">
        <v>4</v>
      </c>
      <c r="E24" s="11" t="s">
        <v>5</v>
      </c>
      <c r="F24" s="11" t="s">
        <v>6</v>
      </c>
      <c r="G24" s="11" t="s">
        <v>7</v>
      </c>
      <c r="H24" s="11" t="s">
        <v>8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14</v>
      </c>
      <c r="O24" s="11" t="s">
        <v>15</v>
      </c>
      <c r="P24" s="12" t="n">
        <v>2000</v>
      </c>
      <c r="Q24" s="2"/>
      <c r="R24" s="2"/>
      <c r="S24" s="2"/>
    </row>
    <row r="25" customFormat="false" ht="12.6" hidden="false" customHeight="true" outlineLevel="0" collapsed="false">
      <c r="A25" s="13" t="s">
        <v>26</v>
      </c>
      <c r="B25" s="14"/>
      <c r="C25" s="14"/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5"/>
      <c r="Q25" s="2"/>
      <c r="R25" s="2"/>
      <c r="S25" s="2"/>
    </row>
    <row r="26" customFormat="false" ht="12.6" hidden="false" customHeight="true" outlineLevel="0" collapsed="false">
      <c r="A26" s="2"/>
      <c r="B26" s="17" t="s">
        <v>17</v>
      </c>
      <c r="C26" s="17"/>
      <c r="D26" s="19" t="n">
        <f aca="false">+O11</f>
        <v>-107852</v>
      </c>
      <c r="E26" s="19" t="n">
        <f aca="false">+D29</f>
        <v>-108406</v>
      </c>
      <c r="F26" s="19" t="n">
        <f aca="false">+E29</f>
        <v>-108963</v>
      </c>
      <c r="G26" s="19" t="n">
        <f aca="false">+F29</f>
        <v>-109469</v>
      </c>
      <c r="H26" s="19" t="n">
        <f aca="false">+G29</f>
        <v>-110032</v>
      </c>
      <c r="I26" s="19" t="n">
        <f aca="false">+H29</f>
        <v>-110579</v>
      </c>
      <c r="J26" s="19" t="n">
        <f aca="false">+I29</f>
        <v>-111147</v>
      </c>
      <c r="K26" s="19" t="n">
        <f aca="false">+J29</f>
        <v>-111700</v>
      </c>
      <c r="L26" s="19" t="n">
        <f aca="false">+K29</f>
        <v>-112274</v>
      </c>
      <c r="M26" s="19" t="n">
        <f aca="false">+L29</f>
        <v>-112851</v>
      </c>
      <c r="N26" s="19" t="n">
        <f aca="false">+M29</f>
        <v>-113413</v>
      </c>
      <c r="O26" s="19" t="n">
        <f aca="false">+N29</f>
        <v>-113996</v>
      </c>
      <c r="P26" s="20"/>
      <c r="Q26" s="2"/>
      <c r="R26" s="2"/>
      <c r="S26" s="2"/>
    </row>
    <row r="27" customFormat="false" ht="12.6" hidden="false" customHeight="true" outlineLevel="0" collapsed="false">
      <c r="A27" s="2"/>
      <c r="B27" s="17" t="s">
        <v>18</v>
      </c>
      <c r="C27" s="17"/>
      <c r="D27" s="19" t="n">
        <f aca="false">+O20</f>
        <v>-554</v>
      </c>
      <c r="E27" s="19" t="n">
        <f aca="false">+D38</f>
        <v>-557</v>
      </c>
      <c r="F27" s="19" t="n">
        <f aca="false">+E38</f>
        <v>-506</v>
      </c>
      <c r="G27" s="19" t="n">
        <f aca="false">+F38</f>
        <v>-563</v>
      </c>
      <c r="H27" s="19" t="n">
        <f aca="false">+G38</f>
        <v>-547</v>
      </c>
      <c r="I27" s="19" t="n">
        <f aca="false">+H38</f>
        <v>-568</v>
      </c>
      <c r="J27" s="19" t="n">
        <f aca="false">+I38</f>
        <v>-553</v>
      </c>
      <c r="K27" s="19" t="n">
        <f aca="false">+J38</f>
        <v>-574</v>
      </c>
      <c r="L27" s="19" t="n">
        <f aca="false">+K38</f>
        <v>-577</v>
      </c>
      <c r="M27" s="19" t="n">
        <f aca="false">+L38</f>
        <v>-562</v>
      </c>
      <c r="N27" s="19" t="n">
        <f aca="false">+M38</f>
        <v>-583</v>
      </c>
      <c r="O27" s="19" t="n">
        <f aca="false">+N38</f>
        <v>-567</v>
      </c>
      <c r="P27" s="20"/>
      <c r="Q27" s="2"/>
      <c r="R27" s="2"/>
      <c r="S27" s="2"/>
    </row>
    <row r="28" customFormat="false" ht="12.6" hidden="false" customHeight="true" outlineLevel="0" collapsed="false">
      <c r="A28" s="2"/>
      <c r="B28" s="17" t="s">
        <v>19</v>
      </c>
      <c r="C28" s="17"/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0</v>
      </c>
      <c r="M28" s="22" t="n">
        <v>0</v>
      </c>
      <c r="N28" s="22" t="n">
        <v>0</v>
      </c>
      <c r="O28" s="22" t="n">
        <v>0</v>
      </c>
      <c r="P28" s="20" t="n">
        <f aca="false">SUM(D28:O28)</f>
        <v>0</v>
      </c>
      <c r="Q28" s="2"/>
      <c r="R28" s="2"/>
      <c r="S28" s="2"/>
    </row>
    <row r="29" customFormat="false" ht="12.6" hidden="false" customHeight="true" outlineLevel="0" collapsed="false">
      <c r="A29" s="2"/>
      <c r="B29" s="17" t="s">
        <v>20</v>
      </c>
      <c r="C29" s="17"/>
      <c r="D29" s="23" t="n">
        <f aca="false">SUM(D26:D28)</f>
        <v>-108406</v>
      </c>
      <c r="E29" s="23" t="n">
        <f aca="false">SUM(E26:E28)</f>
        <v>-108963</v>
      </c>
      <c r="F29" s="23" t="n">
        <f aca="false">SUM(F26:F28)</f>
        <v>-109469</v>
      </c>
      <c r="G29" s="23" t="n">
        <f aca="false">SUM(G26:G28)</f>
        <v>-110032</v>
      </c>
      <c r="H29" s="23" t="n">
        <f aca="false">SUM(H26:H28)</f>
        <v>-110579</v>
      </c>
      <c r="I29" s="23" t="n">
        <f aca="false">SUM(I26:I28)</f>
        <v>-111147</v>
      </c>
      <c r="J29" s="23" t="n">
        <f aca="false">SUM(J26:J28)</f>
        <v>-111700</v>
      </c>
      <c r="K29" s="23" t="n">
        <f aca="false">SUM(K26:K28)</f>
        <v>-112274</v>
      </c>
      <c r="L29" s="23" t="n">
        <f aca="false">SUM(L26:L28)</f>
        <v>-112851</v>
      </c>
      <c r="M29" s="23" t="n">
        <f aca="false">SUM(M26:M28)</f>
        <v>-113413</v>
      </c>
      <c r="N29" s="23" t="n">
        <f aca="false">SUM(N26:N28)</f>
        <v>-113996</v>
      </c>
      <c r="O29" s="23" t="n">
        <f aca="false">SUM(O26:O28)</f>
        <v>-114563</v>
      </c>
      <c r="P29" s="20"/>
      <c r="Q29" s="2"/>
      <c r="R29" s="2"/>
      <c r="S29" s="2"/>
    </row>
    <row r="30" customFormat="false" ht="3.95" hidden="false" customHeight="true" outlineLevel="0" collapsed="false">
      <c r="A30" s="2"/>
      <c r="B30" s="24"/>
      <c r="C30" s="2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2"/>
      <c r="R30" s="2"/>
      <c r="S30" s="2"/>
    </row>
    <row r="31" customFormat="false" ht="12.6" hidden="false" customHeight="true" outlineLevel="0" collapsed="false">
      <c r="A31" s="2"/>
      <c r="B31" s="17" t="s">
        <v>21</v>
      </c>
      <c r="C31" s="17"/>
      <c r="D31" s="20" t="n">
        <f aca="false">ROUND((D29),0)</f>
        <v>-108406</v>
      </c>
      <c r="E31" s="20" t="n">
        <f aca="false">ROUND((E29),0)</f>
        <v>-108963</v>
      </c>
      <c r="F31" s="20" t="n">
        <f aca="false">ROUND((F29),0)</f>
        <v>-109469</v>
      </c>
      <c r="G31" s="20" t="n">
        <f aca="false">ROUND((G29),0)</f>
        <v>-110032</v>
      </c>
      <c r="H31" s="20" t="n">
        <f aca="false">ROUND((H29),0)</f>
        <v>-110579</v>
      </c>
      <c r="I31" s="20" t="n">
        <f aca="false">ROUND((I29),0)</f>
        <v>-111147</v>
      </c>
      <c r="J31" s="20" t="n">
        <f aca="false">ROUND((J29),0)</f>
        <v>-111700</v>
      </c>
      <c r="K31" s="20" t="n">
        <f aca="false">ROUND((K29),0)</f>
        <v>-112274</v>
      </c>
      <c r="L31" s="20" t="n">
        <f aca="false">ROUND((L29),0)</f>
        <v>-112851</v>
      </c>
      <c r="M31" s="20" t="n">
        <f aca="false">ROUND((M29),0)</f>
        <v>-113413</v>
      </c>
      <c r="N31" s="20" t="n">
        <f aca="false">ROUND((N29),0)</f>
        <v>-113996</v>
      </c>
      <c r="O31" s="20" t="n">
        <f aca="false">ROUND((O29),0)</f>
        <v>-114563</v>
      </c>
      <c r="P31" s="5"/>
      <c r="Q31" s="2"/>
      <c r="R31" s="2"/>
      <c r="S31" s="2"/>
    </row>
    <row r="32" customFormat="false" ht="3.95" hidden="false" customHeight="true" outlineLevel="0" collapsed="false">
      <c r="A32" s="2"/>
      <c r="B32" s="17"/>
      <c r="C32" s="17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5"/>
      <c r="Q32" s="2"/>
      <c r="R32" s="2"/>
      <c r="S32" s="2"/>
    </row>
    <row r="33" customFormat="false" ht="12.6" hidden="false" customHeight="true" outlineLevel="0" collapsed="false">
      <c r="A33" s="2"/>
      <c r="B33" s="17" t="s">
        <v>22</v>
      </c>
      <c r="C33" s="17"/>
      <c r="D33" s="25" t="n">
        <v>0.1</v>
      </c>
      <c r="E33" s="25" t="n">
        <v>0.1</v>
      </c>
      <c r="F33" s="25" t="n">
        <v>0.1</v>
      </c>
      <c r="G33" s="25" t="n">
        <v>0.1</v>
      </c>
      <c r="H33" s="25" t="n">
        <v>0.1</v>
      </c>
      <c r="I33" s="25" t="n">
        <v>0.1</v>
      </c>
      <c r="J33" s="25" t="n">
        <v>0.1</v>
      </c>
      <c r="K33" s="25" t="n">
        <v>0.1</v>
      </c>
      <c r="L33" s="25" t="n">
        <v>0.1</v>
      </c>
      <c r="M33" s="25" t="n">
        <v>0.1</v>
      </c>
      <c r="N33" s="25" t="n">
        <v>0.1</v>
      </c>
      <c r="O33" s="25" t="n">
        <v>0.1</v>
      </c>
      <c r="P33" s="5"/>
      <c r="Q33" s="2"/>
      <c r="R33" s="2"/>
      <c r="S33" s="2"/>
    </row>
    <row r="34" customFormat="false" ht="3.95" hidden="false" customHeight="true" outlineLevel="0" collapsed="false">
      <c r="A34" s="2"/>
      <c r="B34" s="26"/>
      <c r="C34" s="26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5"/>
      <c r="Q34" s="2"/>
      <c r="R34" s="2"/>
      <c r="S34" s="2"/>
    </row>
    <row r="35" customFormat="false" ht="12.6" hidden="false" customHeight="true" outlineLevel="0" collapsed="false">
      <c r="A35" s="2"/>
      <c r="B35" s="17" t="s">
        <v>23</v>
      </c>
      <c r="C35" s="17"/>
      <c r="D35" s="20" t="n">
        <f aca="false">ROUND((D31)*(D33*(31/365)),0)</f>
        <v>-921</v>
      </c>
      <c r="E35" s="20" t="n">
        <f aca="false">ROUND((E31)*(E33*(28/365)),0)</f>
        <v>-836</v>
      </c>
      <c r="F35" s="20" t="n">
        <f aca="false">ROUND((F31)*(F33*(31/365)),0)</f>
        <v>-930</v>
      </c>
      <c r="G35" s="20" t="n">
        <f aca="false">ROUND((G31)*(G33*(30/365)),0)</f>
        <v>-904</v>
      </c>
      <c r="H35" s="20" t="n">
        <f aca="false">ROUND((H31)*(H33*(31/365)),0)</f>
        <v>-939</v>
      </c>
      <c r="I35" s="20" t="n">
        <f aca="false">ROUND((I31)*(I33*(30/365)),0)</f>
        <v>-914</v>
      </c>
      <c r="J35" s="20" t="n">
        <f aca="false">ROUND((J31)*(J33*(31/365)),0)</f>
        <v>-949</v>
      </c>
      <c r="K35" s="20" t="n">
        <f aca="false">ROUND((K31)*(K33*(31/365)),0)</f>
        <v>-954</v>
      </c>
      <c r="L35" s="20" t="n">
        <f aca="false">ROUND((L31)*(L33*(30/365)),0)</f>
        <v>-928</v>
      </c>
      <c r="M35" s="20" t="n">
        <f aca="false">ROUND((M31)*(M33*(31/365)),0)</f>
        <v>-963</v>
      </c>
      <c r="N35" s="20" t="n">
        <f aca="false">ROUND((N31)*(N33*(30/365)),0)</f>
        <v>-937</v>
      </c>
      <c r="O35" s="20" t="n">
        <f aca="false">ROUND((O31)*(O33*(31/365)),0)</f>
        <v>-973</v>
      </c>
      <c r="P35" s="27" t="n">
        <f aca="false">SUM(D35:O35)</f>
        <v>-11148</v>
      </c>
      <c r="Q35" s="2"/>
      <c r="R35" s="2"/>
      <c r="S35" s="2"/>
    </row>
    <row r="36" customFormat="false" ht="12.6" hidden="false" customHeight="true" outlineLevel="0" collapsed="false">
      <c r="A36" s="2"/>
      <c r="B36" s="17" t="s">
        <v>24</v>
      </c>
      <c r="C36" s="17"/>
      <c r="D36" s="28" t="n">
        <f aca="false">ROUND(+D35*-0.3947,0)</f>
        <v>364</v>
      </c>
      <c r="E36" s="28" t="n">
        <f aca="false">ROUND(+E35*-0.3947,0)</f>
        <v>330</v>
      </c>
      <c r="F36" s="28" t="n">
        <f aca="false">ROUND(+F35*-0.3947,0)</f>
        <v>367</v>
      </c>
      <c r="G36" s="28" t="n">
        <f aca="false">ROUND(+G35*-0.3947,0)</f>
        <v>357</v>
      </c>
      <c r="H36" s="28" t="n">
        <f aca="false">ROUND(+H35*-0.3947,0)</f>
        <v>371</v>
      </c>
      <c r="I36" s="28" t="n">
        <f aca="false">ROUND(+I35*-0.3947,0)</f>
        <v>361</v>
      </c>
      <c r="J36" s="28" t="n">
        <f aca="false">ROUND(+J35*-0.3947,0)</f>
        <v>375</v>
      </c>
      <c r="K36" s="28" t="n">
        <f aca="false">ROUND(+K35*-0.3947,0)</f>
        <v>377</v>
      </c>
      <c r="L36" s="28" t="n">
        <f aca="false">ROUND(+L35*-0.3947,0)</f>
        <v>366</v>
      </c>
      <c r="M36" s="28" t="n">
        <f aca="false">ROUND(+M35*-0.3947,0)</f>
        <v>380</v>
      </c>
      <c r="N36" s="28" t="n">
        <f aca="false">ROUND(+N35*-0.3947,0)</f>
        <v>370</v>
      </c>
      <c r="O36" s="28" t="n">
        <f aca="false">ROUND(+O35*-0.3947,0)</f>
        <v>384</v>
      </c>
      <c r="P36" s="29" t="n">
        <f aca="false">SUM(D36:O36)</f>
        <v>4402</v>
      </c>
      <c r="Q36" s="2"/>
      <c r="R36" s="2"/>
      <c r="S36" s="2"/>
    </row>
    <row r="37" customFormat="false" ht="3.95" hidden="false" customHeight="true" outlineLevel="0" collapsed="false">
      <c r="A37" s="2"/>
      <c r="B37" s="17"/>
      <c r="C37" s="1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3"/>
      <c r="Q37" s="2"/>
      <c r="R37" s="2"/>
      <c r="S37" s="2"/>
    </row>
    <row r="38" customFormat="false" ht="12.6" hidden="false" customHeight="true" outlineLevel="0" collapsed="false">
      <c r="A38" s="2"/>
      <c r="B38" s="30" t="s">
        <v>27</v>
      </c>
      <c r="C38" s="31"/>
      <c r="D38" s="32" t="n">
        <f aca="false">SUM(D35:D36)</f>
        <v>-557</v>
      </c>
      <c r="E38" s="32" t="n">
        <f aca="false">SUM(E35:E36)</f>
        <v>-506</v>
      </c>
      <c r="F38" s="32" t="n">
        <f aca="false">SUM(F35:F36)</f>
        <v>-563</v>
      </c>
      <c r="G38" s="32" t="n">
        <f aca="false">SUM(G35:G36)</f>
        <v>-547</v>
      </c>
      <c r="H38" s="32" t="n">
        <f aca="false">SUM(H35:H36)</f>
        <v>-568</v>
      </c>
      <c r="I38" s="32" t="n">
        <f aca="false">SUM(I35:I36)</f>
        <v>-553</v>
      </c>
      <c r="J38" s="32" t="n">
        <f aca="false">SUM(J35:J36)</f>
        <v>-574</v>
      </c>
      <c r="K38" s="32" t="n">
        <f aca="false">SUM(K35:K36)</f>
        <v>-577</v>
      </c>
      <c r="L38" s="32" t="n">
        <f aca="false">SUM(L35:L36)</f>
        <v>-562</v>
      </c>
      <c r="M38" s="32" t="n">
        <f aca="false">SUM(M35:M36)</f>
        <v>-583</v>
      </c>
      <c r="N38" s="32" t="n">
        <f aca="false">SUM(N35:N36)</f>
        <v>-567</v>
      </c>
      <c r="O38" s="32" t="n">
        <f aca="false">SUM(O35:O36)</f>
        <v>-589</v>
      </c>
      <c r="P38" s="32" t="n">
        <f aca="false">SUM(P35:P36)</f>
        <v>-6746</v>
      </c>
      <c r="Q38" s="33" t="n">
        <f aca="false">+P38-SUM(D38:O38)</f>
        <v>0</v>
      </c>
      <c r="R38" s="2"/>
      <c r="S38" s="2"/>
    </row>
    <row r="39" customFormat="false" ht="12.6" hidden="false" customHeight="true" outlineLevel="0" collapsed="false">
      <c r="A39" s="2"/>
      <c r="B39" s="17"/>
      <c r="C39" s="17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5"/>
      <c r="Q39" s="2"/>
      <c r="R39" s="2"/>
      <c r="S39" s="2"/>
    </row>
    <row r="40" customFormat="false" ht="6" hidden="false" customHeight="true" outlineLevel="0" collapsed="false">
      <c r="A40" s="35"/>
      <c r="B40" s="36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8"/>
      <c r="Q40" s="2"/>
      <c r="R40" s="2"/>
      <c r="S40" s="2"/>
    </row>
    <row r="41" customFormat="false" ht="12.6" hidden="false" customHeight="true" outlineLevel="0" collapsed="false">
      <c r="A41" s="2"/>
      <c r="B41" s="17"/>
      <c r="C41" s="17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5"/>
      <c r="Q41" s="2"/>
      <c r="R41" s="2"/>
      <c r="S41" s="2"/>
    </row>
    <row r="42" customFormat="false" ht="12.6" hidden="false" customHeight="true" outlineLevel="0" collapsed="false">
      <c r="A42" s="2"/>
      <c r="B42" s="7"/>
      <c r="C42" s="7"/>
      <c r="D42" s="11" t="s">
        <v>4</v>
      </c>
      <c r="E42" s="11" t="s">
        <v>5</v>
      </c>
      <c r="F42" s="11" t="s">
        <v>6</v>
      </c>
      <c r="G42" s="11" t="s">
        <v>7</v>
      </c>
      <c r="H42" s="11" t="s">
        <v>8</v>
      </c>
      <c r="I42" s="11" t="s">
        <v>9</v>
      </c>
      <c r="J42" s="11" t="s">
        <v>10</v>
      </c>
      <c r="K42" s="11" t="s">
        <v>11</v>
      </c>
      <c r="L42" s="11" t="s">
        <v>12</v>
      </c>
      <c r="M42" s="11" t="s">
        <v>13</v>
      </c>
      <c r="N42" s="11" t="s">
        <v>14</v>
      </c>
      <c r="O42" s="11" t="s">
        <v>15</v>
      </c>
      <c r="P42" s="12" t="n">
        <v>2001</v>
      </c>
      <c r="Q42" s="2"/>
      <c r="R42" s="2"/>
      <c r="S42" s="2"/>
    </row>
    <row r="43" customFormat="false" ht="12.6" hidden="false" customHeight="true" outlineLevel="0" collapsed="false">
      <c r="A43" s="13" t="s">
        <v>28</v>
      </c>
      <c r="B43" s="14"/>
      <c r="C43" s="14"/>
      <c r="D43" s="1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5"/>
      <c r="Q43" s="2"/>
      <c r="R43" s="2"/>
      <c r="S43" s="2"/>
    </row>
    <row r="44" customFormat="false" ht="12.6" hidden="false" customHeight="true" outlineLevel="0" collapsed="false">
      <c r="A44" s="2"/>
      <c r="B44" s="17" t="s">
        <v>17</v>
      </c>
      <c r="C44" s="17"/>
      <c r="D44" s="19" t="n">
        <f aca="false">+O29</f>
        <v>-114563</v>
      </c>
      <c r="E44" s="19" t="n">
        <f aca="false">+D47</f>
        <v>-115152</v>
      </c>
      <c r="F44" s="19" t="n">
        <f aca="false">+E47</f>
        <v>-115744</v>
      </c>
      <c r="G44" s="19" t="n">
        <f aca="false">+F47</f>
        <v>-116282</v>
      </c>
      <c r="H44" s="19" t="n">
        <f aca="false">+G47</f>
        <v>-116880</v>
      </c>
      <c r="I44" s="19" t="n">
        <f aca="false">+H47</f>
        <v>-117462</v>
      </c>
      <c r="J44" s="19" t="n">
        <f aca="false">+I47</f>
        <v>-118066</v>
      </c>
      <c r="K44" s="19" t="n">
        <f aca="false">+J47</f>
        <v>-118653</v>
      </c>
      <c r="L44" s="19" t="n">
        <f aca="false">+K47</f>
        <v>-119263</v>
      </c>
      <c r="M44" s="19" t="n">
        <f aca="false">+L47</f>
        <v>-119876</v>
      </c>
      <c r="N44" s="19" t="n">
        <f aca="false">+M47</f>
        <v>-120472</v>
      </c>
      <c r="O44" s="19" t="n">
        <f aca="false">+N47</f>
        <v>-121091</v>
      </c>
      <c r="P44" s="20"/>
      <c r="Q44" s="2"/>
      <c r="R44" s="2"/>
      <c r="S44" s="2"/>
    </row>
    <row r="45" customFormat="false" ht="12.6" hidden="false" customHeight="true" outlineLevel="0" collapsed="false">
      <c r="A45" s="2"/>
      <c r="B45" s="17" t="s">
        <v>18</v>
      </c>
      <c r="C45" s="17"/>
      <c r="D45" s="19" t="n">
        <f aca="false">+O38</f>
        <v>-589</v>
      </c>
      <c r="E45" s="19" t="n">
        <f aca="false">+D56</f>
        <v>-592</v>
      </c>
      <c r="F45" s="19" t="n">
        <f aca="false">+E56</f>
        <v>-538</v>
      </c>
      <c r="G45" s="19" t="n">
        <f aca="false">+F56</f>
        <v>-598</v>
      </c>
      <c r="H45" s="19" t="n">
        <f aca="false">+G56</f>
        <v>-582</v>
      </c>
      <c r="I45" s="19" t="n">
        <f aca="false">+H56</f>
        <v>-604</v>
      </c>
      <c r="J45" s="19" t="n">
        <f aca="false">+I56</f>
        <v>-587</v>
      </c>
      <c r="K45" s="19" t="n">
        <f aca="false">+J56</f>
        <v>-610</v>
      </c>
      <c r="L45" s="19" t="n">
        <f aca="false">+K56</f>
        <v>-613</v>
      </c>
      <c r="M45" s="19" t="n">
        <f aca="false">+L56</f>
        <v>-596</v>
      </c>
      <c r="N45" s="19" t="n">
        <f aca="false">+M56</f>
        <v>-619</v>
      </c>
      <c r="O45" s="19" t="n">
        <f aca="false">+N56</f>
        <v>-602</v>
      </c>
      <c r="P45" s="20"/>
      <c r="Q45" s="2"/>
      <c r="R45" s="2"/>
      <c r="S45" s="2"/>
    </row>
    <row r="46" customFormat="false" ht="12.6" hidden="false" customHeight="true" outlineLevel="0" collapsed="false">
      <c r="A46" s="2"/>
      <c r="B46" s="17" t="s">
        <v>19</v>
      </c>
      <c r="C46" s="17"/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  <c r="I46" s="22" t="n">
        <v>0</v>
      </c>
      <c r="J46" s="22" t="n">
        <v>0</v>
      </c>
      <c r="K46" s="22" t="n">
        <v>0</v>
      </c>
      <c r="L46" s="22" t="n">
        <v>0</v>
      </c>
      <c r="M46" s="22" t="n">
        <v>0</v>
      </c>
      <c r="N46" s="22" t="n">
        <v>0</v>
      </c>
      <c r="O46" s="22" t="n">
        <v>0</v>
      </c>
      <c r="P46" s="20" t="n">
        <f aca="false">SUM(D46:O46)</f>
        <v>0</v>
      </c>
      <c r="Q46" s="2"/>
      <c r="R46" s="2"/>
      <c r="S46" s="2"/>
    </row>
    <row r="47" customFormat="false" ht="12.6" hidden="false" customHeight="true" outlineLevel="0" collapsed="false">
      <c r="A47" s="2"/>
      <c r="B47" s="17" t="s">
        <v>20</v>
      </c>
      <c r="C47" s="17"/>
      <c r="D47" s="23" t="n">
        <f aca="false">SUM(D44:D46)</f>
        <v>-115152</v>
      </c>
      <c r="E47" s="23" t="n">
        <f aca="false">SUM(E44:E46)</f>
        <v>-115744</v>
      </c>
      <c r="F47" s="23" t="n">
        <f aca="false">SUM(F44:F46)</f>
        <v>-116282</v>
      </c>
      <c r="G47" s="23" t="n">
        <f aca="false">SUM(G44:G46)</f>
        <v>-116880</v>
      </c>
      <c r="H47" s="23" t="n">
        <f aca="false">SUM(H44:H46)</f>
        <v>-117462</v>
      </c>
      <c r="I47" s="23" t="n">
        <f aca="false">SUM(I44:I46)</f>
        <v>-118066</v>
      </c>
      <c r="J47" s="23" t="n">
        <f aca="false">SUM(J44:J46)</f>
        <v>-118653</v>
      </c>
      <c r="K47" s="23" t="n">
        <f aca="false">SUM(K44:K46)</f>
        <v>-119263</v>
      </c>
      <c r="L47" s="23" t="n">
        <f aca="false">SUM(L44:L46)</f>
        <v>-119876</v>
      </c>
      <c r="M47" s="23" t="n">
        <f aca="false">SUM(M44:M46)</f>
        <v>-120472</v>
      </c>
      <c r="N47" s="23" t="n">
        <f aca="false">SUM(N44:N46)</f>
        <v>-121091</v>
      </c>
      <c r="O47" s="23" t="n">
        <f aca="false">SUM(O44:O46)</f>
        <v>-121693</v>
      </c>
      <c r="P47" s="20"/>
      <c r="Q47" s="2"/>
      <c r="R47" s="2"/>
      <c r="S47" s="2"/>
    </row>
    <row r="48" customFormat="false" ht="3.95" hidden="false" customHeight="true" outlineLevel="0" collapsed="false">
      <c r="A48" s="2"/>
      <c r="B48" s="24"/>
      <c r="C48" s="2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2"/>
      <c r="R48" s="2"/>
      <c r="S48" s="2"/>
    </row>
    <row r="49" customFormat="false" ht="12.6" hidden="false" customHeight="true" outlineLevel="0" collapsed="false">
      <c r="A49" s="2"/>
      <c r="B49" s="17" t="s">
        <v>21</v>
      </c>
      <c r="C49" s="17"/>
      <c r="D49" s="20" t="n">
        <f aca="false">ROUND((D47),0)</f>
        <v>-115152</v>
      </c>
      <c r="E49" s="20" t="n">
        <f aca="false">ROUND((E47),0)</f>
        <v>-115744</v>
      </c>
      <c r="F49" s="20" t="n">
        <f aca="false">ROUND((F47),0)</f>
        <v>-116282</v>
      </c>
      <c r="G49" s="20" t="n">
        <f aca="false">ROUND((G47),0)</f>
        <v>-116880</v>
      </c>
      <c r="H49" s="20" t="n">
        <f aca="false">ROUND((H47),0)</f>
        <v>-117462</v>
      </c>
      <c r="I49" s="20" t="n">
        <f aca="false">ROUND((I47),0)</f>
        <v>-118066</v>
      </c>
      <c r="J49" s="20" t="n">
        <f aca="false">ROUND((J47),0)</f>
        <v>-118653</v>
      </c>
      <c r="K49" s="20" t="n">
        <f aca="false">ROUND((K47),0)</f>
        <v>-119263</v>
      </c>
      <c r="L49" s="20" t="n">
        <f aca="false">ROUND((L47),0)</f>
        <v>-119876</v>
      </c>
      <c r="M49" s="20" t="n">
        <f aca="false">ROUND((M47),0)</f>
        <v>-120472</v>
      </c>
      <c r="N49" s="20" t="n">
        <f aca="false">ROUND((N47),0)</f>
        <v>-121091</v>
      </c>
      <c r="O49" s="20" t="n">
        <f aca="false">ROUND((O47),0)</f>
        <v>-121693</v>
      </c>
      <c r="P49" s="5"/>
      <c r="Q49" s="2"/>
      <c r="R49" s="2"/>
      <c r="S49" s="2"/>
    </row>
    <row r="50" customFormat="false" ht="3.95" hidden="false" customHeight="true" outlineLevel="0" collapsed="false">
      <c r="A50" s="2"/>
      <c r="B50" s="17"/>
      <c r="C50" s="17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5"/>
      <c r="Q50" s="2"/>
      <c r="R50" s="2"/>
      <c r="S50" s="2"/>
    </row>
    <row r="51" customFormat="false" ht="12.6" hidden="false" customHeight="true" outlineLevel="0" collapsed="false">
      <c r="A51" s="2"/>
      <c r="B51" s="17" t="s">
        <v>22</v>
      </c>
      <c r="C51" s="17"/>
      <c r="D51" s="25" t="n">
        <v>0.1</v>
      </c>
      <c r="E51" s="25" t="n">
        <v>0.1</v>
      </c>
      <c r="F51" s="25" t="n">
        <v>0.1</v>
      </c>
      <c r="G51" s="25" t="n">
        <v>0.1</v>
      </c>
      <c r="H51" s="25" t="n">
        <v>0.1</v>
      </c>
      <c r="I51" s="25" t="n">
        <v>0.1</v>
      </c>
      <c r="J51" s="25" t="n">
        <v>0.1</v>
      </c>
      <c r="K51" s="25" t="n">
        <v>0.1</v>
      </c>
      <c r="L51" s="25" t="n">
        <v>0.1</v>
      </c>
      <c r="M51" s="25" t="n">
        <v>0.1</v>
      </c>
      <c r="N51" s="25" t="n">
        <v>0.1</v>
      </c>
      <c r="O51" s="25" t="n">
        <v>0.1</v>
      </c>
      <c r="P51" s="5"/>
      <c r="Q51" s="2"/>
      <c r="R51" s="2"/>
      <c r="S51" s="2"/>
    </row>
    <row r="52" customFormat="false" ht="3.95" hidden="false" customHeight="true" outlineLevel="0" collapsed="false">
      <c r="A52" s="2"/>
      <c r="B52" s="26"/>
      <c r="C52" s="26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5"/>
      <c r="Q52" s="2"/>
      <c r="R52" s="2"/>
      <c r="S52" s="2"/>
    </row>
    <row r="53" customFormat="false" ht="12.6" hidden="false" customHeight="true" outlineLevel="0" collapsed="false">
      <c r="A53" s="2"/>
      <c r="B53" s="17" t="s">
        <v>23</v>
      </c>
      <c r="C53" s="17"/>
      <c r="D53" s="20" t="n">
        <f aca="false">ROUND((D49)*(D51*(31/365)),0)</f>
        <v>-978</v>
      </c>
      <c r="E53" s="20" t="n">
        <f aca="false">ROUND((E49)*(E51*(28/365)),0)</f>
        <v>-888</v>
      </c>
      <c r="F53" s="20" t="n">
        <f aca="false">ROUND((F49)*(F51*(31/365)),0)</f>
        <v>-988</v>
      </c>
      <c r="G53" s="20" t="n">
        <f aca="false">ROUND((G49)*(G51*(30/365)),0)</f>
        <v>-961</v>
      </c>
      <c r="H53" s="20" t="n">
        <f aca="false">ROUND((H49)*(H51*(31/365)),0)</f>
        <v>-998</v>
      </c>
      <c r="I53" s="20" t="n">
        <f aca="false">ROUND((I49)*(I51*(30/365)),0)</f>
        <v>-970</v>
      </c>
      <c r="J53" s="20" t="n">
        <f aca="false">ROUND((J49)*(J51*(31/365)),0)</f>
        <v>-1008</v>
      </c>
      <c r="K53" s="20" t="n">
        <f aca="false">ROUND((K49)*(K51*(31/365)),0)</f>
        <v>-1013</v>
      </c>
      <c r="L53" s="20" t="n">
        <f aca="false">ROUND((L49)*(L51*(30/365)),0)</f>
        <v>-985</v>
      </c>
      <c r="M53" s="20" t="n">
        <f aca="false">ROUND((M49)*(M51*(31/365)),0)</f>
        <v>-1023</v>
      </c>
      <c r="N53" s="20" t="n">
        <f aca="false">ROUND((N49)*(N51*(30/365)),0)</f>
        <v>-995</v>
      </c>
      <c r="O53" s="20" t="n">
        <f aca="false">ROUND((O49)*(O51*(31/365)),0)</f>
        <v>-1034</v>
      </c>
      <c r="P53" s="27" t="n">
        <f aca="false">SUM(D53:O53)</f>
        <v>-11841</v>
      </c>
      <c r="Q53" s="2"/>
      <c r="R53" s="2"/>
      <c r="S53" s="2"/>
    </row>
    <row r="54" customFormat="false" ht="12.6" hidden="false" customHeight="true" outlineLevel="0" collapsed="false">
      <c r="A54" s="2"/>
      <c r="B54" s="17" t="s">
        <v>24</v>
      </c>
      <c r="C54" s="17"/>
      <c r="D54" s="28" t="n">
        <f aca="false">ROUND(+D53*-0.3947,0)</f>
        <v>386</v>
      </c>
      <c r="E54" s="28" t="n">
        <f aca="false">ROUND(+E53*-0.3947,0)</f>
        <v>350</v>
      </c>
      <c r="F54" s="28" t="n">
        <f aca="false">ROUND(+F53*-0.3947,0)</f>
        <v>390</v>
      </c>
      <c r="G54" s="28" t="n">
        <f aca="false">ROUND(+G53*-0.3947,0)</f>
        <v>379</v>
      </c>
      <c r="H54" s="28" t="n">
        <f aca="false">ROUND(+H53*-0.3947,0)</f>
        <v>394</v>
      </c>
      <c r="I54" s="28" t="n">
        <f aca="false">ROUND(+I53*-0.3947,0)</f>
        <v>383</v>
      </c>
      <c r="J54" s="28" t="n">
        <f aca="false">ROUND(+J53*-0.3947,0)</f>
        <v>398</v>
      </c>
      <c r="K54" s="28" t="n">
        <f aca="false">ROUND(+K53*-0.3947,0)</f>
        <v>400</v>
      </c>
      <c r="L54" s="28" t="n">
        <f aca="false">ROUND(+L53*-0.3947,0)</f>
        <v>389</v>
      </c>
      <c r="M54" s="28" t="n">
        <f aca="false">ROUND(+M53*-0.3947,0)</f>
        <v>404</v>
      </c>
      <c r="N54" s="28" t="n">
        <f aca="false">ROUND(+N53*-0.3947,0)</f>
        <v>393</v>
      </c>
      <c r="O54" s="28" t="n">
        <f aca="false">ROUND(+O53*-0.3947,0)</f>
        <v>408</v>
      </c>
      <c r="P54" s="29" t="n">
        <f aca="false">SUM(D54:O54)</f>
        <v>4674</v>
      </c>
      <c r="Q54" s="2"/>
      <c r="R54" s="2"/>
      <c r="S54" s="2"/>
    </row>
    <row r="55" customFormat="false" ht="3.95" hidden="false" customHeight="true" outlineLevel="0" collapsed="false">
      <c r="A55" s="2"/>
      <c r="B55" s="17"/>
      <c r="C55" s="1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3"/>
      <c r="Q55" s="2"/>
      <c r="R55" s="2"/>
      <c r="S55" s="2"/>
    </row>
    <row r="56" customFormat="false" ht="12.6" hidden="false" customHeight="true" outlineLevel="0" collapsed="false">
      <c r="A56" s="2"/>
      <c r="B56" s="30" t="s">
        <v>29</v>
      </c>
      <c r="C56" s="31"/>
      <c r="D56" s="32" t="n">
        <f aca="false">SUM(D53:D54)</f>
        <v>-592</v>
      </c>
      <c r="E56" s="32" t="n">
        <f aca="false">SUM(E53:E54)</f>
        <v>-538</v>
      </c>
      <c r="F56" s="32" t="n">
        <f aca="false">SUM(F53:F54)</f>
        <v>-598</v>
      </c>
      <c r="G56" s="32" t="n">
        <f aca="false">SUM(G53:G54)</f>
        <v>-582</v>
      </c>
      <c r="H56" s="32" t="n">
        <f aca="false">SUM(H53:H54)</f>
        <v>-604</v>
      </c>
      <c r="I56" s="32" t="n">
        <f aca="false">SUM(I53:I54)</f>
        <v>-587</v>
      </c>
      <c r="J56" s="32" t="n">
        <f aca="false">SUM(J53:J54)</f>
        <v>-610</v>
      </c>
      <c r="K56" s="32" t="n">
        <f aca="false">SUM(K53:K54)</f>
        <v>-613</v>
      </c>
      <c r="L56" s="32" t="n">
        <f aca="false">SUM(L53:L54)</f>
        <v>-596</v>
      </c>
      <c r="M56" s="32" t="n">
        <f aca="false">SUM(M53:M54)</f>
        <v>-619</v>
      </c>
      <c r="N56" s="32" t="n">
        <f aca="false">SUM(N53:N54)</f>
        <v>-602</v>
      </c>
      <c r="O56" s="32" t="n">
        <f aca="false">SUM(O53:O54)</f>
        <v>-626</v>
      </c>
      <c r="P56" s="32" t="n">
        <f aca="false">SUM(P53:P54)</f>
        <v>-7167</v>
      </c>
      <c r="Q56" s="33" t="n">
        <f aca="false">+P56-SUM(D56:O56)</f>
        <v>0</v>
      </c>
      <c r="R56" s="2"/>
      <c r="S56" s="2"/>
    </row>
    <row r="57" customFormat="false" ht="12.6" hidden="false" customHeight="true" outlineLevel="0" collapsed="false">
      <c r="A57" s="2"/>
      <c r="B57" s="17"/>
      <c r="C57" s="17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5"/>
      <c r="Q57" s="2"/>
      <c r="R57" s="2"/>
      <c r="S57" s="2"/>
    </row>
    <row r="58" customFormat="false" ht="12.6" hidden="false" customHeight="true" outlineLevel="0" collapsed="false">
      <c r="A58" s="2"/>
      <c r="B58" s="17"/>
      <c r="C58" s="17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5"/>
      <c r="Q58" s="2"/>
      <c r="R58" s="2"/>
      <c r="S58" s="2"/>
    </row>
    <row r="59" customFormat="false" ht="12.6" hidden="false" customHeight="true" outlineLevel="0" collapsed="false">
      <c r="A59" s="2"/>
      <c r="B59" s="17"/>
      <c r="C59" s="17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9" t="n">
        <f aca="true">NOW()</f>
        <v>45926.9642537566</v>
      </c>
      <c r="Q59" s="2"/>
      <c r="R59" s="2"/>
      <c r="S59" s="2"/>
    </row>
    <row r="60" customFormat="false" ht="12.6" hidden="false" customHeight="true" outlineLevel="0" collapsed="false">
      <c r="A60" s="40" t="str">
        <f aca="true">CELL("FILENAME")</f>
        <v>'file:///mnt/12tb/@roms/datasets/enron/EDRM Enron Email Data Set v2 XML/filtered-attachments/xls/DBTEQTY02.xls'#$1998 Div. Adj.</v>
      </c>
      <c r="B60" s="41"/>
      <c r="C60" s="41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42" t="n">
        <f aca="true">NOW()</f>
        <v>45926.9642537568</v>
      </c>
      <c r="Q60" s="2"/>
      <c r="R60" s="2"/>
      <c r="S60" s="2"/>
    </row>
    <row r="61" customFormat="false" ht="12.8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customFormat="false" ht="12.8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customFormat="false" ht="12.8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</sheetData>
  <mergeCells count="4">
    <mergeCell ref="A1:P1"/>
    <mergeCell ref="A2:P2"/>
    <mergeCell ref="A3:P3"/>
    <mergeCell ref="A4:P4"/>
  </mergeCells>
  <printOptions headings="false" gridLines="false" gridLinesSet="true" horizontalCentered="true" verticalCentered="false"/>
  <pageMargins left="0.25" right="0.25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87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2" ySplit="3" topLeftCell="J7" activePane="bottomRight" state="frozen"/>
      <selection pane="topLeft" activeCell="A4" activeCellId="0" sqref="A4"/>
      <selection pane="topRight" activeCell="J4" activeCellId="0" sqref="J4"/>
      <selection pane="bottomLeft" activeCell="A7" activeCellId="0" sqref="A7"/>
      <selection pane="bottomRight" activeCell="K9" activeCellId="0" sqref="K9 K9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.82"/>
    <col collapsed="false" customWidth="true" hidden="false" outlineLevel="0" max="2" min="2" style="0" width="60.82"/>
    <col collapsed="false" customWidth="true" hidden="false" outlineLevel="0" max="3" min="3" style="0" width="13.82"/>
    <col collapsed="false" customWidth="true" hidden="false" outlineLevel="0" max="15" min="4" style="0" width="12.82"/>
    <col collapsed="false" customWidth="true" hidden="false" outlineLevel="0" max="16" min="16" style="0" width="13.82"/>
    <col collapsed="false" customWidth="true" hidden="false" outlineLevel="0" max="17" min="17" style="0" width="5.82"/>
    <col collapsed="false" customWidth="true" hidden="false" outlineLevel="0" max="18" min="18" style="0" width="4.82"/>
    <col collapsed="false" customWidth="true" hidden="false" outlineLevel="0" max="19" min="19" style="0" width="45.82"/>
    <col collapsed="false" customWidth="true" hidden="false" outlineLevel="0" max="20" min="20" style="0" width="11.82"/>
    <col collapsed="false" customWidth="true" hidden="false" outlineLevel="0" max="21" min="21" style="0" width="10.82"/>
  </cols>
  <sheetData>
    <row r="1" customFormat="false" ht="12.75" hidden="false" customHeight="true" outlineLevel="0" collapsed="false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</row>
    <row r="2" customFormat="false" ht="12.75" hidden="false" customHeight="true" outlineLevel="0" collapsed="false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</row>
    <row r="3" customFormat="false" ht="12.75" hidden="false" customHeight="true" outlineLevel="0" collapsed="false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</row>
    <row r="4" customFormat="false" ht="12.6" hidden="false" customHeight="true" outlineLevel="0" collapsed="false">
      <c r="A4" s="2"/>
      <c r="B4" s="6" t="s">
        <v>33</v>
      </c>
      <c r="C4" s="8" t="s">
        <v>34</v>
      </c>
      <c r="D4" s="7"/>
      <c r="E4" s="8"/>
      <c r="F4" s="2"/>
      <c r="G4" s="2"/>
      <c r="H4" s="8"/>
      <c r="J4" s="10"/>
      <c r="K4" s="8" t="s">
        <v>35</v>
      </c>
      <c r="L4" s="7"/>
      <c r="M4" s="7"/>
      <c r="N4" s="7"/>
      <c r="O4" s="7"/>
      <c r="P4" s="7"/>
      <c r="Q4" s="5"/>
      <c r="R4" s="5"/>
      <c r="S4" s="5"/>
      <c r="T4" s="16"/>
      <c r="U4" s="5"/>
      <c r="V4" s="2"/>
      <c r="W4" s="2"/>
      <c r="X4" s="2"/>
    </row>
    <row r="5" customFormat="false" ht="12.6" hidden="false" customHeight="true" outlineLevel="0" collapsed="false">
      <c r="A5" s="2"/>
      <c r="B5" s="7"/>
      <c r="C5" s="43" t="s">
        <v>36</v>
      </c>
      <c r="D5" s="8" t="s">
        <v>37</v>
      </c>
      <c r="E5" s="8" t="s">
        <v>37</v>
      </c>
      <c r="F5" s="8" t="s">
        <v>37</v>
      </c>
      <c r="G5" s="8" t="s">
        <v>37</v>
      </c>
      <c r="H5" s="8" t="s">
        <v>37</v>
      </c>
      <c r="I5" s="8" t="s">
        <v>37</v>
      </c>
      <c r="J5" s="8" t="s">
        <v>37</v>
      </c>
      <c r="K5" s="8" t="s">
        <v>37</v>
      </c>
      <c r="L5" s="8"/>
      <c r="M5" s="8"/>
      <c r="N5" s="8"/>
      <c r="O5" s="8"/>
      <c r="P5" s="44" t="str">
        <f aca="false">+C5</f>
        <v>YEAR END</v>
      </c>
      <c r="Q5" s="5"/>
      <c r="R5" s="5"/>
      <c r="S5" s="16"/>
      <c r="T5" s="16"/>
      <c r="U5" s="5"/>
      <c r="V5" s="2"/>
      <c r="W5" s="2"/>
      <c r="X5" s="2"/>
    </row>
    <row r="6" customFormat="false" ht="12.6" hidden="false" customHeight="true" outlineLevel="0" collapsed="false">
      <c r="A6" s="2"/>
      <c r="B6" s="7"/>
      <c r="C6" s="12" t="s">
        <v>38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  <c r="N6" s="11" t="s">
        <v>14</v>
      </c>
      <c r="O6" s="11" t="s">
        <v>15</v>
      </c>
      <c r="P6" s="12" t="s">
        <v>39</v>
      </c>
      <c r="Q6" s="5"/>
      <c r="R6" s="5"/>
      <c r="S6" s="45"/>
      <c r="T6" s="45"/>
      <c r="U6" s="5"/>
      <c r="V6" s="2"/>
      <c r="W6" s="2"/>
      <c r="X6" s="2"/>
    </row>
    <row r="7" customFormat="false" ht="12.6" hidden="false" customHeight="true" outlineLevel="0" collapsed="false">
      <c r="A7" s="13" t="s">
        <v>40</v>
      </c>
      <c r="B7" s="7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5"/>
      <c r="R7" s="5"/>
      <c r="S7" s="45"/>
      <c r="T7" s="45"/>
      <c r="U7" s="5"/>
      <c r="V7" s="2"/>
      <c r="W7" s="2"/>
      <c r="X7" s="2"/>
    </row>
    <row r="8" customFormat="false" ht="12.6" hidden="false" customHeight="true" outlineLevel="0" collapsed="false">
      <c r="A8" s="2"/>
      <c r="B8" s="17" t="s">
        <v>41</v>
      </c>
      <c r="C8" s="46" t="n">
        <f aca="false">-897027+21513+5040</f>
        <v>-870474</v>
      </c>
      <c r="D8" s="20" t="n">
        <f aca="false">C15</f>
        <v>-296604</v>
      </c>
      <c r="E8" s="20" t="n">
        <f aca="false">D15</f>
        <v>-328236</v>
      </c>
      <c r="F8" s="20" t="n">
        <f aca="false">E15</f>
        <v>-299342</v>
      </c>
      <c r="G8" s="20" t="n">
        <f aca="false">F15</f>
        <v>-312067</v>
      </c>
      <c r="H8" s="20" t="n">
        <f aca="false">G15</f>
        <v>-360058</v>
      </c>
      <c r="I8" s="20" t="n">
        <f aca="false">H15</f>
        <v>-373598</v>
      </c>
      <c r="J8" s="20" t="n">
        <f aca="false">I15</f>
        <v>-367642</v>
      </c>
      <c r="K8" s="20" t="n">
        <f aca="false">J15</f>
        <v>-378828</v>
      </c>
      <c r="L8" s="20" t="n">
        <f aca="false">K15</f>
        <v>-389028</v>
      </c>
      <c r="M8" s="20" t="n">
        <f aca="false">L15</f>
        <v>-383028</v>
      </c>
      <c r="N8" s="20" t="n">
        <f aca="false">M15</f>
        <v>-366628</v>
      </c>
      <c r="O8" s="20" t="n">
        <f aca="false">N15</f>
        <v>-344828</v>
      </c>
      <c r="P8" s="5"/>
      <c r="Q8" s="5"/>
      <c r="R8" s="5"/>
      <c r="S8" s="2"/>
      <c r="T8" s="2"/>
      <c r="U8" s="5"/>
      <c r="V8" s="2"/>
      <c r="W8" s="2"/>
      <c r="X8" s="2"/>
    </row>
    <row r="9" customFormat="false" ht="12.6" hidden="false" customHeight="true" outlineLevel="0" collapsed="false">
      <c r="A9" s="2"/>
      <c r="B9" s="17" t="s">
        <v>42</v>
      </c>
      <c r="C9" s="5"/>
      <c r="D9" s="47" t="n">
        <v>-50624</v>
      </c>
      <c r="E9" s="47" t="n">
        <v>10151</v>
      </c>
      <c r="F9" s="46" t="n">
        <f aca="false">-33140+800</f>
        <v>-32340</v>
      </c>
      <c r="G9" s="47" t="n">
        <v>-47864</v>
      </c>
      <c r="H9" s="47" t="n">
        <v>-19184</v>
      </c>
      <c r="I9" s="46" t="n">
        <f aca="false">-10770+800+3000</f>
        <v>-6970</v>
      </c>
      <c r="J9" s="46" t="n">
        <f aca="false">-19433+33</f>
        <v>-19400</v>
      </c>
      <c r="K9" s="46" t="n">
        <f aca="false">-17900+2000</f>
        <v>-15900</v>
      </c>
      <c r="L9" s="46" t="n">
        <f aca="false">-1400+800</f>
        <v>-600</v>
      </c>
      <c r="M9" s="47" t="n">
        <v>-3400</v>
      </c>
      <c r="N9" s="47" t="n">
        <v>1500</v>
      </c>
      <c r="O9" s="46" t="n">
        <f aca="false">-4500+800</f>
        <v>-3700</v>
      </c>
      <c r="P9" s="20" t="n">
        <f aca="false">SUM(D9:O9)</f>
        <v>-188331</v>
      </c>
      <c r="Q9" s="5"/>
      <c r="R9" s="5"/>
      <c r="S9" s="16"/>
      <c r="T9" s="15"/>
      <c r="U9" s="5"/>
      <c r="V9" s="2"/>
      <c r="W9" s="2"/>
      <c r="X9" s="2"/>
    </row>
    <row r="10" customFormat="false" ht="12.6" hidden="false" customHeight="true" outlineLevel="0" collapsed="false">
      <c r="A10" s="2"/>
      <c r="B10" s="17" t="s">
        <v>43</v>
      </c>
      <c r="C10" s="47" t="n">
        <v>573870</v>
      </c>
      <c r="D10" s="46" t="n">
        <f aca="false">19260-268</f>
        <v>18992</v>
      </c>
      <c r="E10" s="46" t="n">
        <f aca="false">18943-200</f>
        <v>18743</v>
      </c>
      <c r="F10" s="48" t="n">
        <f aca="false">24848-194-5039</f>
        <v>19615</v>
      </c>
      <c r="G10" s="46" t="n">
        <f aca="false">407-534</f>
        <v>-127</v>
      </c>
      <c r="H10" s="46" t="n">
        <f aca="false">5839-195</f>
        <v>5644</v>
      </c>
      <c r="I10" s="46" t="n">
        <f aca="false">13163-237</f>
        <v>12926</v>
      </c>
      <c r="J10" s="46" t="n">
        <f aca="false">8416-202</f>
        <v>8214</v>
      </c>
      <c r="K10" s="46" t="n">
        <f aca="false">5900-200</f>
        <v>5700</v>
      </c>
      <c r="L10" s="46" t="n">
        <f aca="false">6800-200</f>
        <v>6600</v>
      </c>
      <c r="M10" s="46" t="n">
        <f aca="false">20000-200</f>
        <v>19800</v>
      </c>
      <c r="N10" s="46" t="n">
        <f aca="false">20500-200</f>
        <v>20300</v>
      </c>
      <c r="O10" s="46" t="n">
        <f aca="false">18800-200</f>
        <v>18600</v>
      </c>
      <c r="P10" s="20" t="n">
        <f aca="false">SUM(D10:O10)</f>
        <v>155007</v>
      </c>
      <c r="Q10" s="5"/>
      <c r="R10" s="5"/>
      <c r="S10" s="49" t="s">
        <v>44</v>
      </c>
      <c r="U10" s="33" t="n">
        <f aca="false">ROUND(SUM(D15:O15)/12,0)</f>
        <v>-352768</v>
      </c>
      <c r="V10" s="2"/>
      <c r="W10" s="2"/>
      <c r="X10" s="2"/>
    </row>
    <row r="11" customFormat="false" ht="12.6" hidden="false" customHeight="true" outlineLevel="0" collapsed="false">
      <c r="A11" s="2"/>
      <c r="B11" s="17" t="s">
        <v>45</v>
      </c>
      <c r="C11" s="5"/>
      <c r="D11" s="20" t="n">
        <f aca="false">-D27</f>
        <v>-0</v>
      </c>
      <c r="E11" s="20" t="n">
        <f aca="false">-E27</f>
        <v>-0</v>
      </c>
      <c r="F11" s="20" t="n">
        <f aca="false">-F27</f>
        <v>-0</v>
      </c>
      <c r="G11" s="20" t="n">
        <f aca="false">-G27</f>
        <v>-0</v>
      </c>
      <c r="H11" s="20" t="n">
        <f aca="false">-H27</f>
        <v>-0</v>
      </c>
      <c r="I11" s="20" t="n">
        <f aca="false">-I27</f>
        <v>-0</v>
      </c>
      <c r="J11" s="20" t="n">
        <f aca="false">-J27</f>
        <v>-0</v>
      </c>
      <c r="K11" s="20" t="n">
        <f aca="false">-K27</f>
        <v>-0</v>
      </c>
      <c r="L11" s="20" t="n">
        <f aca="false">-L27</f>
        <v>-0</v>
      </c>
      <c r="M11" s="20" t="n">
        <f aca="false">-M27</f>
        <v>-0</v>
      </c>
      <c r="N11" s="20" t="n">
        <f aca="false">-N27</f>
        <v>-0</v>
      </c>
      <c r="O11" s="20" t="n">
        <f aca="false">-O27</f>
        <v>-0</v>
      </c>
      <c r="P11" s="20" t="n">
        <f aca="false">SUM(D11:O11)</f>
        <v>0</v>
      </c>
      <c r="Q11" s="5"/>
      <c r="R11" s="5"/>
      <c r="S11" s="50" t="s">
        <v>46</v>
      </c>
      <c r="T11" s="15"/>
      <c r="U11" s="22" t="n">
        <v>17179</v>
      </c>
      <c r="V11" s="2"/>
      <c r="W11" s="2"/>
      <c r="X11" s="2"/>
    </row>
    <row r="12" customFormat="false" ht="12.6" hidden="false" customHeight="true" outlineLevel="0" collapsed="false">
      <c r="A12" s="2"/>
      <c r="B12" s="17" t="s">
        <v>47</v>
      </c>
      <c r="C12" s="5"/>
      <c r="D12" s="47" t="n">
        <v>0</v>
      </c>
      <c r="E12" s="47" t="n">
        <v>0</v>
      </c>
      <c r="F12" s="47" t="n">
        <v>0</v>
      </c>
      <c r="G12" s="47" t="n">
        <v>0</v>
      </c>
      <c r="H12" s="47" t="n">
        <v>0</v>
      </c>
      <c r="I12" s="47" t="n">
        <v>0</v>
      </c>
      <c r="J12" s="47" t="n">
        <v>0</v>
      </c>
      <c r="K12" s="47" t="n">
        <v>0</v>
      </c>
      <c r="L12" s="47" t="n">
        <v>0</v>
      </c>
      <c r="M12" s="47" t="n">
        <v>0</v>
      </c>
      <c r="N12" s="47" t="n">
        <v>0</v>
      </c>
      <c r="O12" s="47" t="n">
        <v>0</v>
      </c>
      <c r="P12" s="20" t="n">
        <f aca="false">SUM(D12:O12)</f>
        <v>0</v>
      </c>
      <c r="Q12" s="5"/>
      <c r="R12" s="5"/>
      <c r="S12" s="5" t="s">
        <v>48</v>
      </c>
      <c r="T12" s="5"/>
      <c r="U12" s="51" t="n">
        <f aca="false">SUM(U10:U11)</f>
        <v>-335589</v>
      </c>
      <c r="V12" s="2"/>
      <c r="W12" s="2"/>
      <c r="X12" s="2"/>
    </row>
    <row r="13" customFormat="false" ht="12.6" hidden="false" customHeight="true" outlineLevel="0" collapsed="false">
      <c r="A13" s="2"/>
      <c r="B13" s="17" t="s">
        <v>49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5"/>
      <c r="Q13" s="5"/>
      <c r="R13" s="5"/>
      <c r="S13" s="5"/>
      <c r="T13" s="5"/>
      <c r="U13" s="5"/>
      <c r="V13" s="2"/>
      <c r="W13" s="2"/>
      <c r="X13" s="2"/>
    </row>
    <row r="14" customFormat="false" ht="3.95" hidden="false" customHeight="true" outlineLevel="0" collapsed="false">
      <c r="A14" s="2"/>
      <c r="B14" s="2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6"/>
      <c r="T14" s="20"/>
      <c r="U14" s="5"/>
      <c r="V14" s="2"/>
      <c r="W14" s="2"/>
      <c r="X14" s="2"/>
    </row>
    <row r="15" customFormat="false" ht="12.6" hidden="false" customHeight="true" outlineLevel="0" collapsed="false">
      <c r="A15" s="2"/>
      <c r="B15" s="17" t="s">
        <v>50</v>
      </c>
      <c r="C15" s="23" t="n">
        <f aca="false">SUM(C8:C14)</f>
        <v>-296604</v>
      </c>
      <c r="D15" s="23" t="n">
        <f aca="false">SUM(D8:D14)</f>
        <v>-328236</v>
      </c>
      <c r="E15" s="23" t="n">
        <f aca="false">SUM(E8:E14)</f>
        <v>-299342</v>
      </c>
      <c r="F15" s="23" t="n">
        <f aca="false">SUM(F8:F14)</f>
        <v>-312067</v>
      </c>
      <c r="G15" s="23" t="n">
        <f aca="false">SUM(G8:G14)</f>
        <v>-360058</v>
      </c>
      <c r="H15" s="23" t="n">
        <f aca="false">SUM(H8:H14)</f>
        <v>-373598</v>
      </c>
      <c r="I15" s="23" t="n">
        <f aca="false">SUM(I8:I14)</f>
        <v>-367642</v>
      </c>
      <c r="J15" s="23" t="n">
        <f aca="false">SUM(J8:J14)</f>
        <v>-378828</v>
      </c>
      <c r="K15" s="23" t="n">
        <f aca="false">SUM(K8:K14)</f>
        <v>-389028</v>
      </c>
      <c r="L15" s="23" t="n">
        <f aca="false">SUM(L8:L14)</f>
        <v>-383028</v>
      </c>
      <c r="M15" s="23" t="n">
        <f aca="false">SUM(M8:M14)</f>
        <v>-366628</v>
      </c>
      <c r="N15" s="23" t="n">
        <f aca="false">SUM(N8:N14)</f>
        <v>-344828</v>
      </c>
      <c r="O15" s="23" t="n">
        <f aca="false">SUM(O8:O14)</f>
        <v>-329928</v>
      </c>
      <c r="P15" s="5" t="s">
        <v>51</v>
      </c>
      <c r="Q15" s="5"/>
      <c r="R15" s="5"/>
      <c r="S15" s="15"/>
      <c r="T15" s="23"/>
      <c r="U15" s="5"/>
      <c r="V15" s="2"/>
      <c r="W15" s="2"/>
      <c r="X15" s="2"/>
    </row>
    <row r="16" customFormat="false" ht="8.1" hidden="false" customHeight="true" outlineLevel="0" collapsed="false">
      <c r="A16" s="2"/>
      <c r="B16" s="2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2"/>
      <c r="T16" s="53"/>
      <c r="U16" s="54"/>
      <c r="V16" s="2"/>
      <c r="W16" s="2"/>
      <c r="X16" s="2"/>
    </row>
    <row r="17" customFormat="false" ht="12.6" hidden="false" customHeight="true" outlineLevel="0" collapsed="false">
      <c r="A17" s="2"/>
      <c r="B17" s="17" t="s">
        <v>52</v>
      </c>
      <c r="C17" s="47" t="n">
        <v>500000</v>
      </c>
      <c r="D17" s="20" t="n">
        <f aca="false">C23</f>
        <v>499666</v>
      </c>
      <c r="E17" s="20" t="n">
        <f aca="false">D23</f>
        <v>499672</v>
      </c>
      <c r="F17" s="20" t="n">
        <f aca="false">E23</f>
        <v>499678</v>
      </c>
      <c r="G17" s="20" t="n">
        <f aca="false">F23</f>
        <v>499685</v>
      </c>
      <c r="H17" s="20" t="n">
        <f aca="false">G23</f>
        <v>499691</v>
      </c>
      <c r="I17" s="20" t="n">
        <f aca="false">H23</f>
        <v>499698</v>
      </c>
      <c r="J17" s="20" t="n">
        <f aca="false">I23</f>
        <v>499704</v>
      </c>
      <c r="K17" s="20" t="n">
        <f aca="false">J23</f>
        <v>499711</v>
      </c>
      <c r="L17" s="20" t="n">
        <f aca="false">K23</f>
        <v>499717</v>
      </c>
      <c r="M17" s="20" t="n">
        <f aca="false">L23</f>
        <v>499724</v>
      </c>
      <c r="N17" s="20" t="n">
        <f aca="false">M23</f>
        <v>499730</v>
      </c>
      <c r="O17" s="20" t="n">
        <f aca="false">N23</f>
        <v>499737</v>
      </c>
      <c r="P17" s="5"/>
      <c r="Q17" s="20"/>
      <c r="R17" s="20"/>
      <c r="S17" s="55" t="s">
        <v>53</v>
      </c>
      <c r="T17" s="56" t="s">
        <v>54</v>
      </c>
      <c r="U17" s="57" t="s">
        <v>55</v>
      </c>
      <c r="V17" s="2"/>
      <c r="W17" s="2"/>
      <c r="X17" s="2"/>
    </row>
    <row r="18" customFormat="false" ht="12.6" hidden="false" customHeight="true" outlineLevel="0" collapsed="false">
      <c r="A18" s="2"/>
      <c r="B18" s="17" t="s">
        <v>56</v>
      </c>
      <c r="C18" s="16"/>
      <c r="D18" s="47" t="n">
        <v>0</v>
      </c>
      <c r="E18" s="47" t="n">
        <v>0</v>
      </c>
      <c r="F18" s="47" t="n">
        <v>0</v>
      </c>
      <c r="G18" s="47" t="n">
        <v>0</v>
      </c>
      <c r="H18" s="47" t="n">
        <v>0</v>
      </c>
      <c r="I18" s="47" t="n">
        <v>0</v>
      </c>
      <c r="J18" s="47" t="n">
        <v>0</v>
      </c>
      <c r="K18" s="47" t="n">
        <v>0</v>
      </c>
      <c r="L18" s="47" t="n">
        <v>0</v>
      </c>
      <c r="M18" s="47" t="n">
        <v>0</v>
      </c>
      <c r="N18" s="47" t="n">
        <v>0</v>
      </c>
      <c r="O18" s="47" t="n">
        <v>0</v>
      </c>
      <c r="P18" s="5"/>
      <c r="Q18" s="5"/>
      <c r="R18" s="5"/>
      <c r="S18" s="58" t="s">
        <v>57</v>
      </c>
      <c r="T18" s="47" t="n">
        <v>500000</v>
      </c>
      <c r="U18" s="59" t="n">
        <f aca="false">ROUND(T18/T20,4)</f>
        <v>0.3229</v>
      </c>
      <c r="V18" s="2"/>
      <c r="W18" s="2"/>
      <c r="X18" s="2"/>
    </row>
    <row r="19" customFormat="false" ht="12.6" hidden="false" customHeight="true" outlineLevel="0" collapsed="false">
      <c r="A19" s="2"/>
      <c r="B19" s="17" t="s">
        <v>58</v>
      </c>
      <c r="C19" s="16"/>
      <c r="D19" s="47" t="n">
        <v>0</v>
      </c>
      <c r="E19" s="47" t="n">
        <v>0</v>
      </c>
      <c r="F19" s="47" t="n">
        <v>0</v>
      </c>
      <c r="G19" s="47" t="n">
        <v>0</v>
      </c>
      <c r="H19" s="47" t="n">
        <v>0</v>
      </c>
      <c r="I19" s="47" t="n">
        <v>0</v>
      </c>
      <c r="J19" s="47" t="n">
        <v>0</v>
      </c>
      <c r="K19" s="47" t="n">
        <v>0</v>
      </c>
      <c r="L19" s="47" t="n">
        <v>0</v>
      </c>
      <c r="M19" s="47" t="n">
        <v>0</v>
      </c>
      <c r="N19" s="47" t="n">
        <v>0</v>
      </c>
      <c r="O19" s="47" t="n">
        <v>0</v>
      </c>
      <c r="P19" s="5"/>
      <c r="Q19" s="5"/>
      <c r="R19" s="5"/>
      <c r="S19" s="60" t="s">
        <v>59</v>
      </c>
      <c r="T19" s="61" t="n">
        <f aca="false">L31-36788</f>
        <v>1048371</v>
      </c>
      <c r="U19" s="62" t="n">
        <f aca="false">ROUND(T19/T20,4)</f>
        <v>0.6771</v>
      </c>
      <c r="V19" s="2"/>
      <c r="W19" s="2"/>
      <c r="X19" s="2"/>
    </row>
    <row r="20" customFormat="false" ht="12.6" hidden="false" customHeight="true" outlineLevel="0" collapsed="false">
      <c r="A20" s="2"/>
      <c r="B20" s="17" t="s">
        <v>60</v>
      </c>
      <c r="C20" s="47" t="n">
        <v>-334</v>
      </c>
      <c r="D20" s="33" t="n">
        <f aca="false">D53</f>
        <v>6</v>
      </c>
      <c r="E20" s="33" t="n">
        <f aca="false">E53</f>
        <v>6</v>
      </c>
      <c r="F20" s="63" t="n">
        <f aca="false">F53</f>
        <v>7</v>
      </c>
      <c r="G20" s="33" t="n">
        <f aca="false">G53</f>
        <v>6</v>
      </c>
      <c r="H20" s="33" t="n">
        <f aca="false">H53</f>
        <v>7</v>
      </c>
      <c r="I20" s="33" t="n">
        <f aca="false">I53</f>
        <v>6</v>
      </c>
      <c r="J20" s="33" t="n">
        <f aca="false">J53</f>
        <v>7</v>
      </c>
      <c r="K20" s="33" t="n">
        <f aca="false">K53</f>
        <v>6</v>
      </c>
      <c r="L20" s="33" t="n">
        <f aca="false">L53</f>
        <v>7</v>
      </c>
      <c r="M20" s="33" t="n">
        <f aca="false">M53</f>
        <v>6</v>
      </c>
      <c r="N20" s="33" t="n">
        <f aca="false">N53</f>
        <v>7</v>
      </c>
      <c r="O20" s="33" t="n">
        <f aca="false">O53</f>
        <v>6</v>
      </c>
      <c r="P20" s="5"/>
      <c r="Q20" s="5"/>
      <c r="R20" s="5"/>
      <c r="S20" s="60" t="s">
        <v>61</v>
      </c>
      <c r="T20" s="34" t="n">
        <f aca="false">T18+T19</f>
        <v>1548371</v>
      </c>
      <c r="U20" s="64" t="n">
        <f aca="false">U18+U19</f>
        <v>1</v>
      </c>
      <c r="V20" s="2"/>
      <c r="W20" s="2"/>
      <c r="X20" s="2"/>
    </row>
    <row r="21" customFormat="false" ht="12.6" hidden="false" customHeight="true" outlineLevel="0" collapsed="false">
      <c r="A21" s="2"/>
      <c r="B21" s="17" t="s">
        <v>49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5"/>
      <c r="Q21" s="20"/>
      <c r="R21" s="20"/>
      <c r="S21" s="65"/>
      <c r="T21" s="66"/>
      <c r="U21" s="67"/>
      <c r="V21" s="2"/>
      <c r="W21" s="2"/>
      <c r="X21" s="2"/>
    </row>
    <row r="22" customFormat="false" ht="3.95" hidden="false" customHeight="true" outlineLevel="0" collapsed="false">
      <c r="A22" s="2"/>
      <c r="B22" s="2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6"/>
      <c r="T22" s="20"/>
      <c r="U22" s="5"/>
      <c r="V22" s="2"/>
      <c r="W22" s="2"/>
      <c r="X22" s="2"/>
    </row>
    <row r="23" customFormat="false" ht="12.6" hidden="false" customHeight="true" outlineLevel="0" collapsed="false">
      <c r="A23" s="2"/>
      <c r="B23" s="17" t="s">
        <v>62</v>
      </c>
      <c r="C23" s="23" t="n">
        <f aca="false">SUM(C17:C22)</f>
        <v>499666</v>
      </c>
      <c r="D23" s="23" t="n">
        <f aca="false">SUM(D17:D20)</f>
        <v>499672</v>
      </c>
      <c r="E23" s="23" t="n">
        <f aca="false">SUM(E17:E21)</f>
        <v>499678</v>
      </c>
      <c r="F23" s="23" t="n">
        <f aca="false">SUM(F17:F21)</f>
        <v>499685</v>
      </c>
      <c r="G23" s="23" t="n">
        <f aca="false">SUM(G17:G21)</f>
        <v>499691</v>
      </c>
      <c r="H23" s="23" t="n">
        <f aca="false">SUM(H17:H21)</f>
        <v>499698</v>
      </c>
      <c r="I23" s="23" t="n">
        <f aca="false">SUM(I17:I21)</f>
        <v>499704</v>
      </c>
      <c r="J23" s="23" t="n">
        <f aca="false">SUM(J17:J21)</f>
        <v>499711</v>
      </c>
      <c r="K23" s="23" t="n">
        <f aca="false">SUM(K17:K21)</f>
        <v>499717</v>
      </c>
      <c r="L23" s="23" t="n">
        <f aca="false">SUM(L17:L21)</f>
        <v>499724</v>
      </c>
      <c r="M23" s="23" t="n">
        <f aca="false">SUM(M17:M21)</f>
        <v>499730</v>
      </c>
      <c r="N23" s="23" t="n">
        <f aca="false">SUM(N17:N21)</f>
        <v>499737</v>
      </c>
      <c r="O23" s="23" t="n">
        <f aca="false">SUM(O17:O21)</f>
        <v>499743</v>
      </c>
      <c r="P23" s="5"/>
      <c r="Q23" s="20"/>
      <c r="R23" s="20"/>
      <c r="S23" s="15"/>
      <c r="T23" s="68"/>
      <c r="U23" s="5"/>
      <c r="V23" s="2"/>
      <c r="W23" s="2"/>
      <c r="X23" s="2"/>
    </row>
    <row r="24" customFormat="false" ht="8.1" hidden="false" customHeight="true" outlineLevel="0" collapsed="false">
      <c r="A24" s="2"/>
      <c r="B24" s="2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20"/>
      <c r="R24" s="20"/>
      <c r="S24" s="15"/>
      <c r="T24" s="5"/>
      <c r="U24" s="5"/>
      <c r="V24" s="2"/>
      <c r="W24" s="2"/>
      <c r="X24" s="2"/>
    </row>
    <row r="25" customFormat="false" ht="12.6" hidden="false" customHeight="true" outlineLevel="0" collapsed="false">
      <c r="A25" s="2"/>
      <c r="B25" s="17" t="s">
        <v>63</v>
      </c>
      <c r="C25" s="5"/>
      <c r="D25" s="20" t="n">
        <f aca="false">C31</f>
        <v>1019770</v>
      </c>
      <c r="E25" s="20" t="n">
        <f aca="false">D31</f>
        <v>1039557</v>
      </c>
      <c r="F25" s="20" t="n">
        <f aca="false">E31</f>
        <v>1058023</v>
      </c>
      <c r="G25" s="20" t="n">
        <f aca="false">F31</f>
        <v>1075196</v>
      </c>
      <c r="H25" s="20" t="n">
        <f aca="false">G31</f>
        <v>1077483</v>
      </c>
      <c r="I25" s="20" t="n">
        <f aca="false">H31</f>
        <v>1078296</v>
      </c>
      <c r="J25" s="20" t="n">
        <f aca="false">I31</f>
        <v>1081006</v>
      </c>
      <c r="K25" s="20" t="n">
        <f aca="false">J31</f>
        <v>1082366</v>
      </c>
      <c r="L25" s="20" t="n">
        <f aca="false">K31</f>
        <v>1084693</v>
      </c>
      <c r="M25" s="20" t="n">
        <f aca="false">L31</f>
        <v>1085159</v>
      </c>
      <c r="N25" s="20" t="n">
        <f aca="false">M31</f>
        <v>1083793</v>
      </c>
      <c r="O25" s="20" t="n">
        <f aca="false">N31</f>
        <v>1099953</v>
      </c>
      <c r="P25" s="5"/>
      <c r="Q25" s="5"/>
      <c r="R25" s="5"/>
      <c r="S25" s="2"/>
      <c r="T25" s="2"/>
      <c r="U25" s="5"/>
      <c r="V25" s="2"/>
      <c r="W25" s="2"/>
      <c r="X25" s="2"/>
    </row>
    <row r="26" customFormat="false" ht="12.6" hidden="false" customHeight="true" outlineLevel="0" collapsed="false">
      <c r="A26" s="2"/>
      <c r="B26" s="17" t="s">
        <v>64</v>
      </c>
      <c r="C26" s="5"/>
      <c r="D26" s="47" t="n">
        <v>19321</v>
      </c>
      <c r="E26" s="47" t="n">
        <v>18599</v>
      </c>
      <c r="F26" s="47" t="n">
        <v>17521</v>
      </c>
      <c r="G26" s="47" t="n">
        <v>2272</v>
      </c>
      <c r="H26" s="47" t="n">
        <v>813</v>
      </c>
      <c r="I26" s="47" t="n">
        <v>2710</v>
      </c>
      <c r="J26" s="47" t="n">
        <v>1360</v>
      </c>
      <c r="K26" s="47" t="n">
        <v>2327</v>
      </c>
      <c r="L26" s="47" t="n">
        <v>466</v>
      </c>
      <c r="M26" s="47" t="n">
        <v>-1366</v>
      </c>
      <c r="N26" s="47" t="n">
        <v>16160</v>
      </c>
      <c r="O26" s="47" t="n">
        <v>16763</v>
      </c>
      <c r="P26" s="20" t="n">
        <f aca="false">SUM(D26:O26)</f>
        <v>96946</v>
      </c>
      <c r="Q26" s="20"/>
      <c r="R26" s="20"/>
      <c r="V26" s="2"/>
      <c r="W26" s="2"/>
      <c r="X26" s="2"/>
      <c r="AB26" s="58" t="s">
        <v>57</v>
      </c>
      <c r="AC26" s="69" t="n">
        <v>600000</v>
      </c>
      <c r="AD26" s="59" t="n">
        <f aca="false">ROUND(AC26/AC29,4)</f>
        <v>0.356</v>
      </c>
    </row>
    <row r="27" customFormat="false" ht="12.6" hidden="false" customHeight="true" outlineLevel="0" collapsed="false">
      <c r="A27" s="2"/>
      <c r="B27" s="17" t="s">
        <v>45</v>
      </c>
      <c r="C27" s="16"/>
      <c r="D27" s="47" t="n">
        <v>0</v>
      </c>
      <c r="E27" s="47" t="n">
        <v>0</v>
      </c>
      <c r="F27" s="47" t="n">
        <v>0</v>
      </c>
      <c r="G27" s="47" t="n">
        <v>0</v>
      </c>
      <c r="H27" s="47" t="n">
        <v>0</v>
      </c>
      <c r="I27" s="47" t="n">
        <v>0</v>
      </c>
      <c r="J27" s="47" t="n">
        <v>0</v>
      </c>
      <c r="K27" s="47" t="n">
        <v>0</v>
      </c>
      <c r="L27" s="47" t="n">
        <v>0</v>
      </c>
      <c r="M27" s="47" t="n">
        <v>0</v>
      </c>
      <c r="N27" s="47" t="n">
        <v>0</v>
      </c>
      <c r="O27" s="47" t="n">
        <v>0</v>
      </c>
      <c r="P27" s="20" t="n">
        <f aca="false">SUM(D27:O27)</f>
        <v>0</v>
      </c>
      <c r="Q27" s="5"/>
      <c r="R27" s="5"/>
      <c r="V27" s="2"/>
      <c r="W27" s="2"/>
      <c r="X27" s="2"/>
      <c r="AB27" s="60" t="s">
        <v>65</v>
      </c>
      <c r="AC27" s="70" t="n">
        <f aca="false">L31</f>
        <v>1085159</v>
      </c>
      <c r="AD27" s="62" t="n">
        <f aca="false">ROUND(AC27/AC29,4)</f>
        <v>0.644</v>
      </c>
    </row>
    <row r="28" customFormat="false" ht="12.6" hidden="false" customHeight="true" outlineLevel="0" collapsed="false">
      <c r="A28" s="2"/>
      <c r="B28" s="17" t="s">
        <v>66</v>
      </c>
      <c r="C28" s="47" t="n">
        <v>36396</v>
      </c>
      <c r="D28" s="47" t="n">
        <v>0</v>
      </c>
      <c r="E28" s="47" t="n">
        <v>0</v>
      </c>
      <c r="F28" s="47" t="n">
        <v>0</v>
      </c>
      <c r="G28" s="47" t="n">
        <v>0</v>
      </c>
      <c r="H28" s="47" t="n">
        <v>0</v>
      </c>
      <c r="I28" s="47" t="n">
        <v>0</v>
      </c>
      <c r="J28" s="47" t="n">
        <v>0</v>
      </c>
      <c r="K28" s="47" t="n">
        <v>0</v>
      </c>
      <c r="L28" s="47" t="n">
        <v>0</v>
      </c>
      <c r="M28" s="47" t="n">
        <v>0</v>
      </c>
      <c r="N28" s="47" t="n">
        <v>0</v>
      </c>
      <c r="O28" s="47" t="n">
        <v>0</v>
      </c>
      <c r="P28" s="20" t="n">
        <f aca="false">SUM(D28:O28)</f>
        <v>0</v>
      </c>
      <c r="Q28" s="5"/>
      <c r="R28" s="5"/>
      <c r="V28" s="2"/>
      <c r="W28" s="2"/>
      <c r="X28" s="2"/>
      <c r="AB28" s="60"/>
      <c r="AC28" s="70"/>
      <c r="AD28" s="62"/>
    </row>
    <row r="29" customFormat="false" ht="12.6" hidden="false" customHeight="true" outlineLevel="0" collapsed="false">
      <c r="A29" s="2"/>
      <c r="B29" s="17" t="s">
        <v>67</v>
      </c>
      <c r="C29" s="16"/>
      <c r="D29" s="22" t="n">
        <v>466</v>
      </c>
      <c r="E29" s="22" t="n">
        <v>-133</v>
      </c>
      <c r="F29" s="22" t="n">
        <v>-348</v>
      </c>
      <c r="G29" s="22" t="n">
        <v>15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0</v>
      </c>
      <c r="M29" s="22" t="n">
        <v>0</v>
      </c>
      <c r="N29" s="22" t="n">
        <v>0</v>
      </c>
      <c r="O29" s="22" t="n">
        <v>0</v>
      </c>
      <c r="P29" s="20" t="n">
        <f aca="false">SUM(D29:O29)</f>
        <v>0</v>
      </c>
      <c r="Q29" s="5"/>
      <c r="R29" s="5"/>
      <c r="V29" s="2"/>
      <c r="W29" s="2"/>
      <c r="X29" s="2"/>
      <c r="AB29" s="60" t="s">
        <v>61</v>
      </c>
      <c r="AC29" s="71" t="n">
        <f aca="false">AC26+AC27</f>
        <v>1685159</v>
      </c>
      <c r="AD29" s="64" t="n">
        <f aca="false">AD26+AD27</f>
        <v>1</v>
      </c>
    </row>
    <row r="30" customFormat="false" ht="3.95" hidden="false" customHeight="true" outlineLevel="0" collapsed="false">
      <c r="A30" s="2"/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"/>
      <c r="Q30" s="5"/>
      <c r="R30" s="5"/>
      <c r="V30" s="2"/>
      <c r="W30" s="2"/>
      <c r="X30" s="2"/>
      <c r="AB30" s="65"/>
      <c r="AC30" s="72"/>
      <c r="AD30" s="73"/>
    </row>
    <row r="31" customFormat="false" ht="12.6" hidden="false" customHeight="true" outlineLevel="0" collapsed="false">
      <c r="A31" s="2"/>
      <c r="B31" s="17" t="s">
        <v>68</v>
      </c>
      <c r="C31" s="74" t="n">
        <f aca="false">1087527-67757</f>
        <v>1019770</v>
      </c>
      <c r="D31" s="23" t="n">
        <f aca="false">SUM(D25:D29)</f>
        <v>1039557</v>
      </c>
      <c r="E31" s="23" t="n">
        <f aca="false">SUM(E25:E29)</f>
        <v>1058023</v>
      </c>
      <c r="F31" s="23" t="n">
        <f aca="false">SUM(F25:F29)</f>
        <v>1075196</v>
      </c>
      <c r="G31" s="23" t="n">
        <f aca="false">SUM(G25:G29)</f>
        <v>1077483</v>
      </c>
      <c r="H31" s="23" t="n">
        <f aca="false">SUM(H25:H29)</f>
        <v>1078296</v>
      </c>
      <c r="I31" s="23" t="n">
        <f aca="false">SUM(I25:I29)</f>
        <v>1081006</v>
      </c>
      <c r="J31" s="23" t="n">
        <f aca="false">SUM(J25:J29)</f>
        <v>1082366</v>
      </c>
      <c r="K31" s="23" t="n">
        <f aca="false">SUM(K25:K29)</f>
        <v>1084693</v>
      </c>
      <c r="L31" s="23" t="n">
        <f aca="false">SUM(L25:L29)</f>
        <v>1085159</v>
      </c>
      <c r="M31" s="23" t="n">
        <f aca="false">SUM(M25:M29)</f>
        <v>1083793</v>
      </c>
      <c r="N31" s="23" t="n">
        <f aca="false">SUM(N25:N29)</f>
        <v>1099953</v>
      </c>
      <c r="O31" s="23" t="n">
        <f aca="false">SUM(O25:O29)</f>
        <v>1116716</v>
      </c>
      <c r="P31" s="20" t="n">
        <f aca="false">SUM(P26:P29)</f>
        <v>96946</v>
      </c>
      <c r="Q31" s="5"/>
      <c r="R31" s="5"/>
      <c r="S31" s="2"/>
      <c r="T31" s="2"/>
      <c r="U31" s="2"/>
      <c r="V31" s="2"/>
      <c r="W31" s="2"/>
      <c r="X31" s="2"/>
    </row>
    <row r="32" customFormat="false" ht="3.95" hidden="false" customHeight="true" outlineLevel="0" collapsed="false">
      <c r="A32" s="2"/>
      <c r="B32" s="2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2"/>
      <c r="T32" s="2"/>
      <c r="U32" s="2"/>
      <c r="V32" s="2"/>
      <c r="W32" s="2"/>
      <c r="X32" s="2"/>
    </row>
    <row r="33" customFormat="false" ht="12.6" hidden="false" customHeight="true" outlineLevel="0" collapsed="false">
      <c r="A33" s="2"/>
      <c r="B33" s="17" t="s">
        <v>61</v>
      </c>
      <c r="C33" s="34" t="n">
        <f aca="false">C15+C23+C31</f>
        <v>1222832</v>
      </c>
      <c r="D33" s="34" t="n">
        <f aca="false">D15+D23+D31</f>
        <v>1210993</v>
      </c>
      <c r="E33" s="34" t="n">
        <f aca="false">E15+E23+E31</f>
        <v>1258359</v>
      </c>
      <c r="F33" s="34" t="n">
        <f aca="false">F15+F23+F31</f>
        <v>1262814</v>
      </c>
      <c r="G33" s="34" t="n">
        <f aca="false">G15+G23+G31</f>
        <v>1217116</v>
      </c>
      <c r="H33" s="34" t="n">
        <f aca="false">H15+H23+H31</f>
        <v>1204396</v>
      </c>
      <c r="I33" s="34" t="n">
        <f aca="false">I15+I23+I31</f>
        <v>1213068</v>
      </c>
      <c r="J33" s="34" t="n">
        <f aca="false">J15+J23+J31</f>
        <v>1203249</v>
      </c>
      <c r="K33" s="34" t="n">
        <f aca="false">K15+K23+K31</f>
        <v>1195382</v>
      </c>
      <c r="L33" s="34" t="n">
        <f aca="false">L15+L23+L31</f>
        <v>1201855</v>
      </c>
      <c r="M33" s="34" t="n">
        <f aca="false">M15+M23+M31</f>
        <v>1216895</v>
      </c>
      <c r="N33" s="34" t="n">
        <f aca="false">N15+N23+N31</f>
        <v>1254862</v>
      </c>
      <c r="O33" s="34" t="n">
        <f aca="false">O15+O23+O31</f>
        <v>1286531</v>
      </c>
      <c r="P33" s="5"/>
      <c r="Q33" s="5"/>
      <c r="R33" s="5"/>
      <c r="S33" s="2"/>
      <c r="T33" s="2"/>
      <c r="U33" s="2"/>
      <c r="V33" s="2"/>
      <c r="W33" s="2"/>
      <c r="X33" s="2"/>
    </row>
    <row r="34" customFormat="false" ht="8.1" hidden="false" customHeight="true" outlineLevel="0" collapsed="false">
      <c r="A34" s="2"/>
      <c r="B34" s="2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2"/>
      <c r="T34" s="2"/>
      <c r="U34" s="2"/>
      <c r="V34" s="2"/>
      <c r="W34" s="2"/>
      <c r="X34" s="2"/>
    </row>
    <row r="35" customFormat="false" ht="6" hidden="false" customHeight="true" outlineLevel="0" collapsed="false">
      <c r="A35" s="75"/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8"/>
      <c r="Q35" s="78"/>
      <c r="R35" s="78"/>
      <c r="S35" s="78"/>
      <c r="T35" s="78"/>
      <c r="U35" s="78"/>
      <c r="V35" s="2"/>
      <c r="W35" s="2"/>
      <c r="X35" s="2"/>
    </row>
    <row r="36" customFormat="false" ht="8.1" hidden="false" customHeight="true" outlineLevel="0" collapsed="false">
      <c r="A36" s="2"/>
      <c r="B36" s="2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2"/>
      <c r="T36" s="2"/>
      <c r="U36" s="2"/>
      <c r="V36" s="2"/>
      <c r="W36" s="2"/>
      <c r="X36" s="2"/>
    </row>
    <row r="37" customFormat="false" ht="12.6" hidden="false" customHeight="true" outlineLevel="0" collapsed="false">
      <c r="A37" s="13" t="s">
        <v>69</v>
      </c>
      <c r="B37" s="2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2"/>
      <c r="W37" s="2"/>
      <c r="X37" s="2"/>
    </row>
    <row r="38" customFormat="false" ht="12.6" hidden="false" customHeight="true" outlineLevel="0" collapsed="false">
      <c r="A38" s="2"/>
      <c r="B38" s="79" t="s">
        <v>70</v>
      </c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5"/>
      <c r="Q38" s="5"/>
      <c r="R38" s="5"/>
      <c r="U38" s="2"/>
      <c r="V38" s="2"/>
      <c r="W38" s="2"/>
      <c r="X38" s="2"/>
      <c r="AB38" s="80" t="s">
        <v>71</v>
      </c>
      <c r="AC38" s="2"/>
    </row>
    <row r="39" customFormat="false" ht="12.6" hidden="false" customHeight="true" outlineLevel="0" collapsed="false">
      <c r="A39" s="2"/>
      <c r="B39" s="17" t="s">
        <v>72</v>
      </c>
      <c r="C39" s="5"/>
      <c r="D39" s="20" t="n">
        <f aca="false">+C42</f>
        <v>0</v>
      </c>
      <c r="E39" s="20" t="n">
        <f aca="false">+D42</f>
        <v>0</v>
      </c>
      <c r="F39" s="20" t="n">
        <f aca="false">+E42</f>
        <v>0</v>
      </c>
      <c r="G39" s="20" t="n">
        <f aca="false">+F42</f>
        <v>0</v>
      </c>
      <c r="H39" s="20" t="n">
        <f aca="false">+G42</f>
        <v>0</v>
      </c>
      <c r="I39" s="20" t="n">
        <f aca="false">+H42</f>
        <v>0</v>
      </c>
      <c r="J39" s="20" t="n">
        <f aca="false">+I42</f>
        <v>0</v>
      </c>
      <c r="K39" s="20" t="n">
        <f aca="false">+J42</f>
        <v>0</v>
      </c>
      <c r="L39" s="20" t="n">
        <f aca="false">+K42</f>
        <v>0</v>
      </c>
      <c r="M39" s="20" t="n">
        <f aca="false">+L42</f>
        <v>0</v>
      </c>
      <c r="N39" s="20" t="n">
        <f aca="false">+M42</f>
        <v>0</v>
      </c>
      <c r="O39" s="20" t="n">
        <f aca="false">+N42</f>
        <v>0</v>
      </c>
      <c r="P39" s="5"/>
      <c r="Q39" s="5"/>
      <c r="R39" s="5"/>
      <c r="U39" s="2"/>
      <c r="V39" s="2"/>
      <c r="W39" s="2"/>
      <c r="X39" s="2"/>
      <c r="AB39" s="31" t="s">
        <v>73</v>
      </c>
      <c r="AC39" s="33" t="n">
        <f aca="false">ROUND(5601*0.6053,0)</f>
        <v>3390</v>
      </c>
    </row>
    <row r="40" customFormat="false" ht="12.6" hidden="false" customHeight="true" outlineLevel="0" collapsed="false">
      <c r="A40" s="2"/>
      <c r="B40" s="17" t="s">
        <v>74</v>
      </c>
      <c r="C40" s="5"/>
      <c r="D40" s="20" t="n">
        <f aca="false">+C47</f>
        <v>0</v>
      </c>
      <c r="E40" s="20" t="n">
        <f aca="false">+D47</f>
        <v>0</v>
      </c>
      <c r="F40" s="20" t="n">
        <f aca="false">+E47</f>
        <v>0</v>
      </c>
      <c r="G40" s="20" t="n">
        <f aca="false">+F47</f>
        <v>0</v>
      </c>
      <c r="H40" s="20" t="n">
        <f aca="false">+G47</f>
        <v>0</v>
      </c>
      <c r="I40" s="20" t="n">
        <f aca="false">+H47</f>
        <v>0</v>
      </c>
      <c r="J40" s="20" t="n">
        <f aca="false">+I47</f>
        <v>0</v>
      </c>
      <c r="K40" s="20" t="n">
        <f aca="false">+J47</f>
        <v>0</v>
      </c>
      <c r="L40" s="20" t="n">
        <f aca="false">+K47</f>
        <v>0</v>
      </c>
      <c r="M40" s="20" t="n">
        <f aca="false">+L47</f>
        <v>0</v>
      </c>
      <c r="N40" s="20" t="n">
        <f aca="false">+M47</f>
        <v>0</v>
      </c>
      <c r="O40" s="20" t="n">
        <f aca="false">+N47</f>
        <v>0</v>
      </c>
      <c r="P40" s="20" t="n">
        <f aca="false">SUM(D40:O40)</f>
        <v>0</v>
      </c>
      <c r="Q40" s="5"/>
      <c r="R40" s="5"/>
      <c r="U40" s="2"/>
      <c r="V40" s="2"/>
      <c r="W40" s="2"/>
      <c r="X40" s="2"/>
      <c r="AB40" s="31" t="s">
        <v>75</v>
      </c>
      <c r="AC40" s="33" t="n">
        <f aca="false">-ROUND((5601-3213)*0.6053,0)</f>
        <v>-1445</v>
      </c>
    </row>
    <row r="41" customFormat="false" ht="12.6" hidden="false" customHeight="true" outlineLevel="0" collapsed="false">
      <c r="A41" s="2"/>
      <c r="B41" s="17" t="s">
        <v>76</v>
      </c>
      <c r="C41" s="5"/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0</v>
      </c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20" t="n">
        <f aca="false">SUM(D41:O41)</f>
        <v>0</v>
      </c>
      <c r="Q41" s="5"/>
      <c r="R41" s="5"/>
      <c r="U41" s="5"/>
      <c r="V41" s="5"/>
      <c r="W41" s="2"/>
      <c r="X41" s="2"/>
      <c r="AB41" s="31" t="s">
        <v>77</v>
      </c>
      <c r="AC41" s="33" t="n">
        <f aca="false">-ROUND((3213-810)*0.6053,0)</f>
        <v>-1455</v>
      </c>
    </row>
    <row r="42" customFormat="false" ht="12.6" hidden="false" customHeight="true" outlineLevel="0" collapsed="false">
      <c r="A42" s="2"/>
      <c r="B42" s="17" t="s">
        <v>78</v>
      </c>
      <c r="C42" s="21" t="n">
        <f aca="false">-91055+38836+39092+(-789-789-791)+15496</f>
        <v>0</v>
      </c>
      <c r="D42" s="23" t="n">
        <f aca="false">SUM(D39:D41)</f>
        <v>0</v>
      </c>
      <c r="E42" s="23" t="n">
        <f aca="false">SUM(E39:E41)</f>
        <v>0</v>
      </c>
      <c r="F42" s="23" t="n">
        <f aca="false">SUM(F39:F41)</f>
        <v>0</v>
      </c>
      <c r="G42" s="23" t="n">
        <f aca="false">SUM(G39:G41)</f>
        <v>0</v>
      </c>
      <c r="H42" s="23" t="n">
        <f aca="false">SUM(H39:H41)</f>
        <v>0</v>
      </c>
      <c r="I42" s="23" t="n">
        <f aca="false">SUM(I39:I41)</f>
        <v>0</v>
      </c>
      <c r="J42" s="23" t="n">
        <f aca="false">SUM(J39:J41)</f>
        <v>0</v>
      </c>
      <c r="K42" s="23" t="n">
        <f aca="false">SUM(K39:K41)</f>
        <v>0</v>
      </c>
      <c r="L42" s="23" t="n">
        <f aca="false">SUM(L39:L41)</f>
        <v>0</v>
      </c>
      <c r="M42" s="23" t="n">
        <f aca="false">SUM(M39:M41)</f>
        <v>0</v>
      </c>
      <c r="N42" s="23" t="n">
        <f aca="false">SUM(N39:N41)</f>
        <v>0</v>
      </c>
      <c r="O42" s="23" t="n">
        <f aca="false">SUM(O39:O41)</f>
        <v>0</v>
      </c>
      <c r="P42" s="20"/>
      <c r="Q42" s="5"/>
      <c r="R42" s="5"/>
      <c r="U42" s="2"/>
      <c r="V42" s="2"/>
      <c r="W42" s="2"/>
      <c r="X42" s="2"/>
      <c r="AB42" s="31" t="s">
        <v>79</v>
      </c>
      <c r="AC42" s="33" t="n">
        <f aca="false">ROUND((1650)*0.6053,0)</f>
        <v>999</v>
      </c>
    </row>
    <row r="43" customFormat="false" ht="3.95" hidden="false" customHeight="true" outlineLevel="0" collapsed="false">
      <c r="A43" s="2"/>
      <c r="B43" s="17"/>
      <c r="C43" s="1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0"/>
      <c r="Q43" s="5"/>
      <c r="R43" s="5"/>
      <c r="U43" s="2"/>
      <c r="V43" s="2"/>
      <c r="W43" s="2"/>
      <c r="X43" s="2"/>
      <c r="AB43" s="31"/>
      <c r="AC43" s="33"/>
    </row>
    <row r="44" customFormat="false" ht="12.6" hidden="false" customHeight="true" outlineLevel="0" collapsed="false">
      <c r="A44" s="2"/>
      <c r="B44" s="17" t="s">
        <v>80</v>
      </c>
      <c r="C44" s="15"/>
      <c r="D44" s="20" t="n">
        <f aca="false">ROUND((+D42),0)</f>
        <v>0</v>
      </c>
      <c r="E44" s="20" t="n">
        <f aca="false">ROUND((+E42),0)</f>
        <v>0</v>
      </c>
      <c r="F44" s="20" t="n">
        <f aca="false">ROUND((+F42),0)</f>
        <v>0</v>
      </c>
      <c r="G44" s="20" t="n">
        <f aca="false">ROUND((+G42),0)</f>
        <v>0</v>
      </c>
      <c r="H44" s="20" t="n">
        <f aca="false">ROUND((+H42),0)</f>
        <v>0</v>
      </c>
      <c r="I44" s="20" t="n">
        <f aca="false">ROUND((+I42),0)</f>
        <v>0</v>
      </c>
      <c r="J44" s="20" t="n">
        <f aca="false">ROUND((+J42),0)</f>
        <v>0</v>
      </c>
      <c r="K44" s="20" t="n">
        <f aca="false">ROUND((+K42),0)</f>
        <v>0</v>
      </c>
      <c r="L44" s="20" t="n">
        <f aca="false">ROUND((+L42),0)</f>
        <v>0</v>
      </c>
      <c r="M44" s="20" t="n">
        <f aca="false">ROUND((+M42),0)</f>
        <v>0</v>
      </c>
      <c r="N44" s="20" t="n">
        <f aca="false">ROUND((+N42),0)</f>
        <v>0</v>
      </c>
      <c r="O44" s="20" t="n">
        <f aca="false">ROUND((+O42),0)</f>
        <v>0</v>
      </c>
      <c r="P44" s="5"/>
      <c r="Q44" s="5"/>
      <c r="R44" s="5"/>
      <c r="U44" s="2"/>
      <c r="V44" s="2"/>
      <c r="W44" s="2"/>
      <c r="X44" s="2"/>
      <c r="AB44" s="31" t="s">
        <v>81</v>
      </c>
      <c r="AC44" s="33" t="n">
        <f aca="false">-ROUND((1376)*0.6053,0)</f>
        <v>-833</v>
      </c>
    </row>
    <row r="45" customFormat="false" ht="12.6" hidden="false" customHeight="true" outlineLevel="0" collapsed="false">
      <c r="A45" s="2"/>
      <c r="B45" s="17" t="s">
        <v>82</v>
      </c>
      <c r="C45" s="25" t="n">
        <v>0.06</v>
      </c>
      <c r="D45" s="25" t="n">
        <v>0.06</v>
      </c>
      <c r="E45" s="25" t="n">
        <v>0.06</v>
      </c>
      <c r="F45" s="25" t="n">
        <v>0.06</v>
      </c>
      <c r="G45" s="25" t="n">
        <v>0.06</v>
      </c>
      <c r="H45" s="25" t="n">
        <v>0.06</v>
      </c>
      <c r="I45" s="25" t="n">
        <v>0.06</v>
      </c>
      <c r="J45" s="25" t="n">
        <v>0.06</v>
      </c>
      <c r="K45" s="25" t="n">
        <v>0.06</v>
      </c>
      <c r="L45" s="25" t="n">
        <v>0.06</v>
      </c>
      <c r="M45" s="25" t="n">
        <v>0.06</v>
      </c>
      <c r="N45" s="25" t="n">
        <v>0.06</v>
      </c>
      <c r="O45" s="25" t="n">
        <v>0.06</v>
      </c>
      <c r="P45" s="5"/>
      <c r="Q45" s="5"/>
      <c r="R45" s="5"/>
      <c r="S45" s="2"/>
      <c r="T45" s="2"/>
      <c r="U45" s="2"/>
      <c r="V45" s="2"/>
      <c r="W45" s="2"/>
      <c r="X45" s="2"/>
    </row>
    <row r="46" customFormat="false" ht="3.95" hidden="false" customHeight="true" outlineLevel="0" collapsed="false">
      <c r="A46" s="2"/>
      <c r="B46" s="1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5"/>
      <c r="Q46" s="5"/>
      <c r="R46" s="5"/>
      <c r="S46" s="2"/>
      <c r="T46" s="2"/>
      <c r="U46" s="2"/>
      <c r="V46" s="2"/>
      <c r="W46" s="2"/>
      <c r="X46" s="2"/>
    </row>
    <row r="47" customFormat="false" ht="12.6" hidden="false" customHeight="true" outlineLevel="0" collapsed="false">
      <c r="A47" s="2"/>
      <c r="B47" s="17" t="s">
        <v>83</v>
      </c>
      <c r="C47" s="81" t="n">
        <f aca="false">ROUND((C42)*(C45*(30/360)),0)+11-11</f>
        <v>0</v>
      </c>
      <c r="D47" s="81" t="n">
        <f aca="false">ROUND((D44)*(D45*(30/360)),0)+12-12</f>
        <v>0</v>
      </c>
      <c r="E47" s="81" t="n">
        <f aca="false">ROUND((E44)*(E45*(30/360)),0)+13-13</f>
        <v>0</v>
      </c>
      <c r="F47" s="81" t="n">
        <f aca="false">ROUND((F44)*(F45*(30/360)),0)+12-12</f>
        <v>0</v>
      </c>
      <c r="G47" s="81" t="n">
        <f aca="false">ROUND((G44)*(G45*(30/360)),0)+13-13</f>
        <v>0</v>
      </c>
      <c r="H47" s="81" t="n">
        <f aca="false">ROUND((H44)*(H45*(30/360)),0)+13-13</f>
        <v>0</v>
      </c>
      <c r="I47" s="81" t="n">
        <f aca="false">ROUND((I44)*(I45*(30/360)),0)+13-13</f>
        <v>0</v>
      </c>
      <c r="J47" s="81" t="n">
        <f aca="false">ROUND((J44)*(J45*(30/360)),0)+14-14</f>
        <v>0</v>
      </c>
      <c r="K47" s="81" t="n">
        <f aca="false">ROUND((K44)*(K45*(30/360)),0)+14-14</f>
        <v>0</v>
      </c>
      <c r="L47" s="81" t="n">
        <f aca="false">ROUND((L44)*(L45*(30/360)),0)+14-14</f>
        <v>0</v>
      </c>
      <c r="M47" s="81" t="n">
        <f aca="false">ROUND((M44)*(M45*(30/360)),0)+15-15</f>
        <v>0</v>
      </c>
      <c r="N47" s="81" t="n">
        <f aca="false">ROUND((N44)*(N45*(30/360)),0)+15-15</f>
        <v>0</v>
      </c>
      <c r="O47" s="81" t="n">
        <f aca="false">ROUND((O44)*(O45*(30/360)),0)+15-15</f>
        <v>0</v>
      </c>
      <c r="P47" s="5"/>
      <c r="Q47" s="5"/>
      <c r="R47" s="5"/>
      <c r="S47" s="2"/>
      <c r="T47" s="2"/>
      <c r="U47" s="2"/>
      <c r="V47" s="2"/>
      <c r="W47" s="2"/>
      <c r="X47" s="2"/>
    </row>
    <row r="48" customFormat="false" ht="12.6" hidden="false" customHeight="true" outlineLevel="0" collapsed="false">
      <c r="A48" s="2"/>
      <c r="B48" s="82"/>
      <c r="C48" s="5"/>
      <c r="D48" s="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0" t="n">
        <f aca="false">U50+U51+U52+U53-P50-P51-P52-P78</f>
        <v>0</v>
      </c>
      <c r="Q48" s="5"/>
      <c r="R48" s="5"/>
      <c r="S48" s="16"/>
      <c r="T48" s="83" t="s">
        <v>84</v>
      </c>
      <c r="U48" s="83" t="s">
        <v>85</v>
      </c>
      <c r="V48" s="2"/>
      <c r="W48" s="2"/>
      <c r="X48" s="2"/>
    </row>
    <row r="49" customFormat="false" ht="12.6" hidden="false" customHeight="true" outlineLevel="0" collapsed="false">
      <c r="A49" s="2"/>
      <c r="B49" s="14" t="s">
        <v>86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"/>
      <c r="Q49" s="20"/>
      <c r="R49" s="20"/>
      <c r="S49" s="84" t="s">
        <v>87</v>
      </c>
      <c r="T49" s="85" t="s">
        <v>88</v>
      </c>
      <c r="U49" s="85" t="s">
        <v>88</v>
      </c>
      <c r="V49" s="2"/>
      <c r="W49" s="2"/>
      <c r="X49" s="2"/>
    </row>
    <row r="50" customFormat="false" ht="12.6" hidden="false" customHeight="true" outlineLevel="0" collapsed="false">
      <c r="A50" s="2"/>
      <c r="B50" s="17" t="s">
        <v>89</v>
      </c>
      <c r="C50" s="5"/>
      <c r="D50" s="20" t="n">
        <f aca="false">ROUND((+$T$50*0.08)*(30/360),0)</f>
        <v>0</v>
      </c>
      <c r="E50" s="20" t="n">
        <f aca="false">ROUND((+$T$50*0.08)*(30/360),0)</f>
        <v>0</v>
      </c>
      <c r="F50" s="20" t="n">
        <f aca="false">ROUND((+$T$50*0.08)*(30/360),0)</f>
        <v>0</v>
      </c>
      <c r="G50" s="20" t="n">
        <f aca="false">ROUND((+$T$50*0.08)*(30/360),0)</f>
        <v>0</v>
      </c>
      <c r="H50" s="20" t="n">
        <f aca="false">ROUND((+$T$50*0.08)*(30/360),0)</f>
        <v>0</v>
      </c>
      <c r="I50" s="20" t="n">
        <f aca="false">ROUND((+$T$50*0)*(30/360),0)</f>
        <v>0</v>
      </c>
      <c r="J50" s="20" t="n">
        <f aca="false">ROUND((+$T$50*0)*(30/360),0)</f>
        <v>0</v>
      </c>
      <c r="K50" s="20" t="n">
        <f aca="false">ROUND((+$T$50*0)*(30/360),0)</f>
        <v>0</v>
      </c>
      <c r="L50" s="20" t="n">
        <f aca="false">ROUND((+$T$50*0)*(30/360),0)</f>
        <v>0</v>
      </c>
      <c r="M50" s="20" t="n">
        <f aca="false">ROUND((+$T$50*0)*(30/360),0)</f>
        <v>0</v>
      </c>
      <c r="N50" s="20" t="n">
        <f aca="false">ROUND((+$T$50*0)*(30/360),0)</f>
        <v>0</v>
      </c>
      <c r="O50" s="20" t="n">
        <f aca="false">ROUND((+$T$50*0)*(30/360),0)</f>
        <v>0</v>
      </c>
      <c r="P50" s="20" t="n">
        <f aca="false">SUM(D50:O50)</f>
        <v>0</v>
      </c>
      <c r="Q50" s="5"/>
      <c r="R50" s="5"/>
      <c r="S50" s="86" t="s">
        <v>90</v>
      </c>
      <c r="T50" s="47" t="n">
        <v>0</v>
      </c>
      <c r="U50" s="20" t="n">
        <f aca="false">ROUND(($T50*0.08)*150/360,0)</f>
        <v>0</v>
      </c>
      <c r="V50" s="2"/>
      <c r="W50" s="2"/>
      <c r="X50" s="2"/>
    </row>
    <row r="51" customFormat="false" ht="12.6" hidden="false" customHeight="true" outlineLevel="0" collapsed="false">
      <c r="A51" s="2"/>
      <c r="B51" s="17" t="s">
        <v>91</v>
      </c>
      <c r="C51" s="5"/>
      <c r="D51" s="20" t="n">
        <f aca="false">ROUND((+$T$51*0.06875)*(30/360),0)</f>
        <v>573</v>
      </c>
      <c r="E51" s="18" t="n">
        <f aca="false">ROUND((+$T$51*0.06875)*(30/360),0)-1</f>
        <v>572</v>
      </c>
      <c r="F51" s="20" t="n">
        <f aca="false">ROUND((+$T$51*0.06875)*(30/360),0)</f>
        <v>573</v>
      </c>
      <c r="G51" s="20" t="n">
        <f aca="false">ROUND((+$T$51*0.06875)*(30/360),0)</f>
        <v>573</v>
      </c>
      <c r="H51" s="20" t="n">
        <f aca="false">ROUND((+$T$51*0.06875)*(30/360),0)</f>
        <v>573</v>
      </c>
      <c r="I51" s="20" t="n">
        <f aca="false">ROUND((+$T$51*0.06875)*(30/360),0)</f>
        <v>573</v>
      </c>
      <c r="J51" s="20" t="n">
        <f aca="false">ROUND((+$T$51*0.06875)*(30/360),0)</f>
        <v>573</v>
      </c>
      <c r="K51" s="20" t="n">
        <f aca="false">ROUND((+$T$51*0.06875)*(30/360),0)</f>
        <v>573</v>
      </c>
      <c r="L51" s="20" t="n">
        <f aca="false">ROUND((+$T$51*0.06875)*(30/360),0)</f>
        <v>573</v>
      </c>
      <c r="M51" s="20" t="n">
        <f aca="false">ROUND((+$T$51*0.06875)*(30/360),0)</f>
        <v>573</v>
      </c>
      <c r="N51" s="20" t="n">
        <f aca="false">ROUND((+$T$51*0.06875)*(30/360),0)</f>
        <v>573</v>
      </c>
      <c r="O51" s="20" t="n">
        <f aca="false">ROUND((+$T$51*0.06875)*(30/360),0)</f>
        <v>573</v>
      </c>
      <c r="P51" s="20" t="n">
        <f aca="false">SUM(D51:O51)</f>
        <v>6875</v>
      </c>
      <c r="Q51" s="5"/>
      <c r="R51" s="5"/>
      <c r="S51" s="49" t="s">
        <v>92</v>
      </c>
      <c r="T51" s="47" t="n">
        <v>100000</v>
      </c>
      <c r="U51" s="20" t="n">
        <f aca="false">ROUND($T51*0.06875,0)</f>
        <v>6875</v>
      </c>
      <c r="V51" s="2"/>
      <c r="W51" s="2"/>
      <c r="X51" s="2"/>
    </row>
    <row r="52" customFormat="false" ht="12.6" hidden="false" customHeight="true" outlineLevel="0" collapsed="false">
      <c r="A52" s="2"/>
      <c r="B52" s="17" t="s">
        <v>93</v>
      </c>
      <c r="C52" s="5"/>
      <c r="D52" s="20" t="n">
        <f aca="false">ROUND((+$T$53*0.07)*(30/360),0)</f>
        <v>1458</v>
      </c>
      <c r="E52" s="20" t="n">
        <f aca="false">ROUND((+$T$53*0.07)*(30/360),0)</f>
        <v>1458</v>
      </c>
      <c r="F52" s="18" t="n">
        <f aca="false">ROUND((+$T$53*0.07)*(30/360),0)+1</f>
        <v>1459</v>
      </c>
      <c r="G52" s="20" t="n">
        <f aca="false">ROUND((+$T$53*0.07)*(30/360),0)</f>
        <v>1458</v>
      </c>
      <c r="H52" s="20" t="n">
        <f aca="false">ROUND((+$T$53*0.07)*(30/360),0)</f>
        <v>1458</v>
      </c>
      <c r="I52" s="18" t="n">
        <f aca="false">ROUND((+$T$53*0.07)*(30/360),0)+1</f>
        <v>1459</v>
      </c>
      <c r="J52" s="20" t="n">
        <f aca="false">ROUND((+$T$53*0.07)*(30/360),0)</f>
        <v>1458</v>
      </c>
      <c r="K52" s="20" t="n">
        <f aca="false">ROUND((+$T$53*0.07)*(30/360),0)</f>
        <v>1458</v>
      </c>
      <c r="L52" s="18" t="n">
        <f aca="false">ROUND((+$T$53*0.07)*(30/360),0)+1</f>
        <v>1459</v>
      </c>
      <c r="M52" s="20" t="n">
        <f aca="false">ROUND((+$T$53*0.07)*(30/360),0)</f>
        <v>1458</v>
      </c>
      <c r="N52" s="20" t="n">
        <f aca="false">ROUND((+$T$53*0.07)*(30/360),0)</f>
        <v>1458</v>
      </c>
      <c r="O52" s="18" t="n">
        <f aca="false">ROUND((+$T$53*0.07)*(30/360),0)+1</f>
        <v>1459</v>
      </c>
      <c r="P52" s="20" t="n">
        <f aca="false">SUM(D52:O52)</f>
        <v>17500</v>
      </c>
      <c r="Q52" s="5"/>
      <c r="R52" s="5"/>
      <c r="S52" s="49" t="s">
        <v>94</v>
      </c>
      <c r="T52" s="47" t="n">
        <v>150000</v>
      </c>
      <c r="U52" s="19" t="n">
        <f aca="false">ROUND(+$T52*0.0675,0)</f>
        <v>10125</v>
      </c>
      <c r="V52" s="2"/>
      <c r="W52" s="2"/>
      <c r="X52" s="2"/>
    </row>
    <row r="53" customFormat="false" ht="12.6" hidden="false" customHeight="true" outlineLevel="0" collapsed="false">
      <c r="A53" s="2"/>
      <c r="B53" s="17" t="s">
        <v>95</v>
      </c>
      <c r="C53" s="20"/>
      <c r="D53" s="47" t="n">
        <v>6</v>
      </c>
      <c r="E53" s="47" t="n">
        <v>6</v>
      </c>
      <c r="F53" s="47" t="n">
        <v>7</v>
      </c>
      <c r="G53" s="47" t="n">
        <v>6</v>
      </c>
      <c r="H53" s="47" t="n">
        <v>7</v>
      </c>
      <c r="I53" s="47" t="n">
        <v>6</v>
      </c>
      <c r="J53" s="47" t="n">
        <v>7</v>
      </c>
      <c r="K53" s="47" t="n">
        <v>6</v>
      </c>
      <c r="L53" s="47" t="n">
        <v>7</v>
      </c>
      <c r="M53" s="47" t="n">
        <v>6</v>
      </c>
      <c r="N53" s="47" t="n">
        <v>7</v>
      </c>
      <c r="O53" s="47" t="n">
        <v>6</v>
      </c>
      <c r="P53" s="20" t="n">
        <f aca="false">SUM(D53:O53)</f>
        <v>77</v>
      </c>
      <c r="Q53" s="5"/>
      <c r="R53" s="5"/>
      <c r="S53" s="86" t="s">
        <v>96</v>
      </c>
      <c r="T53" s="47" t="n">
        <v>250000</v>
      </c>
      <c r="U53" s="20" t="n">
        <f aca="false">ROUND($T53*0.07,0)</f>
        <v>17500</v>
      </c>
      <c r="V53" s="2"/>
      <c r="W53" s="2"/>
      <c r="X53" s="2"/>
    </row>
    <row r="54" customFormat="false" ht="12.6" hidden="false" customHeight="true" outlineLevel="0" collapsed="false">
      <c r="A54" s="2"/>
      <c r="B54" s="17" t="s">
        <v>97</v>
      </c>
      <c r="C54" s="5"/>
      <c r="D54" s="47" t="n">
        <v>21</v>
      </c>
      <c r="E54" s="47" t="n">
        <v>23</v>
      </c>
      <c r="F54" s="47" t="n">
        <v>19</v>
      </c>
      <c r="G54" s="47" t="n">
        <v>21</v>
      </c>
      <c r="H54" s="47" t="n">
        <v>20</v>
      </c>
      <c r="I54" s="47" t="n">
        <v>20</v>
      </c>
      <c r="J54" s="47" t="n">
        <v>20</v>
      </c>
      <c r="K54" s="47" t="n">
        <v>21</v>
      </c>
      <c r="L54" s="47" t="n">
        <v>19</v>
      </c>
      <c r="M54" s="47" t="n">
        <v>21</v>
      </c>
      <c r="N54" s="47" t="n">
        <v>20</v>
      </c>
      <c r="O54" s="47" t="n">
        <v>20</v>
      </c>
      <c r="P54" s="20" t="n">
        <f aca="false">SUM(D54:O54)</f>
        <v>245</v>
      </c>
      <c r="Q54" s="5"/>
      <c r="R54" s="5"/>
      <c r="S54" s="49" t="s">
        <v>98</v>
      </c>
      <c r="T54" s="47" t="n">
        <v>0</v>
      </c>
      <c r="U54" s="20" t="n">
        <f aca="false">ROUND($T54*0.08,0)</f>
        <v>0</v>
      </c>
      <c r="V54" s="2"/>
      <c r="W54" s="2"/>
      <c r="X54" s="2"/>
    </row>
    <row r="55" customFormat="false" ht="12.6" hidden="false" customHeight="true" outlineLevel="0" collapsed="false">
      <c r="A55" s="2"/>
      <c r="B55" s="17" t="s">
        <v>74</v>
      </c>
      <c r="C55" s="5"/>
      <c r="D55" s="20" t="n">
        <f aca="false">D47</f>
        <v>0</v>
      </c>
      <c r="E55" s="20" t="n">
        <f aca="false">E47</f>
        <v>0</v>
      </c>
      <c r="F55" s="20" t="n">
        <f aca="false">F47</f>
        <v>0</v>
      </c>
      <c r="G55" s="20" t="n">
        <f aca="false">G47</f>
        <v>0</v>
      </c>
      <c r="H55" s="20" t="n">
        <f aca="false">H47</f>
        <v>0</v>
      </c>
      <c r="I55" s="20" t="n">
        <f aca="false">I47</f>
        <v>0</v>
      </c>
      <c r="J55" s="20" t="n">
        <f aca="false">J47</f>
        <v>0</v>
      </c>
      <c r="K55" s="20" t="n">
        <f aca="false">K47</f>
        <v>0</v>
      </c>
      <c r="L55" s="20" t="n">
        <f aca="false">L47</f>
        <v>0</v>
      </c>
      <c r="M55" s="20" t="n">
        <f aca="false">M47</f>
        <v>0</v>
      </c>
      <c r="N55" s="20" t="n">
        <f aca="false">N47</f>
        <v>0</v>
      </c>
      <c r="O55" s="20" t="n">
        <f aca="false">O47</f>
        <v>0</v>
      </c>
      <c r="P55" s="20" t="n">
        <f aca="false">SUM(D55:O55)</f>
        <v>0</v>
      </c>
      <c r="Q55" s="5"/>
      <c r="R55" s="5"/>
      <c r="S55" s="86" t="s">
        <v>99</v>
      </c>
      <c r="T55" s="47" t="n">
        <v>0</v>
      </c>
      <c r="U55" s="47" t="n">
        <v>0</v>
      </c>
      <c r="V55" s="2"/>
      <c r="W55" s="2"/>
      <c r="X55" s="2"/>
    </row>
    <row r="56" customFormat="false" ht="12.6" hidden="false" customHeight="true" outlineLevel="0" collapsed="false">
      <c r="A56" s="2"/>
      <c r="B56" s="17" t="s">
        <v>100</v>
      </c>
      <c r="C56" s="20"/>
      <c r="D56" s="47" t="n">
        <v>0</v>
      </c>
      <c r="E56" s="47" t="n">
        <v>0</v>
      </c>
      <c r="F56" s="47" t="n">
        <v>0</v>
      </c>
      <c r="G56" s="47" t="n">
        <v>0</v>
      </c>
      <c r="H56" s="47" t="n">
        <v>0</v>
      </c>
      <c r="I56" s="47" t="n">
        <v>0</v>
      </c>
      <c r="J56" s="47" t="n">
        <v>0</v>
      </c>
      <c r="K56" s="47" t="n">
        <v>0</v>
      </c>
      <c r="L56" s="47" t="n">
        <v>0</v>
      </c>
      <c r="M56" s="47" t="n">
        <v>0</v>
      </c>
      <c r="N56" s="47" t="n">
        <v>0</v>
      </c>
      <c r="O56" s="47" t="n">
        <v>0</v>
      </c>
      <c r="P56" s="20" t="n">
        <f aca="false">SUM(D56:O56)</f>
        <v>0</v>
      </c>
      <c r="Q56" s="5"/>
      <c r="R56" s="5"/>
      <c r="S56" s="86" t="s">
        <v>101</v>
      </c>
      <c r="T56" s="47" t="n">
        <v>0</v>
      </c>
      <c r="U56" s="47" t="n">
        <v>0</v>
      </c>
      <c r="V56" s="2"/>
      <c r="W56" s="2"/>
      <c r="X56" s="2"/>
    </row>
    <row r="57" customFormat="false" ht="12.6" hidden="false" customHeight="true" outlineLevel="0" collapsed="false">
      <c r="A57" s="2"/>
      <c r="B57" s="17" t="s">
        <v>102</v>
      </c>
      <c r="C57" s="16"/>
      <c r="D57" s="22" t="n">
        <v>0</v>
      </c>
      <c r="E57" s="22" t="n">
        <v>0</v>
      </c>
      <c r="F57" s="22" t="n">
        <v>0</v>
      </c>
      <c r="G57" s="22" t="n">
        <v>0</v>
      </c>
      <c r="H57" s="22" t="n">
        <v>0</v>
      </c>
      <c r="I57" s="22" t="n">
        <v>0</v>
      </c>
      <c r="J57" s="22" t="n">
        <v>0</v>
      </c>
      <c r="K57" s="22" t="n">
        <v>0</v>
      </c>
      <c r="L57" s="22" t="n">
        <v>0</v>
      </c>
      <c r="M57" s="22" t="n">
        <v>0</v>
      </c>
      <c r="N57" s="22" t="n">
        <v>0</v>
      </c>
      <c r="O57" s="22" t="n">
        <v>0</v>
      </c>
      <c r="P57" s="23" t="n">
        <f aca="false">SUM(D57:O57)</f>
        <v>0</v>
      </c>
      <c r="Q57" s="20"/>
      <c r="R57" s="20"/>
      <c r="S57" s="86" t="s">
        <v>103</v>
      </c>
      <c r="T57" s="47" t="n">
        <v>0</v>
      </c>
      <c r="U57" s="47" t="n">
        <v>0</v>
      </c>
      <c r="V57" s="2"/>
      <c r="W57" s="2"/>
      <c r="X57" s="2"/>
    </row>
    <row r="58" customFormat="false" ht="12.6" hidden="false" customHeight="true" outlineLevel="0" collapsed="false">
      <c r="A58" s="2"/>
      <c r="B58" s="17" t="s">
        <v>104</v>
      </c>
      <c r="C58" s="20"/>
      <c r="D58" s="20" t="n">
        <f aca="false">SUM(D50:D57)</f>
        <v>2058</v>
      </c>
      <c r="E58" s="20" t="n">
        <f aca="false">SUM(E50:E57)</f>
        <v>2059</v>
      </c>
      <c r="F58" s="20" t="n">
        <f aca="false">SUM(F50:F57)</f>
        <v>2058</v>
      </c>
      <c r="G58" s="20" t="n">
        <f aca="false">SUM(G50:G57)</f>
        <v>2058</v>
      </c>
      <c r="H58" s="20" t="n">
        <f aca="false">SUM(H50:H57)</f>
        <v>2058</v>
      </c>
      <c r="I58" s="20" t="n">
        <f aca="false">SUM(I50:I57)</f>
        <v>2058</v>
      </c>
      <c r="J58" s="20" t="n">
        <f aca="false">SUM(J50:J57)</f>
        <v>2058</v>
      </c>
      <c r="K58" s="20" t="n">
        <f aca="false">SUM(K50:K57)</f>
        <v>2058</v>
      </c>
      <c r="L58" s="20" t="n">
        <f aca="false">SUM(L50:L57)</f>
        <v>2058</v>
      </c>
      <c r="M58" s="20" t="n">
        <f aca="false">SUM(M50:M57)</f>
        <v>2058</v>
      </c>
      <c r="N58" s="20" t="n">
        <f aca="false">SUM(N50:N57)</f>
        <v>2058</v>
      </c>
      <c r="O58" s="20" t="n">
        <f aca="false">SUM(O50:O57)</f>
        <v>2058</v>
      </c>
      <c r="P58" s="20" t="n">
        <f aca="false">SUM(D58:O58)</f>
        <v>24697</v>
      </c>
      <c r="Q58" s="20"/>
      <c r="R58" s="20"/>
      <c r="S58" s="86" t="s">
        <v>47</v>
      </c>
      <c r="T58" s="22" t="n">
        <v>0</v>
      </c>
      <c r="U58" s="22" t="n">
        <v>0</v>
      </c>
      <c r="V58" s="2"/>
      <c r="W58" s="2"/>
      <c r="X58" s="2"/>
    </row>
    <row r="59" customFormat="false" ht="12.6" hidden="false" customHeight="true" outlineLevel="0" collapsed="false">
      <c r="A59" s="2"/>
      <c r="B59" s="17" t="s">
        <v>105</v>
      </c>
      <c r="C59" s="20"/>
      <c r="D59" s="22" t="n">
        <f aca="false">ROUND(+D58*-0.3947,0)-1</f>
        <v>-813</v>
      </c>
      <c r="E59" s="22" t="n">
        <f aca="false">ROUND(+E58*-0.3947,0)+1</f>
        <v>-812</v>
      </c>
      <c r="F59" s="87" t="n">
        <f aca="false">ROUND(+F58*-0.3947,0)</f>
        <v>-812</v>
      </c>
      <c r="G59" s="87" t="n">
        <f aca="false">ROUND(+G58*-0.3947,0)</f>
        <v>-812</v>
      </c>
      <c r="H59" s="87" t="n">
        <f aca="false">ROUND(+H58*-0.3947,0)</f>
        <v>-812</v>
      </c>
      <c r="I59" s="87" t="n">
        <f aca="false">ROUND(+I58*-0.3947,0)</f>
        <v>-812</v>
      </c>
      <c r="J59" s="87" t="n">
        <f aca="false">ROUND(+J58*-0.3947,0)</f>
        <v>-812</v>
      </c>
      <c r="K59" s="87" t="n">
        <f aca="false">ROUND(+K58*-0.3947,0)</f>
        <v>-812</v>
      </c>
      <c r="L59" s="87" t="n">
        <f aca="false">ROUND(+L58*-0.3947,0)</f>
        <v>-812</v>
      </c>
      <c r="M59" s="87" t="n">
        <f aca="false">ROUND(+M58*-0.3947,0)</f>
        <v>-812</v>
      </c>
      <c r="N59" s="87" t="n">
        <f aca="false">ROUND(+N58*-0.3947,0)</f>
        <v>-812</v>
      </c>
      <c r="O59" s="87" t="n">
        <f aca="false">ROUND(+O58*-0.3947,0)</f>
        <v>-812</v>
      </c>
      <c r="P59" s="23" t="n">
        <f aca="false">SUM(D59:O59)</f>
        <v>-9745</v>
      </c>
      <c r="Q59" s="20"/>
      <c r="R59" s="20"/>
      <c r="S59" s="49" t="s">
        <v>106</v>
      </c>
      <c r="T59" s="34"/>
      <c r="U59" s="34" t="n">
        <f aca="false">SUM(U50:U58)</f>
        <v>34500</v>
      </c>
      <c r="V59" s="2"/>
      <c r="W59" s="2"/>
      <c r="X59" s="2"/>
    </row>
    <row r="60" customFormat="false" ht="3.95" hidden="false" customHeight="true" outlineLevel="0" collapsed="false">
      <c r="A60" s="2"/>
      <c r="B60" s="26"/>
      <c r="C60" s="2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V60" s="2"/>
      <c r="W60" s="2"/>
      <c r="X60" s="2"/>
    </row>
    <row r="61" customFormat="false" ht="12.6" hidden="false" customHeight="true" outlineLevel="0" collapsed="false">
      <c r="A61" s="2"/>
      <c r="B61" s="6" t="s">
        <v>107</v>
      </c>
      <c r="C61" s="27"/>
      <c r="D61" s="32" t="n">
        <f aca="false">D58+D59</f>
        <v>1245</v>
      </c>
      <c r="E61" s="32" t="n">
        <f aca="false">E58+E59</f>
        <v>1247</v>
      </c>
      <c r="F61" s="32" t="n">
        <f aca="false">F58+F59</f>
        <v>1246</v>
      </c>
      <c r="G61" s="32" t="n">
        <f aca="false">G58+G59</f>
        <v>1246</v>
      </c>
      <c r="H61" s="32" t="n">
        <f aca="false">H58+H59</f>
        <v>1246</v>
      </c>
      <c r="I61" s="32" t="n">
        <f aca="false">I58+I59</f>
        <v>1246</v>
      </c>
      <c r="J61" s="32" t="n">
        <f aca="false">J58+J59</f>
        <v>1246</v>
      </c>
      <c r="K61" s="32" t="n">
        <f aca="false">K58+K59</f>
        <v>1246</v>
      </c>
      <c r="L61" s="32" t="n">
        <f aca="false">L58+L59</f>
        <v>1246</v>
      </c>
      <c r="M61" s="32" t="n">
        <f aca="false">M58+M59</f>
        <v>1246</v>
      </c>
      <c r="N61" s="32" t="n">
        <f aca="false">N58+N59</f>
        <v>1246</v>
      </c>
      <c r="O61" s="32" t="n">
        <f aca="false">O58+O59</f>
        <v>1246</v>
      </c>
      <c r="P61" s="32" t="n">
        <f aca="false">SUM(D61:O61)</f>
        <v>14952</v>
      </c>
      <c r="Q61" s="5"/>
      <c r="R61" s="5"/>
      <c r="V61" s="2"/>
      <c r="W61" s="2"/>
      <c r="X61" s="2"/>
    </row>
    <row r="62" customFormat="false" ht="12.6" hidden="false" customHeight="true" outlineLevel="0" collapsed="false">
      <c r="A62" s="2"/>
      <c r="C62" s="20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84" t="s">
        <v>108</v>
      </c>
      <c r="T62" s="5"/>
      <c r="U62" s="5"/>
      <c r="V62" s="2"/>
      <c r="W62" s="2"/>
      <c r="X62" s="2"/>
    </row>
    <row r="63" customFormat="false" ht="12.6" hidden="false" customHeight="true" outlineLevel="0" collapsed="false">
      <c r="A63" s="13" t="s">
        <v>109</v>
      </c>
      <c r="B63" s="14"/>
      <c r="C63" s="88"/>
      <c r="D63" s="89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"/>
      <c r="Q63" s="5"/>
      <c r="R63" s="5"/>
      <c r="S63" s="49" t="s">
        <v>110</v>
      </c>
      <c r="T63" s="2"/>
      <c r="U63" s="47" t="n">
        <v>0</v>
      </c>
      <c r="V63" s="2"/>
      <c r="W63" s="2"/>
      <c r="X63" s="2"/>
    </row>
    <row r="64" customFormat="false" ht="12.6" hidden="false" customHeight="true" outlineLevel="0" collapsed="false">
      <c r="A64" s="2"/>
      <c r="B64" s="79" t="s">
        <v>70</v>
      </c>
      <c r="C64" s="88"/>
      <c r="D64" s="89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5"/>
      <c r="Q64" s="5"/>
      <c r="R64" s="5"/>
      <c r="S64" s="49" t="s">
        <v>111</v>
      </c>
      <c r="T64" s="90"/>
      <c r="U64" s="47" t="n">
        <v>0</v>
      </c>
      <c r="V64" s="2"/>
      <c r="W64" s="2"/>
      <c r="X64" s="2"/>
    </row>
    <row r="65" customFormat="false" ht="12.6" hidden="false" customHeight="true" outlineLevel="0" collapsed="false">
      <c r="A65" s="2"/>
      <c r="B65" s="17" t="s">
        <v>112</v>
      </c>
      <c r="C65" s="88"/>
      <c r="D65" s="91" t="n">
        <f aca="false">+C8</f>
        <v>-870474</v>
      </c>
      <c r="E65" s="20" t="n">
        <f aca="false">D65+D68</f>
        <v>-921098</v>
      </c>
      <c r="F65" s="20" t="n">
        <f aca="false">+E65+E68</f>
        <v>-910947</v>
      </c>
      <c r="G65" s="20" t="n">
        <f aca="false">+F65+F68</f>
        <v>-943287</v>
      </c>
      <c r="H65" s="20" t="n">
        <f aca="false">+G65+G68</f>
        <v>-991151</v>
      </c>
      <c r="I65" s="20" t="n">
        <f aca="false">+H65+H68</f>
        <v>-1010335</v>
      </c>
      <c r="J65" s="20" t="n">
        <f aca="false">+I65+I68</f>
        <v>-1017305</v>
      </c>
      <c r="K65" s="20" t="n">
        <f aca="false">+J65+J68</f>
        <v>-1036705</v>
      </c>
      <c r="L65" s="20" t="n">
        <f aca="false">+K65+K68</f>
        <v>-1052605</v>
      </c>
      <c r="M65" s="20" t="n">
        <f aca="false">+L65+L68</f>
        <v>-1053205</v>
      </c>
      <c r="N65" s="20" t="n">
        <f aca="false">+M65+M68</f>
        <v>-1056605</v>
      </c>
      <c r="O65" s="20" t="n">
        <f aca="false">+N65+N68</f>
        <v>-1055105</v>
      </c>
      <c r="P65" s="20"/>
      <c r="Q65" s="5"/>
      <c r="R65" s="5"/>
      <c r="S65" s="49" t="s">
        <v>113</v>
      </c>
      <c r="T65" s="2"/>
      <c r="U65" s="47" t="n">
        <v>3437</v>
      </c>
      <c r="V65" s="2"/>
      <c r="W65" s="2"/>
      <c r="X65" s="2"/>
    </row>
    <row r="66" customFormat="false" ht="12.6" hidden="false" customHeight="true" outlineLevel="0" collapsed="false">
      <c r="A66" s="2"/>
      <c r="B66" s="17" t="s">
        <v>114</v>
      </c>
      <c r="C66" s="88"/>
      <c r="D66" s="92" t="n">
        <f aca="false">+C10</f>
        <v>573870</v>
      </c>
      <c r="E66" s="23" t="n">
        <f aca="false">+D66+D10-D47</f>
        <v>592862</v>
      </c>
      <c r="F66" s="23" t="n">
        <f aca="false">+E66+E10-E47</f>
        <v>611605</v>
      </c>
      <c r="G66" s="23" t="n">
        <f aca="false">+F66+F10-F47</f>
        <v>631220</v>
      </c>
      <c r="H66" s="23" t="n">
        <f aca="false">+G66+G10-G47</f>
        <v>631093</v>
      </c>
      <c r="I66" s="23" t="n">
        <f aca="false">+H66+H10-H47</f>
        <v>636737</v>
      </c>
      <c r="J66" s="23" t="n">
        <f aca="false">+I66+I10-I47</f>
        <v>649663</v>
      </c>
      <c r="K66" s="23" t="n">
        <f aca="false">+J66+J10-J47</f>
        <v>657877</v>
      </c>
      <c r="L66" s="23" t="n">
        <f aca="false">+K66+K10-K47</f>
        <v>663577</v>
      </c>
      <c r="M66" s="23" t="n">
        <f aca="false">+L66+L10-L47</f>
        <v>670177</v>
      </c>
      <c r="N66" s="23" t="n">
        <f aca="false">+M66+M10-M47</f>
        <v>689977</v>
      </c>
      <c r="O66" s="23" t="n">
        <f aca="false">+N66+N10-N47</f>
        <v>710277</v>
      </c>
      <c r="P66" s="20"/>
      <c r="Q66" s="33" t="n">
        <f aca="false">+O66-(D66+P10-O10)+(P55-O55)</f>
        <v>0</v>
      </c>
      <c r="R66" s="33"/>
      <c r="S66" s="49" t="s">
        <v>115</v>
      </c>
      <c r="T66" s="2"/>
      <c r="U66" s="47" t="n">
        <v>3438</v>
      </c>
      <c r="V66" s="2"/>
      <c r="W66" s="2"/>
      <c r="X66" s="2"/>
    </row>
    <row r="67" customFormat="false" ht="12.6" hidden="false" customHeight="true" outlineLevel="0" collapsed="false">
      <c r="A67" s="2"/>
      <c r="B67" s="17" t="s">
        <v>116</v>
      </c>
      <c r="D67" s="20" t="n">
        <f aca="false">SUM(D65:D66)</f>
        <v>-296604</v>
      </c>
      <c r="E67" s="20" t="n">
        <f aca="false">SUM(E65:E66)</f>
        <v>-328236</v>
      </c>
      <c r="F67" s="20" t="n">
        <f aca="false">SUM(F65:F66)</f>
        <v>-299342</v>
      </c>
      <c r="G67" s="20" t="n">
        <f aca="false">SUM(G65:G66)</f>
        <v>-312067</v>
      </c>
      <c r="H67" s="20" t="n">
        <f aca="false">SUM(H65:H66)</f>
        <v>-360058</v>
      </c>
      <c r="I67" s="20" t="n">
        <f aca="false">SUM(I65:I66)</f>
        <v>-373598</v>
      </c>
      <c r="J67" s="20" t="n">
        <f aca="false">SUM(J65:J66)</f>
        <v>-367642</v>
      </c>
      <c r="K67" s="20" t="n">
        <f aca="false">SUM(K65:K66)</f>
        <v>-378828</v>
      </c>
      <c r="L67" s="20" t="n">
        <f aca="false">SUM(L65:L66)</f>
        <v>-389028</v>
      </c>
      <c r="M67" s="20" t="n">
        <f aca="false">SUM(M65:M66)</f>
        <v>-383028</v>
      </c>
      <c r="N67" s="20" t="n">
        <f aca="false">SUM(N65:N66)</f>
        <v>-366628</v>
      </c>
      <c r="O67" s="20" t="n">
        <f aca="false">SUM(O65:O66)</f>
        <v>-344828</v>
      </c>
      <c r="Q67" s="5"/>
      <c r="R67" s="5"/>
      <c r="S67" s="49" t="s">
        <v>117</v>
      </c>
      <c r="U67" s="47" t="n">
        <v>5063</v>
      </c>
      <c r="V67" s="2"/>
      <c r="W67" s="2"/>
      <c r="X67" s="2"/>
    </row>
    <row r="68" customFormat="false" ht="12.6" hidden="false" customHeight="true" outlineLevel="0" collapsed="false">
      <c r="A68" s="2"/>
      <c r="B68" s="17" t="s">
        <v>118</v>
      </c>
      <c r="C68" s="5"/>
      <c r="D68" s="19" t="n">
        <f aca="false">+D9+D11</f>
        <v>-50624</v>
      </c>
      <c r="E68" s="19" t="n">
        <f aca="false">+E9+E11</f>
        <v>10151</v>
      </c>
      <c r="F68" s="19" t="n">
        <f aca="false">+F9+F11</f>
        <v>-32340</v>
      </c>
      <c r="G68" s="19" t="n">
        <f aca="false">+G9+G11</f>
        <v>-47864</v>
      </c>
      <c r="H68" s="19" t="n">
        <f aca="false">+H9+H11</f>
        <v>-19184</v>
      </c>
      <c r="I68" s="19" t="n">
        <f aca="false">+I9+I11</f>
        <v>-6970</v>
      </c>
      <c r="J68" s="19" t="n">
        <f aca="false">+J9+J11</f>
        <v>-19400</v>
      </c>
      <c r="K68" s="19" t="n">
        <f aca="false">+K9+K11</f>
        <v>-15900</v>
      </c>
      <c r="L68" s="19" t="n">
        <f aca="false">+L9+L11</f>
        <v>-600</v>
      </c>
      <c r="M68" s="19" t="n">
        <f aca="false">+M9+M11</f>
        <v>-3400</v>
      </c>
      <c r="N68" s="19" t="n">
        <f aca="false">+N9+N11</f>
        <v>1500</v>
      </c>
      <c r="O68" s="19" t="n">
        <f aca="false">+O9+O11</f>
        <v>-3700</v>
      </c>
      <c r="P68" s="20" t="n">
        <f aca="false">SUM(D68:O68)</f>
        <v>-188331</v>
      </c>
      <c r="Q68" s="33" t="n">
        <f aca="false">+P68+D65-O65-O68</f>
        <v>0</v>
      </c>
      <c r="R68" s="33"/>
      <c r="S68" s="49" t="s">
        <v>119</v>
      </c>
      <c r="T68" s="2"/>
      <c r="U68" s="47" t="n">
        <v>5062</v>
      </c>
      <c r="W68" s="2"/>
      <c r="X68" s="2"/>
    </row>
    <row r="69" customFormat="false" ht="12.6" hidden="false" customHeight="true" outlineLevel="0" collapsed="false">
      <c r="A69" s="2"/>
      <c r="B69" s="17" t="s">
        <v>76</v>
      </c>
      <c r="C69" s="5"/>
      <c r="D69" s="22" t="n">
        <v>0</v>
      </c>
      <c r="E69" s="22" t="n">
        <v>0</v>
      </c>
      <c r="F69" s="22" t="n">
        <v>0</v>
      </c>
      <c r="G69" s="22" t="n">
        <v>0</v>
      </c>
      <c r="H69" s="22" t="n">
        <v>0</v>
      </c>
      <c r="I69" s="22" t="n">
        <v>0</v>
      </c>
      <c r="J69" s="22" t="n">
        <v>0</v>
      </c>
      <c r="K69" s="22" t="n">
        <v>0</v>
      </c>
      <c r="L69" s="22" t="n">
        <v>0</v>
      </c>
      <c r="M69" s="22" t="n">
        <v>0</v>
      </c>
      <c r="N69" s="22" t="n">
        <v>0</v>
      </c>
      <c r="O69" s="22" t="n">
        <v>0</v>
      </c>
      <c r="P69" s="20" t="n">
        <f aca="false">SUM(D69:O69)</f>
        <v>0</v>
      </c>
      <c r="Q69" s="5"/>
      <c r="R69" s="5"/>
      <c r="S69" s="49" t="s">
        <v>120</v>
      </c>
      <c r="T69" s="2"/>
      <c r="U69" s="47" t="n">
        <v>8750</v>
      </c>
      <c r="W69" s="2"/>
      <c r="X69" s="2"/>
    </row>
    <row r="70" customFormat="false" ht="12.6" hidden="false" customHeight="true" outlineLevel="0" collapsed="false">
      <c r="A70" s="2"/>
      <c r="B70" s="17" t="s">
        <v>121</v>
      </c>
      <c r="C70" s="18"/>
      <c r="D70" s="23" t="n">
        <f aca="false">SUM(D67:D69)</f>
        <v>-347228</v>
      </c>
      <c r="E70" s="23" t="n">
        <f aca="false">SUM(E67:E69)</f>
        <v>-318085</v>
      </c>
      <c r="F70" s="23" t="n">
        <f aca="false">SUM(F67:F69)</f>
        <v>-331682</v>
      </c>
      <c r="G70" s="23" t="n">
        <f aca="false">SUM(G67:G69)</f>
        <v>-359931</v>
      </c>
      <c r="H70" s="23" t="n">
        <f aca="false">SUM(H67:H69)</f>
        <v>-379242</v>
      </c>
      <c r="I70" s="23" t="n">
        <f aca="false">SUM(I67:I69)</f>
        <v>-380568</v>
      </c>
      <c r="J70" s="23" t="n">
        <f aca="false">SUM(J67:J69)</f>
        <v>-387042</v>
      </c>
      <c r="K70" s="23" t="n">
        <f aca="false">SUM(K67:K69)</f>
        <v>-394728</v>
      </c>
      <c r="L70" s="23" t="n">
        <f aca="false">SUM(L67:L69)</f>
        <v>-389628</v>
      </c>
      <c r="M70" s="23" t="n">
        <f aca="false">SUM(M67:M69)</f>
        <v>-386428</v>
      </c>
      <c r="N70" s="23" t="n">
        <f aca="false">SUM(N67:N69)</f>
        <v>-365128</v>
      </c>
      <c r="O70" s="23" t="n">
        <f aca="false">SUM(O67:O69)</f>
        <v>-348528</v>
      </c>
      <c r="P70" s="20"/>
      <c r="Q70" s="5"/>
      <c r="R70" s="5"/>
      <c r="S70" s="49" t="s">
        <v>111</v>
      </c>
      <c r="T70" s="90"/>
      <c r="U70" s="22" t="n">
        <v>8750</v>
      </c>
      <c r="V70" s="20" t="n">
        <f aca="false">U59-SUM(U63:U70)</f>
        <v>0</v>
      </c>
      <c r="W70" s="2"/>
      <c r="X70" s="2"/>
    </row>
    <row r="71" customFormat="false" ht="3.95" hidden="false" customHeight="true" outlineLevel="0" collapsed="false">
      <c r="A71" s="2"/>
      <c r="B71" s="2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2"/>
      <c r="W71" s="2"/>
      <c r="X71" s="2"/>
    </row>
    <row r="72" customFormat="false" ht="12.6" hidden="false" customHeight="true" outlineLevel="0" collapsed="false">
      <c r="A72" s="2"/>
      <c r="B72" s="17" t="s">
        <v>80</v>
      </c>
      <c r="C72" s="15"/>
      <c r="D72" s="93" t="n">
        <f aca="false">ROUND((D67+D70)/1.95,0)</f>
        <v>-330170</v>
      </c>
      <c r="E72" s="93" t="n">
        <f aca="false">ROUND((E67+E70)/1.95,0)</f>
        <v>-331447</v>
      </c>
      <c r="F72" s="93" t="n">
        <f aca="false">ROUND((F67+F70)/1.95,0)</f>
        <v>-323602</v>
      </c>
      <c r="G72" s="93" t="n">
        <f aca="false">ROUND((G67+G70)/1.95,0)</f>
        <v>-344614</v>
      </c>
      <c r="H72" s="93" t="n">
        <f aca="false">ROUND((H67+H70)/1.95,0)</f>
        <v>-379128</v>
      </c>
      <c r="I72" s="93" t="n">
        <f aca="false">ROUND((I67+I70)/1.95,0)</f>
        <v>-386752</v>
      </c>
      <c r="J72" s="93" t="n">
        <f aca="false">ROUND((J67+J70)/1.95,0)</f>
        <v>-387017</v>
      </c>
      <c r="K72" s="93" t="n">
        <f aca="false">ROUND((K67+K70)/1.95,0)</f>
        <v>-396695</v>
      </c>
      <c r="L72" s="93" t="n">
        <f aca="false">ROUND((L67+L70)/1.95,0)</f>
        <v>-399311</v>
      </c>
      <c r="M72" s="93" t="n">
        <f aca="false">ROUND((M67+M70)/1.95,0)</f>
        <v>-394593</v>
      </c>
      <c r="N72" s="93" t="n">
        <f aca="false">ROUND((N67+N70)/1.95,0)</f>
        <v>-375259</v>
      </c>
      <c r="O72" s="93" t="n">
        <f aca="false">ROUND((O67+O70)/1.95,0)</f>
        <v>-355567</v>
      </c>
      <c r="P72" s="5"/>
      <c r="Q72" s="5"/>
      <c r="R72" s="5"/>
      <c r="S72" s="49" t="s">
        <v>122</v>
      </c>
      <c r="T72" s="5"/>
      <c r="U72" s="51" t="n">
        <f aca="false">SUM(U63:U70)</f>
        <v>34500</v>
      </c>
      <c r="V72" s="2"/>
      <c r="W72" s="2"/>
      <c r="X72" s="2"/>
    </row>
    <row r="73" customFormat="false" ht="12.6" hidden="false" customHeight="true" outlineLevel="0" collapsed="false">
      <c r="A73" s="2"/>
      <c r="B73" s="17" t="s">
        <v>123</v>
      </c>
      <c r="C73" s="25" t="n">
        <v>0.06</v>
      </c>
      <c r="D73" s="25" t="n">
        <v>0.0574</v>
      </c>
      <c r="E73" s="25" t="n">
        <v>0.0539</v>
      </c>
      <c r="F73" s="25" t="n">
        <v>0.05</v>
      </c>
      <c r="G73" s="25" t="n">
        <v>0.05</v>
      </c>
      <c r="H73" s="25" t="n">
        <v>0.0416</v>
      </c>
      <c r="I73" s="25" t="n">
        <v>0.0392</v>
      </c>
      <c r="J73" s="25" t="n">
        <v>0.0372</v>
      </c>
      <c r="K73" s="25" t="n">
        <v>0.036</v>
      </c>
      <c r="L73" s="25" t="n">
        <v>0.036</v>
      </c>
      <c r="M73" s="25" t="n">
        <v>0.036</v>
      </c>
      <c r="N73" s="25" t="n">
        <v>0.036</v>
      </c>
      <c r="O73" s="25" t="n">
        <v>0.036</v>
      </c>
      <c r="P73" s="5"/>
      <c r="Q73" s="5"/>
      <c r="R73" s="5"/>
      <c r="S73" s="5"/>
      <c r="T73" s="5"/>
      <c r="U73" s="5"/>
      <c r="V73" s="2"/>
      <c r="W73" s="2"/>
      <c r="X73" s="2"/>
    </row>
    <row r="74" customFormat="false" ht="3.95" hidden="false" customHeight="true" outlineLevel="0" collapsed="false">
      <c r="A74" s="2"/>
      <c r="B74" s="26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5"/>
      <c r="Q74" s="5"/>
      <c r="R74" s="5"/>
      <c r="S74" s="20"/>
      <c r="T74" s="2"/>
      <c r="U74" s="5"/>
      <c r="V74" s="2"/>
      <c r="W74" s="2"/>
      <c r="X74" s="2"/>
    </row>
    <row r="75" customFormat="false" ht="12.6" hidden="false" customHeight="true" outlineLevel="0" collapsed="false">
      <c r="A75" s="2"/>
      <c r="B75" s="17" t="s">
        <v>124</v>
      </c>
      <c r="C75" s="20" t="n">
        <f aca="false">ROUND((C70)*(C73*(31/365)),0)</f>
        <v>0</v>
      </c>
      <c r="D75" s="20" t="n">
        <f aca="false">ROUND((D72)*(D73*(31/365)),0)</f>
        <v>-1610</v>
      </c>
      <c r="E75" s="20" t="n">
        <f aca="false">ROUND((E72)*(E73*(28/365)),0)</f>
        <v>-1370</v>
      </c>
      <c r="F75" s="20" t="n">
        <f aca="false">ROUND((F72)*(F73*(31/365)),0)</f>
        <v>-1374</v>
      </c>
      <c r="G75" s="20" t="n">
        <f aca="false">ROUND((G72)*(G73*(30/365)),0)</f>
        <v>-1416</v>
      </c>
      <c r="H75" s="20" t="n">
        <f aca="false">ROUND((H72)*(H73*(31/365)),0)</f>
        <v>-1340</v>
      </c>
      <c r="I75" s="20" t="n">
        <f aca="false">ROUND((I72)*(I73*(30/365)),0)</f>
        <v>-1246</v>
      </c>
      <c r="J75" s="20" t="n">
        <f aca="false">ROUND((J72)*(J73*(31/365)),0)</f>
        <v>-1223</v>
      </c>
      <c r="K75" s="20" t="n">
        <f aca="false">ROUND((K72)*(K73*(31/365)),0)</f>
        <v>-1213</v>
      </c>
      <c r="L75" s="20" t="n">
        <f aca="false">ROUND((L72)*(L73*(30/365)),0)</f>
        <v>-1182</v>
      </c>
      <c r="M75" s="20" t="n">
        <f aca="false">ROUND((M72)*(M73*(31/365)),0)</f>
        <v>-1206</v>
      </c>
      <c r="N75" s="20" t="n">
        <f aca="false">ROUND((N72)*(N73*(30/365)),0)</f>
        <v>-1110</v>
      </c>
      <c r="O75" s="20" t="n">
        <f aca="false">ROUND((O72)*(O73*(31/365)),0)</f>
        <v>-1087</v>
      </c>
      <c r="P75" s="20" t="n">
        <f aca="false">SUM(D75:O75)</f>
        <v>-15377</v>
      </c>
      <c r="Q75" s="5"/>
      <c r="R75" s="5"/>
      <c r="S75" s="5"/>
      <c r="T75" s="5"/>
      <c r="U75" s="5"/>
      <c r="V75" s="2"/>
      <c r="W75" s="2"/>
      <c r="X75" s="2"/>
    </row>
    <row r="76" customFormat="false" ht="12.6" hidden="false" customHeight="true" outlineLevel="0" collapsed="false">
      <c r="A76" s="2"/>
      <c r="B76" s="17" t="s">
        <v>125</v>
      </c>
      <c r="C76" s="34"/>
      <c r="D76" s="74" t="n">
        <f aca="false">-5+1615</f>
        <v>1610</v>
      </c>
      <c r="E76" s="74" t="n">
        <f aca="false">-43+1413</f>
        <v>1370</v>
      </c>
      <c r="F76" s="74" t="n">
        <f aca="false">-1615-1413+39</f>
        <v>-2989</v>
      </c>
      <c r="G76" s="22" t="n">
        <v>-47</v>
      </c>
      <c r="H76" s="22" t="n">
        <v>52</v>
      </c>
      <c r="I76" s="22" t="n">
        <v>48</v>
      </c>
      <c r="J76" s="22" t="n">
        <v>28</v>
      </c>
      <c r="K76" s="22" t="n">
        <v>29</v>
      </c>
      <c r="L76" s="22" t="n">
        <v>47</v>
      </c>
      <c r="M76" s="22" t="n">
        <v>60</v>
      </c>
      <c r="N76" s="22" t="n">
        <v>58</v>
      </c>
      <c r="O76" s="22" t="n">
        <v>45</v>
      </c>
      <c r="P76" s="23" t="n">
        <f aca="false">SUM(D76:O76)</f>
        <v>311</v>
      </c>
      <c r="Q76" s="5"/>
      <c r="R76" s="5"/>
      <c r="S76" s="5"/>
      <c r="T76" s="5"/>
      <c r="U76" s="5"/>
      <c r="V76" s="2"/>
      <c r="W76" s="2"/>
      <c r="X76" s="2"/>
    </row>
    <row r="77" customFormat="false" ht="12.6" hidden="false" customHeight="true" outlineLevel="0" collapsed="false">
      <c r="A77" s="2"/>
      <c r="B77" s="31" t="s">
        <v>126</v>
      </c>
      <c r="C77" s="2"/>
      <c r="D77" s="20" t="n">
        <f aca="false">SUM(D75:D76)</f>
        <v>0</v>
      </c>
      <c r="E77" s="20" t="n">
        <f aca="false">SUM(E75:E76)</f>
        <v>0</v>
      </c>
      <c r="F77" s="20" t="n">
        <f aca="false">SUM(F75:F76)</f>
        <v>-4363</v>
      </c>
      <c r="G77" s="20" t="n">
        <f aca="false">SUM(G75:G76)</f>
        <v>-1463</v>
      </c>
      <c r="H77" s="20" t="n">
        <f aca="false">SUM(H75:H76)</f>
        <v>-1288</v>
      </c>
      <c r="I77" s="20" t="n">
        <f aca="false">SUM(I75:I76)</f>
        <v>-1198</v>
      </c>
      <c r="J77" s="20" t="n">
        <f aca="false">SUM(J75:J76)</f>
        <v>-1195</v>
      </c>
      <c r="K77" s="20" t="n">
        <f aca="false">SUM(K75:K76)</f>
        <v>-1184</v>
      </c>
      <c r="L77" s="20" t="n">
        <f aca="false">SUM(L75:L76)</f>
        <v>-1135</v>
      </c>
      <c r="M77" s="20" t="n">
        <f aca="false">SUM(M75:M76)</f>
        <v>-1146</v>
      </c>
      <c r="N77" s="20" t="n">
        <f aca="false">SUM(N75:N76)</f>
        <v>-1052</v>
      </c>
      <c r="O77" s="20" t="n">
        <f aca="false">SUM(O75:O76)</f>
        <v>-1042</v>
      </c>
      <c r="P77" s="20" t="n">
        <f aca="false">SUM(P75:P76)</f>
        <v>-15066</v>
      </c>
      <c r="Q77" s="5"/>
      <c r="R77" s="5"/>
      <c r="S77" s="5"/>
      <c r="T77" s="5"/>
      <c r="U77" s="5"/>
      <c r="V77" s="2"/>
      <c r="W77" s="2"/>
      <c r="X77" s="2"/>
    </row>
    <row r="78" customFormat="false" ht="12.6" hidden="false" customHeight="true" outlineLevel="0" collapsed="false">
      <c r="A78" s="2"/>
      <c r="B78" s="17" t="s">
        <v>127</v>
      </c>
      <c r="C78" s="5"/>
      <c r="D78" s="19" t="n">
        <f aca="false">ROUND((+$T$52*0.0675)*(30/360),0)</f>
        <v>844</v>
      </c>
      <c r="E78" s="19" t="n">
        <f aca="false">ROUND((+$T$52*0.0675)*(30/360),0)</f>
        <v>844</v>
      </c>
      <c r="F78" s="19" t="n">
        <f aca="false">ROUND((+$T$52*0.0675)*(30/360),0)</f>
        <v>844</v>
      </c>
      <c r="G78" s="18" t="n">
        <f aca="false">ROUND((+$T$52*0.0675)*(30/360),0)-1</f>
        <v>843</v>
      </c>
      <c r="H78" s="19" t="n">
        <f aca="false">ROUND((+$T$52*0.0675)*(30/360),0)</f>
        <v>844</v>
      </c>
      <c r="I78" s="19" t="n">
        <f aca="false">ROUND((+$T$52*0.0675)*(30/360),0)</f>
        <v>844</v>
      </c>
      <c r="J78" s="19" t="n">
        <f aca="false">ROUND((+$T$52*0.0675)*(30/360),0)</f>
        <v>844</v>
      </c>
      <c r="K78" s="18" t="n">
        <f aca="false">ROUND((+$T$52*0.0675)*(30/360),0)-1</f>
        <v>843</v>
      </c>
      <c r="L78" s="19" t="n">
        <f aca="false">ROUND((+$T$52*0.0675)*(30/360),0)</f>
        <v>844</v>
      </c>
      <c r="M78" s="19" t="n">
        <f aca="false">ROUND((+$T$52*0.0675)*(30/360),0)</f>
        <v>844</v>
      </c>
      <c r="N78" s="19" t="n">
        <f aca="false">ROUND((+$T$52*0.0675)*(30/360),0)</f>
        <v>844</v>
      </c>
      <c r="O78" s="18" t="n">
        <f aca="false">ROUND((+$T$52*0.0675)*(30/360),0)-1</f>
        <v>843</v>
      </c>
      <c r="P78" s="20" t="n">
        <f aca="false">SUM(D78:O78)</f>
        <v>10125</v>
      </c>
      <c r="Q78" s="5"/>
      <c r="R78" s="5"/>
      <c r="S78" s="5"/>
      <c r="T78" s="5"/>
      <c r="U78" s="5"/>
      <c r="V78" s="2"/>
      <c r="W78" s="2"/>
      <c r="X78" s="2"/>
    </row>
    <row r="79" customFormat="false" ht="12.6" hidden="false" customHeight="true" outlineLevel="0" collapsed="false">
      <c r="A79" s="2"/>
      <c r="B79" s="17" t="s">
        <v>128</v>
      </c>
      <c r="C79" s="5"/>
      <c r="D79" s="47" t="n">
        <v>11</v>
      </c>
      <c r="E79" s="47" t="n">
        <v>11</v>
      </c>
      <c r="F79" s="47" t="n">
        <v>11</v>
      </c>
      <c r="G79" s="47" t="n">
        <v>10</v>
      </c>
      <c r="H79" s="47" t="n">
        <v>11</v>
      </c>
      <c r="I79" s="47" t="n">
        <v>11</v>
      </c>
      <c r="J79" s="47" t="n">
        <v>11</v>
      </c>
      <c r="K79" s="47" t="n">
        <v>11</v>
      </c>
      <c r="L79" s="47" t="n">
        <v>11</v>
      </c>
      <c r="M79" s="47" t="n">
        <v>10</v>
      </c>
      <c r="N79" s="47" t="n">
        <v>11</v>
      </c>
      <c r="O79" s="47" t="n">
        <v>11</v>
      </c>
      <c r="P79" s="20" t="n">
        <f aca="false">SUM(D79:O79)</f>
        <v>130</v>
      </c>
      <c r="Q79" s="5"/>
      <c r="R79" s="5"/>
      <c r="S79" s="5"/>
      <c r="T79" s="5"/>
      <c r="U79" s="5"/>
      <c r="V79" s="2"/>
      <c r="W79" s="2"/>
      <c r="X79" s="2"/>
    </row>
    <row r="80" customFormat="false" ht="12.6" hidden="false" customHeight="true" outlineLevel="0" collapsed="false">
      <c r="A80" s="2"/>
      <c r="B80" s="17" t="s">
        <v>129</v>
      </c>
      <c r="C80" s="5"/>
      <c r="D80" s="61" t="n">
        <f aca="false">ROUND((+$T$52*0.0275)*(30/360),0)-344</f>
        <v>0</v>
      </c>
      <c r="E80" s="61" t="n">
        <f aca="false">ROUND((+$T$52*0.0275)*(30/360),0)-344</f>
        <v>0</v>
      </c>
      <c r="F80" s="61" t="n">
        <f aca="false">ROUND((+$T$52*0.0275)*(30/360),0)-344</f>
        <v>0</v>
      </c>
      <c r="G80" s="61" t="n">
        <f aca="false">ROUND((+$T$52*0.0275)*(30/360),0)-344</f>
        <v>0</v>
      </c>
      <c r="H80" s="61" t="n">
        <f aca="false">ROUND((+$T$52*0.0275)*(30/360),0)-344</f>
        <v>0</v>
      </c>
      <c r="I80" s="61" t="n">
        <f aca="false">ROUND((+$T$52*0.0275)*(30/360),0)-344</f>
        <v>0</v>
      </c>
      <c r="J80" s="61" t="n">
        <f aca="false">ROUND((+$T$52*0.0275)*(30/360),0)-344</f>
        <v>0</v>
      </c>
      <c r="K80" s="61" t="n">
        <f aca="false">ROUND((+$T$52*0.0275)*(30/360),0)-344</f>
        <v>0</v>
      </c>
      <c r="L80" s="61" t="n">
        <f aca="false">ROUND((+$T$52*0.0275)*(30/360),0)-344</f>
        <v>0</v>
      </c>
      <c r="M80" s="61" t="n">
        <f aca="false">ROUND((+$T$52*0.0275)*(30/360),0)-344</f>
        <v>0</v>
      </c>
      <c r="N80" s="61" t="n">
        <f aca="false">ROUND((+$T$52*0.0275)*(30/360),0)-344</f>
        <v>0</v>
      </c>
      <c r="O80" s="61" t="n">
        <f aca="false">ROUND((+$T$52*0.0275)*(30/360),0)-344+4125-4125</f>
        <v>0</v>
      </c>
      <c r="P80" s="23" t="n">
        <f aca="false">SUM(D80:O80)</f>
        <v>0</v>
      </c>
      <c r="Q80" s="5"/>
      <c r="R80" s="5"/>
      <c r="S80" s="5"/>
      <c r="T80" s="5"/>
      <c r="U80" s="5"/>
      <c r="V80" s="2"/>
      <c r="W80" s="2"/>
      <c r="X80" s="2"/>
    </row>
    <row r="81" customFormat="false" ht="3.95" hidden="false" customHeight="true" outlineLevel="0" collapsed="false">
      <c r="A81" s="2"/>
      <c r="B81" s="17"/>
      <c r="C81" s="5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5"/>
      <c r="R81" s="5"/>
      <c r="S81" s="5"/>
      <c r="T81" s="5"/>
      <c r="U81" s="5"/>
      <c r="V81" s="2"/>
      <c r="W81" s="2"/>
      <c r="X81" s="2"/>
    </row>
    <row r="82" customFormat="false" ht="12.6" hidden="false" customHeight="true" outlineLevel="0" collapsed="false">
      <c r="A82" s="2"/>
      <c r="B82" s="30" t="s">
        <v>130</v>
      </c>
      <c r="C82" s="5"/>
      <c r="D82" s="94" t="n">
        <f aca="false">SUM(D77:D80)</f>
        <v>855</v>
      </c>
      <c r="E82" s="94" t="n">
        <f aca="false">SUM(E77:E80)</f>
        <v>855</v>
      </c>
      <c r="F82" s="94" t="n">
        <f aca="false">SUM(F77:F80)</f>
        <v>-3508</v>
      </c>
      <c r="G82" s="94" t="n">
        <f aca="false">SUM(G77:G80)</f>
        <v>-610</v>
      </c>
      <c r="H82" s="94" t="n">
        <f aca="false">SUM(H77:H80)</f>
        <v>-433</v>
      </c>
      <c r="I82" s="94" t="n">
        <f aca="false">SUM(I77:I80)</f>
        <v>-343</v>
      </c>
      <c r="J82" s="94" t="n">
        <f aca="false">SUM(J77:J80)</f>
        <v>-340</v>
      </c>
      <c r="K82" s="94" t="n">
        <f aca="false">SUM(K77:K80)</f>
        <v>-330</v>
      </c>
      <c r="L82" s="94" t="n">
        <f aca="false">SUM(L77:L80)</f>
        <v>-280</v>
      </c>
      <c r="M82" s="94" t="n">
        <f aca="false">SUM(M77:M80)</f>
        <v>-292</v>
      </c>
      <c r="N82" s="94" t="n">
        <f aca="false">SUM(N77:N80)</f>
        <v>-197</v>
      </c>
      <c r="O82" s="94" t="n">
        <f aca="false">SUM(O77:O80)</f>
        <v>-188</v>
      </c>
      <c r="P82" s="94" t="n">
        <f aca="false">SUM(P77:P80)</f>
        <v>-4811</v>
      </c>
      <c r="Q82" s="33" t="n">
        <f aca="false">+P82-SUM(D82:O82)</f>
        <v>0</v>
      </c>
      <c r="R82" s="33"/>
      <c r="T82" s="5"/>
      <c r="U82" s="5"/>
      <c r="V82" s="2"/>
      <c r="W82" s="2"/>
      <c r="X82" s="2"/>
    </row>
    <row r="83" customFormat="false" ht="12.6" hidden="false" customHeight="true" outlineLevel="0" collapsed="false">
      <c r="A83" s="2"/>
      <c r="B83" s="17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5"/>
      <c r="Q83" s="5"/>
      <c r="R83" s="5"/>
      <c r="S83" s="5"/>
      <c r="T83" s="5"/>
      <c r="U83" s="39" t="n">
        <f aca="true">NOW()</f>
        <v>45926.9642537875</v>
      </c>
      <c r="V83" s="2"/>
      <c r="W83" s="2"/>
      <c r="X83" s="2"/>
    </row>
    <row r="84" customFormat="false" ht="12.6" hidden="false" customHeight="true" outlineLevel="0" collapsed="false">
      <c r="A84" s="95" t="str">
        <f aca="true">CELL("FILENAME")</f>
        <v>'file:///mnt/12tb/@roms/datasets/enron/EDRM Enron Email Data Set v2 XML/filtered-attachments/xls/DBTEQTY02.xls'#$NNG-3rd CE 2001</v>
      </c>
      <c r="B84" s="41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3"/>
      <c r="R84" s="33"/>
      <c r="T84" s="5"/>
      <c r="U84" s="42" t="n">
        <f aca="true">NOW()</f>
        <v>45926.9642537877</v>
      </c>
      <c r="V84" s="2"/>
      <c r="W84" s="2"/>
      <c r="X84" s="2"/>
    </row>
    <row r="85" customFormat="false" ht="12.8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customFormat="false" ht="12.8" hidden="false" customHeight="false" outlineLevel="0" collapsed="false">
      <c r="A86" s="2"/>
      <c r="B86" s="2"/>
      <c r="C86" s="2" t="n">
        <v>34</v>
      </c>
      <c r="D86" s="96" t="n">
        <f aca="false">+C86+D79</f>
        <v>45</v>
      </c>
      <c r="E86" s="96" t="n">
        <f aca="false">+D86+E79</f>
        <v>56</v>
      </c>
      <c r="F86" s="96" t="n">
        <f aca="false">+E86+F79</f>
        <v>67</v>
      </c>
      <c r="G86" s="96" t="n">
        <f aca="false">+F86+G79</f>
        <v>77</v>
      </c>
      <c r="H86" s="96" t="n">
        <f aca="false">+G86+H79</f>
        <v>88</v>
      </c>
      <c r="I86" s="96" t="n">
        <f aca="false">+H86+I79</f>
        <v>99</v>
      </c>
      <c r="J86" s="96" t="n">
        <f aca="false">+I86+J79</f>
        <v>110</v>
      </c>
      <c r="K86" s="96" t="n">
        <f aca="false">+J86+K79</f>
        <v>121</v>
      </c>
      <c r="L86" s="96" t="n">
        <f aca="false">+K86+L79</f>
        <v>132</v>
      </c>
      <c r="M86" s="96" t="n">
        <f aca="false">+L86+M79</f>
        <v>142</v>
      </c>
      <c r="N86" s="96" t="n">
        <f aca="false">+M86+N79</f>
        <v>153</v>
      </c>
      <c r="O86" s="96" t="n">
        <f aca="false">+N86+O79</f>
        <v>164</v>
      </c>
      <c r="P86" s="2"/>
      <c r="Q86" s="2"/>
      <c r="R86" s="2"/>
      <c r="S86" s="2"/>
      <c r="T86" s="2"/>
      <c r="U86" s="2"/>
      <c r="V86" s="2"/>
      <c r="W86" s="2"/>
      <c r="X86" s="2"/>
    </row>
    <row r="87" customFormat="false" ht="12.8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25" right="0.25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87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2" ySplit="3" topLeftCell="J7" activePane="bottomRight" state="frozen"/>
      <selection pane="topLeft" activeCell="A4" activeCellId="0" sqref="A4"/>
      <selection pane="topRight" activeCell="J4" activeCellId="0" sqref="J4"/>
      <selection pane="bottomLeft" activeCell="A7" activeCellId="0" sqref="A7"/>
      <selection pane="bottomRight" activeCell="K9" activeCellId="0" sqref="K9 K9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.82"/>
    <col collapsed="false" customWidth="true" hidden="false" outlineLevel="0" max="2" min="2" style="0" width="60.82"/>
    <col collapsed="false" customWidth="true" hidden="false" outlineLevel="0" max="3" min="3" style="0" width="13.82"/>
    <col collapsed="false" customWidth="true" hidden="false" outlineLevel="0" max="15" min="4" style="0" width="12.82"/>
    <col collapsed="false" customWidth="true" hidden="false" outlineLevel="0" max="16" min="16" style="0" width="13.82"/>
    <col collapsed="false" customWidth="true" hidden="false" outlineLevel="0" max="17" min="17" style="0" width="6.82"/>
    <col collapsed="false" customWidth="true" hidden="false" outlineLevel="0" max="18" min="18" style="0" width="4.82"/>
    <col collapsed="false" customWidth="true" hidden="false" outlineLevel="0" max="19" min="19" style="0" width="45.82"/>
    <col collapsed="false" customWidth="true" hidden="false" outlineLevel="0" max="20" min="20" style="0" width="11.82"/>
    <col collapsed="false" customWidth="true" hidden="false" outlineLevel="0" max="21" min="21" style="0" width="10.82"/>
  </cols>
  <sheetData>
    <row r="1" customFormat="false" ht="12.75" hidden="false" customHeight="true" outlineLevel="0" collapsed="false">
      <c r="A1" s="1" t="s">
        <v>131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</row>
    <row r="2" customFormat="false" ht="12.75" hidden="false" customHeight="true" outlineLevel="0" collapsed="false">
      <c r="A2" s="97" t="str">
        <f aca="false">+'NNG-3rd CE 2001'!A2</f>
        <v>2001 ACTUAL / ESTIMATE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2"/>
      <c r="W2" s="2"/>
      <c r="X2" s="2"/>
    </row>
    <row r="3" customFormat="false" ht="12.75" hidden="false" customHeight="true" outlineLevel="0" collapsed="false">
      <c r="A3" s="98" t="str">
        <f aca="false">+'NNG-3rd CE 2001'!A3</f>
        <v>INTERCOMPANY FINANCING CALCULATION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2"/>
      <c r="W3" s="2"/>
      <c r="X3" s="2"/>
    </row>
    <row r="4" customFormat="false" ht="12.6" hidden="false" customHeight="true" outlineLevel="0" collapsed="false">
      <c r="B4" s="99" t="str">
        <f aca="false">+'NNG-3rd CE 2001'!B4</f>
        <v>  " 3rd Current Estimate (9/19) "</v>
      </c>
      <c r="C4" s="100" t="str">
        <f aca="false">+'NNG-3rd CE 2001'!C4</f>
        <v>ACTUAL</v>
      </c>
      <c r="D4" s="7"/>
      <c r="E4" s="100"/>
      <c r="F4" s="2"/>
      <c r="G4" s="2"/>
      <c r="H4" s="100"/>
      <c r="J4" s="10"/>
      <c r="K4" s="100" t="str">
        <f aca="false">+'NNG-3rd CE 2001'!K4</f>
        <v>PRE</v>
      </c>
      <c r="L4" s="7"/>
      <c r="M4" s="7"/>
      <c r="N4" s="7"/>
      <c r="O4" s="7"/>
      <c r="P4" s="7"/>
      <c r="Q4" s="7"/>
      <c r="R4" s="5"/>
      <c r="S4" s="5"/>
      <c r="T4" s="16"/>
      <c r="U4" s="5"/>
      <c r="V4" s="2"/>
      <c r="W4" s="2"/>
      <c r="X4" s="2"/>
    </row>
    <row r="5" customFormat="false" ht="12.6" hidden="false" customHeight="true" outlineLevel="0" collapsed="false">
      <c r="B5" s="7"/>
      <c r="C5" s="100" t="str">
        <f aca="false">+'NNG-3rd CE 2001'!C5</f>
        <v>YEAR END</v>
      </c>
      <c r="D5" s="100" t="str">
        <f aca="false">+'NNG-3rd CE 2001'!D5</f>
        <v>ACT.</v>
      </c>
      <c r="E5" s="100" t="str">
        <f aca="false">+'NNG-3rd CE 2001'!E5</f>
        <v>ACT.</v>
      </c>
      <c r="F5" s="100" t="str">
        <f aca="false">+'NNG-3rd CE 2001'!F5</f>
        <v>ACT.</v>
      </c>
      <c r="G5" s="100" t="str">
        <f aca="false">+'NNG-3rd CE 2001'!G5</f>
        <v>ACT.</v>
      </c>
      <c r="H5" s="100" t="str">
        <f aca="false">+'NNG-3rd CE 2001'!H5</f>
        <v>ACT.</v>
      </c>
      <c r="I5" s="100" t="str">
        <f aca="false">+'NNG-3rd CE 2001'!I5</f>
        <v>ACT.</v>
      </c>
      <c r="J5" s="100" t="str">
        <f aca="false">+'NNG-3rd CE 2001'!J5</f>
        <v>ACT.</v>
      </c>
      <c r="K5" s="100" t="str">
        <f aca="false">+'NNG-3rd CE 2001'!K5</f>
        <v>ACT.</v>
      </c>
      <c r="L5" s="100" t="n">
        <f aca="false">+'NNG-3rd CE 2001'!L5</f>
        <v>0</v>
      </c>
      <c r="M5" s="100" t="n">
        <f aca="false">+'NNG-3rd CE 2001'!M5</f>
        <v>0</v>
      </c>
      <c r="N5" s="100" t="n">
        <f aca="false">+'NNG-3rd CE 2001'!N5</f>
        <v>0</v>
      </c>
      <c r="O5" s="100" t="n">
        <f aca="false">+'NNG-3rd CE 2001'!O5</f>
        <v>0</v>
      </c>
      <c r="P5" s="100" t="str">
        <f aca="false">+'NNG-3rd CE 2001'!P5</f>
        <v>YEAR END</v>
      </c>
      <c r="Q5" s="100"/>
      <c r="R5" s="5"/>
      <c r="S5" s="16"/>
      <c r="T5" s="16"/>
      <c r="U5" s="5"/>
      <c r="V5" s="2"/>
      <c r="W5" s="2"/>
      <c r="X5" s="2"/>
    </row>
    <row r="6" customFormat="false" ht="12.6" hidden="false" customHeight="true" outlineLevel="0" collapsed="false">
      <c r="B6" s="7"/>
      <c r="C6" s="101" t="str">
        <f aca="false">+'NNG-3rd CE 2001'!C6</f>
        <v>12/31/00</v>
      </c>
      <c r="D6" s="101" t="str">
        <f aca="false">+'NNG-3rd CE 2001'!D6</f>
        <v>JAN.</v>
      </c>
      <c r="E6" s="101" t="str">
        <f aca="false">+'NNG-3rd CE 2001'!E6</f>
        <v>FEB.</v>
      </c>
      <c r="F6" s="101" t="str">
        <f aca="false">+'NNG-3rd CE 2001'!F6</f>
        <v>MAR.</v>
      </c>
      <c r="G6" s="101" t="str">
        <f aca="false">+'NNG-3rd CE 2001'!G6</f>
        <v>APR.</v>
      </c>
      <c r="H6" s="101" t="str">
        <f aca="false">+'NNG-3rd CE 2001'!H6</f>
        <v>MAY</v>
      </c>
      <c r="I6" s="101" t="str">
        <f aca="false">+'NNG-3rd CE 2001'!I6</f>
        <v>JUNE</v>
      </c>
      <c r="J6" s="101" t="str">
        <f aca="false">+'NNG-3rd CE 2001'!J6</f>
        <v>JULY</v>
      </c>
      <c r="K6" s="101" t="str">
        <f aca="false">+'NNG-3rd CE 2001'!K6</f>
        <v>AUG.</v>
      </c>
      <c r="L6" s="101" t="str">
        <f aca="false">+'NNG-3rd CE 2001'!L6</f>
        <v>SEP.</v>
      </c>
      <c r="M6" s="101" t="str">
        <f aca="false">+'NNG-3rd CE 2001'!M6</f>
        <v>OCT.</v>
      </c>
      <c r="N6" s="101" t="str">
        <f aca="false">+'NNG-3rd CE 2001'!N6</f>
        <v>NOV.</v>
      </c>
      <c r="O6" s="101" t="str">
        <f aca="false">+'NNG-3rd CE 2001'!O6</f>
        <v>DEC.</v>
      </c>
      <c r="P6" s="101" t="str">
        <f aca="false">+'NNG-3rd CE 2001'!P6</f>
        <v>12/31/01</v>
      </c>
      <c r="Q6" s="101"/>
      <c r="R6" s="5"/>
      <c r="S6" s="45"/>
      <c r="T6" s="45"/>
      <c r="U6" s="5"/>
      <c r="V6" s="2"/>
      <c r="W6" s="2"/>
      <c r="X6" s="2"/>
    </row>
    <row r="7" customFormat="false" ht="12.6" hidden="false" customHeight="true" outlineLevel="0" collapsed="false">
      <c r="A7" s="102" t="e">
        <f aca="false">+</f>
        <v>#NAME?</v>
      </c>
      <c r="B7" s="7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2"/>
      <c r="R7" s="5"/>
      <c r="S7" s="45"/>
      <c r="T7" s="45"/>
      <c r="U7" s="5"/>
      <c r="V7" s="2"/>
      <c r="W7" s="2"/>
      <c r="X7" s="2"/>
    </row>
    <row r="8" customFormat="false" ht="12.6" hidden="false" customHeight="true" outlineLevel="0" collapsed="false">
      <c r="A8" s="2"/>
      <c r="B8" s="99" t="str">
        <f aca="false">+'NNG-3rd CE 2001'!B8</f>
        <v>Payable / (Receivable) Corp. - Beg. Balance</v>
      </c>
      <c r="C8" s="46" t="n">
        <v>-524956</v>
      </c>
      <c r="D8" s="20" t="n">
        <f aca="false">C15</f>
        <v>-378021</v>
      </c>
      <c r="E8" s="20" t="n">
        <f aca="false">D15</f>
        <v>-388644</v>
      </c>
      <c r="F8" s="20" t="n">
        <f aca="false">E15</f>
        <v>-399000</v>
      </c>
      <c r="G8" s="20" t="n">
        <f aca="false">F15</f>
        <v>-413673</v>
      </c>
      <c r="H8" s="20" t="n">
        <f aca="false">G15</f>
        <v>-407687</v>
      </c>
      <c r="I8" s="20" t="n">
        <f aca="false">H15</f>
        <v>-398228</v>
      </c>
      <c r="J8" s="20" t="n">
        <f aca="false">I15</f>
        <v>-265943</v>
      </c>
      <c r="K8" s="20" t="n">
        <f aca="false">J15</f>
        <v>-261881</v>
      </c>
      <c r="L8" s="20" t="n">
        <f aca="false">K15</f>
        <v>-272081</v>
      </c>
      <c r="M8" s="20" t="n">
        <f aca="false">L15</f>
        <v>-269081</v>
      </c>
      <c r="N8" s="20" t="n">
        <f aca="false">M15</f>
        <v>-272781</v>
      </c>
      <c r="O8" s="20" t="n">
        <f aca="false">N15</f>
        <v>-266781</v>
      </c>
      <c r="P8" s="5"/>
      <c r="Q8" s="5"/>
      <c r="R8" s="5"/>
      <c r="S8" s="2"/>
      <c r="T8" s="2"/>
      <c r="U8" s="5"/>
      <c r="V8" s="2"/>
      <c r="W8" s="2"/>
      <c r="X8" s="2"/>
    </row>
    <row r="9" customFormat="false" ht="12.6" hidden="false" customHeight="true" outlineLevel="0" collapsed="false">
      <c r="A9" s="2"/>
      <c r="B9" s="17" t="s">
        <v>132</v>
      </c>
      <c r="C9" s="5"/>
      <c r="D9" s="47" t="n">
        <v>-16843</v>
      </c>
      <c r="E9" s="47" t="n">
        <v>-18216</v>
      </c>
      <c r="F9" s="47" t="n">
        <v>-19681</v>
      </c>
      <c r="G9" s="47" t="n">
        <v>-11641</v>
      </c>
      <c r="H9" s="47" t="n">
        <v>4026</v>
      </c>
      <c r="I9" s="46" t="n">
        <f aca="false">-22714+150000</f>
        <v>127286</v>
      </c>
      <c r="J9" s="47" t="n">
        <v>-1246</v>
      </c>
      <c r="K9" s="47" t="n">
        <v>-15600</v>
      </c>
      <c r="L9" s="47" t="n">
        <v>-1900</v>
      </c>
      <c r="M9" s="47" t="n">
        <v>-5700</v>
      </c>
      <c r="N9" s="47" t="n">
        <v>200</v>
      </c>
      <c r="O9" s="47" t="n">
        <v>200</v>
      </c>
      <c r="P9" s="20" t="n">
        <f aca="false">SUM(D9:O9)</f>
        <v>40885</v>
      </c>
      <c r="Q9" s="20"/>
      <c r="R9" s="5"/>
      <c r="S9" s="16"/>
      <c r="T9" s="15"/>
      <c r="U9" s="5"/>
      <c r="V9" s="2"/>
      <c r="W9" s="2"/>
      <c r="X9" s="2"/>
    </row>
    <row r="10" customFormat="false" ht="12.6" hidden="false" customHeight="true" outlineLevel="0" collapsed="false">
      <c r="A10" s="2"/>
      <c r="B10" s="50" t="str">
        <f aca="false">+'NNG-3rd CE 2001'!B10</f>
        <v>   Pay. / (Rec.) - Corp. (Co.011) / Interco.Netting (Co.827) </v>
      </c>
      <c r="C10" s="46" t="n">
        <v>146935</v>
      </c>
      <c r="D10" s="47" t="n">
        <v>6220</v>
      </c>
      <c r="E10" s="47" t="n">
        <v>7860</v>
      </c>
      <c r="F10" s="47" t="n">
        <f aca="false">(8516-368)-5198+2058</f>
        <v>5008</v>
      </c>
      <c r="G10" s="47" t="n">
        <v>17627</v>
      </c>
      <c r="H10" s="47" t="n">
        <v>5433</v>
      </c>
      <c r="I10" s="47" t="n">
        <v>4999</v>
      </c>
      <c r="J10" s="47" t="n">
        <v>5308</v>
      </c>
      <c r="K10" s="47" t="n">
        <v>5400</v>
      </c>
      <c r="L10" s="47" t="n">
        <v>4900</v>
      </c>
      <c r="M10" s="47" t="n">
        <v>2000</v>
      </c>
      <c r="N10" s="47" t="n">
        <v>5800</v>
      </c>
      <c r="O10" s="47" t="n">
        <v>5400</v>
      </c>
      <c r="P10" s="20" t="n">
        <f aca="false">SUM(D10:O10)</f>
        <v>75955</v>
      </c>
      <c r="Q10" s="20"/>
      <c r="R10" s="5"/>
      <c r="S10" s="5"/>
      <c r="T10" s="5"/>
      <c r="U10" s="5"/>
      <c r="V10" s="2"/>
      <c r="W10" s="2"/>
      <c r="X10" s="2"/>
    </row>
    <row r="11" customFormat="false" ht="12.6" hidden="false" customHeight="true" outlineLevel="0" collapsed="false">
      <c r="A11" s="2"/>
      <c r="B11" s="50" t="str">
        <f aca="false">+'NNG-3rd CE 2001'!B11</f>
        <v>   Dividends to EPC </v>
      </c>
      <c r="C11" s="5"/>
      <c r="D11" s="20" t="n">
        <f aca="false">-D27</f>
        <v>-0</v>
      </c>
      <c r="E11" s="20" t="n">
        <f aca="false">-E27</f>
        <v>-0</v>
      </c>
      <c r="F11" s="20" t="n">
        <f aca="false">-F27</f>
        <v>-0</v>
      </c>
      <c r="G11" s="20" t="n">
        <f aca="false">-G27</f>
        <v>-0</v>
      </c>
      <c r="H11" s="20" t="n">
        <f aca="false">-H27</f>
        <v>-0</v>
      </c>
      <c r="I11" s="20" t="n">
        <f aca="false">-I27</f>
        <v>-0</v>
      </c>
      <c r="J11" s="20" t="n">
        <f aca="false">-J27</f>
        <v>-0</v>
      </c>
      <c r="K11" s="20" t="n">
        <f aca="false">-K27</f>
        <v>-0</v>
      </c>
      <c r="L11" s="20" t="n">
        <f aca="false">-L27</f>
        <v>-0</v>
      </c>
      <c r="M11" s="20" t="n">
        <f aca="false">-M27</f>
        <v>-0</v>
      </c>
      <c r="N11" s="20" t="n">
        <f aca="false">-N27</f>
        <v>-0</v>
      </c>
      <c r="O11" s="20" t="n">
        <f aca="false">-O27</f>
        <v>-0</v>
      </c>
      <c r="P11" s="20" t="n">
        <f aca="false">SUM(D11:O11)</f>
        <v>0</v>
      </c>
      <c r="Q11" s="20"/>
      <c r="R11" s="5"/>
      <c r="S11" s="15"/>
      <c r="T11" s="15"/>
      <c r="U11" s="5"/>
      <c r="V11" s="2"/>
      <c r="W11" s="2"/>
      <c r="X11" s="2"/>
    </row>
    <row r="12" customFormat="false" ht="12.6" hidden="false" customHeight="true" outlineLevel="0" collapsed="false">
      <c r="A12" s="2"/>
      <c r="B12" s="50" t="str">
        <f aca="false">+'NNG-3rd CE 2001'!B12</f>
        <v>   Other</v>
      </c>
      <c r="C12" s="5"/>
      <c r="D12" s="47" t="n">
        <v>0</v>
      </c>
      <c r="E12" s="47" t="n">
        <v>0</v>
      </c>
      <c r="F12" s="47" t="n">
        <v>0</v>
      </c>
      <c r="G12" s="47" t="n">
        <v>0</v>
      </c>
      <c r="H12" s="47" t="n">
        <v>0</v>
      </c>
      <c r="I12" s="47" t="n">
        <v>0</v>
      </c>
      <c r="J12" s="47" t="n">
        <v>0</v>
      </c>
      <c r="K12" s="47" t="n">
        <v>0</v>
      </c>
      <c r="L12" s="47" t="n">
        <v>0</v>
      </c>
      <c r="M12" s="47" t="n">
        <v>0</v>
      </c>
      <c r="N12" s="47" t="n">
        <v>0</v>
      </c>
      <c r="O12" s="47" t="n">
        <v>0</v>
      </c>
      <c r="P12" s="20" t="n">
        <f aca="false">SUM(D12:O12)</f>
        <v>0</v>
      </c>
      <c r="Q12" s="20"/>
      <c r="R12" s="5"/>
      <c r="S12" s="5"/>
      <c r="T12" s="5"/>
      <c r="U12" s="5"/>
      <c r="V12" s="2"/>
      <c r="W12" s="2"/>
      <c r="X12" s="2"/>
    </row>
    <row r="13" customFormat="false" ht="12.6" hidden="false" customHeight="true" outlineLevel="0" collapsed="false">
      <c r="A13" s="2"/>
      <c r="B13" s="50" t="str">
        <f aca="false">+'NNG-3rd CE 2001'!B13</f>
        <v>   Miscellaneous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5"/>
      <c r="Q13" s="5"/>
      <c r="R13" s="5"/>
      <c r="S13" s="5"/>
      <c r="T13" s="5"/>
      <c r="U13" s="5"/>
      <c r="V13" s="2"/>
      <c r="W13" s="2"/>
      <c r="X13" s="2"/>
    </row>
    <row r="14" customFormat="false" ht="3.95" hidden="false" customHeight="true" outlineLevel="0" collapsed="false">
      <c r="A14" s="2"/>
      <c r="B14" s="10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6"/>
      <c r="T14" s="20"/>
      <c r="U14" s="5"/>
      <c r="V14" s="2"/>
      <c r="W14" s="2"/>
      <c r="X14" s="2"/>
    </row>
    <row r="15" customFormat="false" ht="12.6" hidden="false" customHeight="true" outlineLevel="0" collapsed="false">
      <c r="A15" s="2"/>
      <c r="B15" s="50" t="str">
        <f aca="false">+'NNG-3rd CE 2001'!B15</f>
        <v>Payable / (Receivable) Corp. - End. Balance </v>
      </c>
      <c r="C15" s="23" t="n">
        <f aca="false">SUM(C8:C14)</f>
        <v>-378021</v>
      </c>
      <c r="D15" s="23" t="n">
        <f aca="false">SUM(D8:D14)</f>
        <v>-388644</v>
      </c>
      <c r="E15" s="23" t="n">
        <f aca="false">SUM(E8:E14)</f>
        <v>-399000</v>
      </c>
      <c r="F15" s="23" t="n">
        <f aca="false">SUM(F8:F14)</f>
        <v>-413673</v>
      </c>
      <c r="G15" s="23" t="n">
        <f aca="false">SUM(G8:G14)</f>
        <v>-407687</v>
      </c>
      <c r="H15" s="23" t="n">
        <f aca="false">SUM(H8:H14)</f>
        <v>-398228</v>
      </c>
      <c r="I15" s="23" t="n">
        <f aca="false">SUM(I8:I14)</f>
        <v>-265943</v>
      </c>
      <c r="J15" s="23" t="n">
        <f aca="false">SUM(J8:J14)</f>
        <v>-261881</v>
      </c>
      <c r="K15" s="23" t="n">
        <f aca="false">SUM(K8:K14)</f>
        <v>-272081</v>
      </c>
      <c r="L15" s="23" t="n">
        <f aca="false">SUM(L8:L14)</f>
        <v>-269081</v>
      </c>
      <c r="M15" s="23" t="n">
        <f aca="false">SUM(M8:M14)</f>
        <v>-272781</v>
      </c>
      <c r="N15" s="23" t="n">
        <f aca="false">SUM(N8:N14)</f>
        <v>-266781</v>
      </c>
      <c r="O15" s="23" t="n">
        <f aca="false">SUM(O8:O14)</f>
        <v>-261181</v>
      </c>
      <c r="P15" s="5"/>
      <c r="Q15" s="5"/>
      <c r="R15" s="5"/>
      <c r="S15" s="15"/>
      <c r="T15" s="23"/>
      <c r="U15" s="5"/>
      <c r="V15" s="2"/>
      <c r="W15" s="2"/>
      <c r="X15" s="2"/>
    </row>
    <row r="16" customFormat="false" ht="8.1" hidden="false" customHeight="true" outlineLevel="0" collapsed="false">
      <c r="A16" s="2"/>
      <c r="B16" s="2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2"/>
      <c r="T16" s="53"/>
      <c r="U16" s="54"/>
      <c r="V16" s="2"/>
      <c r="W16" s="2"/>
      <c r="X16" s="2"/>
    </row>
    <row r="17" customFormat="false" ht="12.6" hidden="false" customHeight="true" outlineLevel="0" collapsed="false">
      <c r="A17" s="2"/>
      <c r="B17" s="50" t="str">
        <f aca="false">+'NNG-3rd CE 2001'!B17</f>
        <v>Long Term Debt - Beginning Balance</v>
      </c>
      <c r="C17" s="47" t="n">
        <v>165450</v>
      </c>
      <c r="D17" s="20" t="n">
        <f aca="false">C23</f>
        <v>165450</v>
      </c>
      <c r="E17" s="20" t="n">
        <f aca="false">D23</f>
        <v>165450</v>
      </c>
      <c r="F17" s="20" t="n">
        <f aca="false">E23</f>
        <v>165450</v>
      </c>
      <c r="G17" s="20" t="n">
        <f aca="false">F23</f>
        <v>165450</v>
      </c>
      <c r="H17" s="20" t="n">
        <f aca="false">G23</f>
        <v>165450</v>
      </c>
      <c r="I17" s="20" t="n">
        <f aca="false">H23</f>
        <v>165450</v>
      </c>
      <c r="J17" s="20" t="n">
        <f aca="false">I23</f>
        <v>15450</v>
      </c>
      <c r="K17" s="20" t="n">
        <f aca="false">J23</f>
        <v>15450</v>
      </c>
      <c r="L17" s="20" t="n">
        <f aca="false">K23</f>
        <v>15450</v>
      </c>
      <c r="M17" s="20" t="n">
        <f aca="false">L23</f>
        <v>15450</v>
      </c>
      <c r="N17" s="20" t="n">
        <f aca="false">M23</f>
        <v>15450</v>
      </c>
      <c r="O17" s="20" t="n">
        <f aca="false">N23</f>
        <v>11600</v>
      </c>
      <c r="P17" s="5"/>
      <c r="Q17" s="5"/>
      <c r="R17" s="20"/>
      <c r="S17" s="55" t="s">
        <v>53</v>
      </c>
      <c r="T17" s="56" t="s">
        <v>54</v>
      </c>
      <c r="U17" s="57" t="s">
        <v>55</v>
      </c>
      <c r="V17" s="2"/>
      <c r="W17" s="2"/>
      <c r="X17" s="2"/>
    </row>
    <row r="18" customFormat="false" ht="12.6" hidden="false" customHeight="true" outlineLevel="0" collapsed="false">
      <c r="A18" s="2"/>
      <c r="B18" s="50" t="str">
        <f aca="false">+'NNG-3rd CE 2001'!B18</f>
        <v>   Principal - External</v>
      </c>
      <c r="C18" s="16"/>
      <c r="D18" s="47" t="n">
        <v>0</v>
      </c>
      <c r="E18" s="47" t="n">
        <v>0</v>
      </c>
      <c r="F18" s="47" t="n">
        <v>0</v>
      </c>
      <c r="G18" s="47" t="n">
        <v>0</v>
      </c>
      <c r="H18" s="104" t="n">
        <v>0</v>
      </c>
      <c r="I18" s="47" t="n">
        <v>0</v>
      </c>
      <c r="J18" s="47" t="n">
        <v>0</v>
      </c>
      <c r="K18" s="47" t="n">
        <v>0</v>
      </c>
      <c r="L18" s="47" t="n">
        <v>0</v>
      </c>
      <c r="M18" s="47" t="n">
        <v>0</v>
      </c>
      <c r="N18" s="47" t="n">
        <v>-3850</v>
      </c>
      <c r="O18" s="47" t="n">
        <v>0</v>
      </c>
      <c r="P18" s="5"/>
      <c r="Q18" s="5"/>
      <c r="R18" s="5"/>
      <c r="S18" s="58" t="s">
        <v>57</v>
      </c>
      <c r="T18" s="47" t="n">
        <v>146150</v>
      </c>
      <c r="U18" s="59" t="n">
        <f aca="false">ROUND(T18/T20,4)</f>
        <v>0.1296</v>
      </c>
      <c r="V18" s="2"/>
      <c r="W18" s="2"/>
      <c r="X18" s="2"/>
    </row>
    <row r="19" customFormat="false" ht="12.6" hidden="false" customHeight="true" outlineLevel="0" collapsed="false">
      <c r="A19" s="2"/>
      <c r="B19" s="50" t="str">
        <f aca="false">+'NNG-3rd CE 2001'!B19</f>
        <v>                 - Corporate</v>
      </c>
      <c r="C19" s="16"/>
      <c r="D19" s="47" t="n">
        <v>0</v>
      </c>
      <c r="E19" s="47" t="n">
        <v>0</v>
      </c>
      <c r="F19" s="47" t="n">
        <v>0</v>
      </c>
      <c r="G19" s="47" t="n">
        <v>0</v>
      </c>
      <c r="H19" s="47" t="n">
        <v>0</v>
      </c>
      <c r="I19" s="47" t="n">
        <v>-150000</v>
      </c>
      <c r="J19" s="47" t="n">
        <v>0</v>
      </c>
      <c r="K19" s="47" t="n">
        <v>0</v>
      </c>
      <c r="L19" s="47" t="n">
        <v>0</v>
      </c>
      <c r="M19" s="47" t="n">
        <v>0</v>
      </c>
      <c r="N19" s="47" t="n">
        <v>0</v>
      </c>
      <c r="O19" s="47" t="n">
        <v>0</v>
      </c>
      <c r="P19" s="5"/>
      <c r="Q19" s="5"/>
      <c r="R19" s="5"/>
      <c r="S19" s="60" t="s">
        <v>65</v>
      </c>
      <c r="T19" s="23" t="n">
        <f aca="false">L31</f>
        <v>981270</v>
      </c>
      <c r="U19" s="62" t="n">
        <f aca="false">ROUND(T19/T20,4)</f>
        <v>0.8704</v>
      </c>
      <c r="V19" s="2"/>
      <c r="W19" s="2"/>
      <c r="X19" s="2"/>
    </row>
    <row r="20" customFormat="false" ht="12.6" hidden="false" customHeight="true" outlineLevel="0" collapsed="false">
      <c r="A20" s="2"/>
      <c r="B20" s="50" t="str">
        <f aca="false">+'NNG-3rd CE 2001'!B20</f>
        <v>   Debt Discount</v>
      </c>
      <c r="C20" s="47" t="n">
        <v>0</v>
      </c>
      <c r="D20" s="33" t="n">
        <f aca="false">D53</f>
        <v>0</v>
      </c>
      <c r="E20" s="33" t="n">
        <f aca="false">E53</f>
        <v>0</v>
      </c>
      <c r="F20" s="33" t="n">
        <f aca="false">F53</f>
        <v>0</v>
      </c>
      <c r="G20" s="33" t="n">
        <f aca="false">G53</f>
        <v>0</v>
      </c>
      <c r="H20" s="33" t="n">
        <f aca="false">H53</f>
        <v>0</v>
      </c>
      <c r="I20" s="33" t="n">
        <f aca="false">I53</f>
        <v>0</v>
      </c>
      <c r="J20" s="33" t="n">
        <f aca="false">J53</f>
        <v>0</v>
      </c>
      <c r="K20" s="33" t="n">
        <f aca="false">K53</f>
        <v>0</v>
      </c>
      <c r="L20" s="33" t="n">
        <f aca="false">L53</f>
        <v>0</v>
      </c>
      <c r="M20" s="33" t="n">
        <f aca="false">M53</f>
        <v>0</v>
      </c>
      <c r="N20" s="33" t="n">
        <f aca="false">N53</f>
        <v>0</v>
      </c>
      <c r="O20" s="33" t="n">
        <f aca="false">O53</f>
        <v>0</v>
      </c>
      <c r="P20" s="5"/>
      <c r="Q20" s="5"/>
      <c r="R20" s="5"/>
      <c r="S20" s="60" t="s">
        <v>61</v>
      </c>
      <c r="T20" s="34" t="n">
        <f aca="false">T18+T19</f>
        <v>1127420</v>
      </c>
      <c r="U20" s="64" t="n">
        <f aca="false">U18+U19</f>
        <v>1</v>
      </c>
      <c r="V20" s="2"/>
      <c r="W20" s="2"/>
      <c r="X20" s="2"/>
    </row>
    <row r="21" customFormat="false" ht="12.6" hidden="false" customHeight="true" outlineLevel="0" collapsed="false">
      <c r="A21" s="2"/>
      <c r="B21" s="50" t="str">
        <f aca="false">+'NNG-3rd CE 2001'!B21</f>
        <v>   Miscellaneous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5"/>
      <c r="Q21" s="5"/>
      <c r="R21" s="20"/>
      <c r="S21" s="65"/>
      <c r="T21" s="66"/>
      <c r="U21" s="67"/>
      <c r="V21" s="2"/>
      <c r="W21" s="2"/>
      <c r="X21" s="2"/>
    </row>
    <row r="22" customFormat="false" ht="3.95" hidden="false" customHeight="true" outlineLevel="0" collapsed="false">
      <c r="A22" s="2"/>
      <c r="B22" s="2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6"/>
      <c r="T22" s="20"/>
      <c r="U22" s="5"/>
      <c r="V22" s="2"/>
      <c r="W22" s="2"/>
      <c r="X22" s="2"/>
    </row>
    <row r="23" customFormat="false" ht="12.6" hidden="false" customHeight="true" outlineLevel="0" collapsed="false">
      <c r="A23" s="2"/>
      <c r="B23" s="50" t="str">
        <f aca="false">+'NNG-3rd CE 2001'!B23</f>
        <v>Long Term Debt - Ending Balance</v>
      </c>
      <c r="C23" s="23" t="n">
        <f aca="false">SUM(C17:C22)</f>
        <v>165450</v>
      </c>
      <c r="D23" s="23" t="n">
        <f aca="false">SUM(D17:D20)</f>
        <v>165450</v>
      </c>
      <c r="E23" s="23" t="n">
        <f aca="false">SUM(E17:E21)</f>
        <v>165450</v>
      </c>
      <c r="F23" s="23" t="n">
        <f aca="false">SUM(F17:F21)</f>
        <v>165450</v>
      </c>
      <c r="G23" s="23" t="n">
        <f aca="false">SUM(G17:G21)</f>
        <v>165450</v>
      </c>
      <c r="H23" s="23" t="n">
        <f aca="false">SUM(H17:H21)</f>
        <v>165450</v>
      </c>
      <c r="I23" s="23" t="n">
        <f aca="false">SUM(I17:I21)</f>
        <v>15450</v>
      </c>
      <c r="J23" s="23" t="n">
        <f aca="false">SUM(J17:J21)</f>
        <v>15450</v>
      </c>
      <c r="K23" s="23" t="n">
        <f aca="false">SUM(K17:K21)</f>
        <v>15450</v>
      </c>
      <c r="L23" s="23" t="n">
        <f aca="false">SUM(L17:L21)</f>
        <v>15450</v>
      </c>
      <c r="M23" s="23" t="n">
        <f aca="false">SUM(M17:M21)</f>
        <v>15450</v>
      </c>
      <c r="N23" s="23" t="n">
        <f aca="false">SUM(N17:N21)</f>
        <v>11600</v>
      </c>
      <c r="O23" s="23" t="n">
        <f aca="false">SUM(O17:O21)</f>
        <v>11600</v>
      </c>
      <c r="P23" s="5"/>
      <c r="Q23" s="5"/>
      <c r="R23" s="20"/>
      <c r="S23" s="15"/>
      <c r="T23" s="68"/>
      <c r="U23" s="5"/>
      <c r="V23" s="2"/>
      <c r="W23" s="2"/>
      <c r="X23" s="2"/>
    </row>
    <row r="24" customFormat="false" ht="8.1" hidden="false" customHeight="true" outlineLevel="0" collapsed="false">
      <c r="A24" s="2"/>
      <c r="B24" s="2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0"/>
      <c r="S24" s="15"/>
      <c r="T24" s="5"/>
      <c r="U24" s="5"/>
      <c r="V24" s="2"/>
      <c r="W24" s="2"/>
      <c r="X24" s="2"/>
    </row>
    <row r="25" customFormat="false" ht="12.6" hidden="false" customHeight="true" outlineLevel="0" collapsed="false">
      <c r="A25" s="2"/>
      <c r="B25" s="50" t="str">
        <f aca="false">+'NNG-3rd CE 2001'!B25</f>
        <v>Equity - Beginning Balance</v>
      </c>
      <c r="C25" s="5"/>
      <c r="D25" s="20" t="n">
        <f aca="false">C31</f>
        <v>942827</v>
      </c>
      <c r="E25" s="20" t="n">
        <f aca="false">D31</f>
        <v>923268</v>
      </c>
      <c r="F25" s="20" t="n">
        <f aca="false">E31</f>
        <v>940277</v>
      </c>
      <c r="G25" s="20" t="n">
        <f aca="false">F31</f>
        <v>939317</v>
      </c>
      <c r="H25" s="20" t="n">
        <f aca="false">G31</f>
        <v>947471</v>
      </c>
      <c r="I25" s="20" t="n">
        <f aca="false">H31</f>
        <v>955049</v>
      </c>
      <c r="J25" s="20" t="n">
        <f aca="false">I31</f>
        <v>961345</v>
      </c>
      <c r="K25" s="20" t="n">
        <f aca="false">J31</f>
        <v>968260</v>
      </c>
      <c r="L25" s="20" t="n">
        <f aca="false">K31</f>
        <v>974712</v>
      </c>
      <c r="M25" s="20" t="n">
        <f aca="false">L31</f>
        <v>981270</v>
      </c>
      <c r="N25" s="20" t="n">
        <f aca="false">M31</f>
        <v>987268</v>
      </c>
      <c r="O25" s="20" t="n">
        <f aca="false">N31</f>
        <v>992754</v>
      </c>
      <c r="P25" s="5"/>
      <c r="Q25" s="5"/>
      <c r="R25" s="5"/>
      <c r="S25" s="2"/>
      <c r="T25" s="2"/>
      <c r="U25" s="5"/>
      <c r="V25" s="2"/>
      <c r="W25" s="2"/>
      <c r="X25" s="2"/>
    </row>
    <row r="26" customFormat="false" ht="12.6" hidden="false" customHeight="true" outlineLevel="0" collapsed="false">
      <c r="A26" s="2"/>
      <c r="B26" s="50" t="str">
        <f aca="false">+'NNG-3rd CE 2001'!B26</f>
        <v>   Net Income</v>
      </c>
      <c r="C26" s="5"/>
      <c r="D26" s="47" t="n">
        <v>6658</v>
      </c>
      <c r="E26" s="47" t="n">
        <v>8540</v>
      </c>
      <c r="F26" s="47" t="n">
        <v>3341</v>
      </c>
      <c r="G26" s="47" t="n">
        <v>8154</v>
      </c>
      <c r="H26" s="47" t="n">
        <v>7578</v>
      </c>
      <c r="I26" s="47" t="n">
        <v>6296</v>
      </c>
      <c r="J26" s="47" t="n">
        <v>6915</v>
      </c>
      <c r="K26" s="47" t="n">
        <v>6452</v>
      </c>
      <c r="L26" s="47" t="n">
        <v>6558</v>
      </c>
      <c r="M26" s="47" t="n">
        <v>5998</v>
      </c>
      <c r="N26" s="47" t="n">
        <v>5486</v>
      </c>
      <c r="O26" s="47" t="n">
        <v>5977</v>
      </c>
      <c r="P26" s="20" t="n">
        <f aca="false">SUM(D26:O26)</f>
        <v>77953</v>
      </c>
      <c r="Q26" s="20"/>
      <c r="R26" s="20"/>
      <c r="S26" s="105"/>
      <c r="T26" s="69"/>
      <c r="U26" s="106"/>
      <c r="V26" s="2"/>
      <c r="W26" s="2"/>
      <c r="X26" s="2"/>
    </row>
    <row r="27" customFormat="false" ht="12.6" hidden="false" customHeight="true" outlineLevel="0" collapsed="false">
      <c r="A27" s="2"/>
      <c r="B27" s="50" t="str">
        <f aca="false">+'NNG-3rd CE 2001'!B27</f>
        <v>   Dividends to EPC </v>
      </c>
      <c r="C27" s="16"/>
      <c r="D27" s="47" t="n">
        <v>0</v>
      </c>
      <c r="E27" s="47" t="n">
        <v>0</v>
      </c>
      <c r="F27" s="47" t="n">
        <v>0</v>
      </c>
      <c r="G27" s="47" t="n">
        <v>0</v>
      </c>
      <c r="H27" s="47" t="n">
        <v>0</v>
      </c>
      <c r="I27" s="47" t="n">
        <v>0</v>
      </c>
      <c r="J27" s="47" t="n">
        <v>0</v>
      </c>
      <c r="K27" s="47" t="n">
        <v>0</v>
      </c>
      <c r="L27" s="47" t="n">
        <v>0</v>
      </c>
      <c r="M27" s="47" t="n">
        <v>0</v>
      </c>
      <c r="N27" s="47" t="n">
        <v>0</v>
      </c>
      <c r="O27" s="47" t="n">
        <v>0</v>
      </c>
      <c r="P27" s="20" t="n">
        <f aca="false">SUM(D27:O27)</f>
        <v>0</v>
      </c>
      <c r="Q27" s="20"/>
      <c r="R27" s="5"/>
      <c r="S27" s="107"/>
      <c r="T27" s="70"/>
      <c r="U27" s="108"/>
      <c r="V27" s="2"/>
      <c r="W27" s="2"/>
      <c r="X27" s="2"/>
    </row>
    <row r="28" customFormat="false" ht="12.6" hidden="false" customHeight="true" outlineLevel="0" collapsed="false">
      <c r="A28" s="2"/>
      <c r="B28" s="31" t="s">
        <v>47</v>
      </c>
      <c r="C28" s="16"/>
      <c r="D28" s="47" t="n">
        <v>0</v>
      </c>
      <c r="E28" s="47" t="n">
        <v>0</v>
      </c>
      <c r="F28" s="47" t="n">
        <v>0</v>
      </c>
      <c r="G28" s="47" t="n">
        <v>0</v>
      </c>
      <c r="H28" s="47" t="n">
        <v>0</v>
      </c>
      <c r="I28" s="47" t="n">
        <v>0</v>
      </c>
      <c r="J28" s="47" t="n">
        <v>0</v>
      </c>
      <c r="K28" s="47" t="n">
        <v>0</v>
      </c>
      <c r="L28" s="47" t="n">
        <v>0</v>
      </c>
      <c r="M28" s="47" t="n">
        <v>0</v>
      </c>
      <c r="N28" s="47" t="n">
        <v>0</v>
      </c>
      <c r="O28" s="47" t="n">
        <v>0</v>
      </c>
      <c r="P28" s="20" t="n">
        <f aca="false">SUM(D28:O28)</f>
        <v>0</v>
      </c>
      <c r="Q28" s="20"/>
      <c r="R28" s="5"/>
      <c r="S28" s="107"/>
      <c r="T28" s="70"/>
      <c r="U28" s="108"/>
      <c r="V28" s="2"/>
      <c r="W28" s="2"/>
      <c r="X28" s="2"/>
    </row>
    <row r="29" customFormat="false" ht="12.6" hidden="false" customHeight="true" outlineLevel="0" collapsed="false">
      <c r="A29" s="2"/>
      <c r="B29" s="50" t="str">
        <f aca="false">+'NNG-3rd CE 2001'!B29</f>
        <v>   Misc. (FASB 133)</v>
      </c>
      <c r="C29" s="16"/>
      <c r="D29" s="22" t="n">
        <v>-26217</v>
      </c>
      <c r="E29" s="22" t="n">
        <v>8469</v>
      </c>
      <c r="F29" s="74" t="n">
        <f aca="false">-18333+14032</f>
        <v>-4301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0</v>
      </c>
      <c r="M29" s="22" t="n">
        <v>0</v>
      </c>
      <c r="N29" s="22" t="n">
        <v>0</v>
      </c>
      <c r="O29" s="22" t="n">
        <v>0</v>
      </c>
      <c r="P29" s="20" t="n">
        <f aca="false">SUM(D29:O29)</f>
        <v>-22049</v>
      </c>
      <c r="Q29" s="20"/>
      <c r="R29" s="5"/>
      <c r="S29" s="107"/>
      <c r="T29" s="71"/>
      <c r="U29" s="109"/>
      <c r="V29" s="2"/>
      <c r="W29" s="2"/>
      <c r="X29" s="2"/>
    </row>
    <row r="30" customFormat="false" ht="3.95" hidden="false" customHeight="true" outlineLevel="0" collapsed="false">
      <c r="A30" s="2"/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"/>
      <c r="Q30" s="2"/>
      <c r="R30" s="5"/>
      <c r="S30" s="110"/>
      <c r="T30" s="110"/>
      <c r="U30" s="110"/>
      <c r="V30" s="2"/>
      <c r="W30" s="2"/>
      <c r="X30" s="2"/>
    </row>
    <row r="31" customFormat="false" ht="12.6" hidden="false" customHeight="true" outlineLevel="0" collapsed="false">
      <c r="A31" s="2"/>
      <c r="B31" s="50" t="str">
        <f aca="false">+'NNG-3rd CE 2001'!B31</f>
        <v>Equity - Ending Balance</v>
      </c>
      <c r="C31" s="22" t="n">
        <v>942827</v>
      </c>
      <c r="D31" s="23" t="n">
        <f aca="false">SUM(D25:D29)</f>
        <v>923268</v>
      </c>
      <c r="E31" s="23" t="n">
        <f aca="false">SUM(E25:E29)</f>
        <v>940277</v>
      </c>
      <c r="F31" s="23" t="n">
        <f aca="false">SUM(F25:F29)</f>
        <v>939317</v>
      </c>
      <c r="G31" s="23" t="n">
        <f aca="false">SUM(G25:G29)</f>
        <v>947471</v>
      </c>
      <c r="H31" s="23" t="n">
        <f aca="false">SUM(H25:H29)</f>
        <v>955049</v>
      </c>
      <c r="I31" s="23" t="n">
        <f aca="false">SUM(I25:I29)</f>
        <v>961345</v>
      </c>
      <c r="J31" s="23" t="n">
        <f aca="false">SUM(J25:J29)</f>
        <v>968260</v>
      </c>
      <c r="K31" s="23" t="n">
        <f aca="false">SUM(K25:K29)</f>
        <v>974712</v>
      </c>
      <c r="L31" s="23" t="n">
        <f aca="false">SUM(L25:L29)</f>
        <v>981270</v>
      </c>
      <c r="M31" s="23" t="n">
        <f aca="false">SUM(M25:M29)</f>
        <v>987268</v>
      </c>
      <c r="N31" s="23" t="n">
        <f aca="false">SUM(N25:N29)</f>
        <v>992754</v>
      </c>
      <c r="O31" s="23" t="n">
        <f aca="false">SUM(O25:O29)</f>
        <v>998731</v>
      </c>
      <c r="P31" s="20" t="n">
        <f aca="false">SUM(P26:P29)</f>
        <v>55904</v>
      </c>
      <c r="Q31" s="20"/>
      <c r="R31" s="5"/>
      <c r="S31" s="2"/>
      <c r="T31" s="2"/>
      <c r="U31" s="2"/>
      <c r="V31" s="2"/>
      <c r="W31" s="2"/>
      <c r="X31" s="2"/>
    </row>
    <row r="32" customFormat="false" ht="3.95" hidden="false" customHeight="true" outlineLevel="0" collapsed="false">
      <c r="A32" s="2"/>
      <c r="B32" s="2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2"/>
      <c r="T32" s="2"/>
      <c r="U32" s="2"/>
      <c r="V32" s="2"/>
      <c r="W32" s="2"/>
      <c r="X32" s="2"/>
    </row>
    <row r="33" customFormat="false" ht="12.6" hidden="false" customHeight="true" outlineLevel="0" collapsed="false">
      <c r="A33" s="2"/>
      <c r="B33" s="50" t="str">
        <f aca="false">+'NNG-3rd CE 2001'!B33</f>
        <v>      Total Debt / Equity</v>
      </c>
      <c r="C33" s="34" t="n">
        <f aca="false">C15+C23+C31</f>
        <v>730256</v>
      </c>
      <c r="D33" s="34" t="n">
        <f aca="false">D15+D23+D31</f>
        <v>700074</v>
      </c>
      <c r="E33" s="34" t="n">
        <f aca="false">E15+E23+E31</f>
        <v>706727</v>
      </c>
      <c r="F33" s="34" t="n">
        <f aca="false">F15+F23+F31</f>
        <v>691094</v>
      </c>
      <c r="G33" s="34" t="n">
        <f aca="false">G15+G23+G31</f>
        <v>705234</v>
      </c>
      <c r="H33" s="34" t="n">
        <f aca="false">H15+H23+H31</f>
        <v>722271</v>
      </c>
      <c r="I33" s="34" t="n">
        <f aca="false">I15+I23+I31</f>
        <v>710852</v>
      </c>
      <c r="J33" s="34" t="n">
        <f aca="false">J15+J23+J31</f>
        <v>721829</v>
      </c>
      <c r="K33" s="34" t="n">
        <f aca="false">K15+K23+K31</f>
        <v>718081</v>
      </c>
      <c r="L33" s="34" t="n">
        <f aca="false">L15+L23+L31</f>
        <v>727639</v>
      </c>
      <c r="M33" s="34" t="n">
        <f aca="false">M15+M23+M31</f>
        <v>729937</v>
      </c>
      <c r="N33" s="34" t="n">
        <f aca="false">N15+N23+N31</f>
        <v>737573</v>
      </c>
      <c r="O33" s="34" t="n">
        <f aca="false">O15+O23+O31</f>
        <v>749150</v>
      </c>
      <c r="P33" s="5"/>
      <c r="Q33" s="5"/>
      <c r="R33" s="5"/>
      <c r="S33" s="2"/>
      <c r="T33" s="2"/>
      <c r="U33" s="2"/>
      <c r="V33" s="2"/>
      <c r="W33" s="2"/>
      <c r="X33" s="2"/>
    </row>
    <row r="34" customFormat="false" ht="8.1" hidden="false" customHeight="true" outlineLevel="0" collapsed="false">
      <c r="A34" s="2"/>
      <c r="B34" s="2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2"/>
      <c r="T34" s="2"/>
      <c r="U34" s="2"/>
      <c r="V34" s="2"/>
      <c r="W34" s="2"/>
      <c r="X34" s="2"/>
    </row>
    <row r="35" customFormat="false" ht="6" hidden="false" customHeight="true" outlineLevel="0" collapsed="false">
      <c r="A35" s="75"/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8"/>
      <c r="Q35" s="78"/>
      <c r="R35" s="78"/>
      <c r="S35" s="78"/>
      <c r="T35" s="78"/>
      <c r="U35" s="78"/>
      <c r="V35" s="2"/>
      <c r="W35" s="2"/>
      <c r="X35" s="2"/>
    </row>
    <row r="36" customFormat="false" ht="8.1" hidden="false" customHeight="true" outlineLevel="0" collapsed="false">
      <c r="B36" s="7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5"/>
      <c r="S36" s="45"/>
      <c r="T36" s="45"/>
      <c r="U36" s="5"/>
      <c r="V36" s="2"/>
      <c r="W36" s="2"/>
      <c r="X36" s="2"/>
    </row>
    <row r="37" customFormat="false" ht="12.6" hidden="false" customHeight="true" outlineLevel="0" collapsed="false">
      <c r="A37" s="102" t="str">
        <f aca="false">+'NNG-3rd CE 2001'!A37:B37</f>
        <v>Revised Plan - Financing Costs (Below The Line)  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2"/>
      <c r="T37" s="2"/>
      <c r="U37" s="2"/>
      <c r="V37" s="2"/>
      <c r="W37" s="2"/>
      <c r="X37" s="2"/>
    </row>
    <row r="38" customFormat="false" ht="12.6" hidden="false" customHeight="true" outlineLevel="0" collapsed="false">
      <c r="A38" s="99" t="n">
        <f aca="false">+'NNG-3rd CE 2001'!A38</f>
        <v>0</v>
      </c>
      <c r="B38" s="111" t="str">
        <f aca="false">+'NNG-3rd CE 2001'!B38</f>
        <v>Short Term Interest Expense / (Income)  </v>
      </c>
      <c r="C38" s="11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5"/>
      <c r="Q38" s="5"/>
      <c r="R38" s="5"/>
      <c r="U38" s="2"/>
      <c r="V38" s="2"/>
      <c r="W38" s="2"/>
      <c r="X38" s="2"/>
      <c r="AB38" s="80" t="s">
        <v>71</v>
      </c>
      <c r="AC38" s="2"/>
    </row>
    <row r="39" customFormat="false" ht="12.6" hidden="false" customHeight="true" outlineLevel="0" collapsed="false">
      <c r="B39" s="50" t="str">
        <f aca="false">+'NNG-3rd CE 2001'!B39</f>
        <v>   Payable / (Receivable) Corp. - Beg. Balance</v>
      </c>
      <c r="C39" s="5"/>
      <c r="D39" s="20" t="n">
        <f aca="false">+C42</f>
        <v>0</v>
      </c>
      <c r="E39" s="20" t="n">
        <f aca="false">+D42</f>
        <v>0</v>
      </c>
      <c r="F39" s="20" t="n">
        <f aca="false">+E42</f>
        <v>0</v>
      </c>
      <c r="G39" s="20" t="n">
        <f aca="false">+F42</f>
        <v>0</v>
      </c>
      <c r="H39" s="20" t="n">
        <f aca="false">+G42</f>
        <v>0</v>
      </c>
      <c r="I39" s="20" t="n">
        <f aca="false">+H42</f>
        <v>0</v>
      </c>
      <c r="J39" s="20" t="n">
        <f aca="false">+I42</f>
        <v>0</v>
      </c>
      <c r="K39" s="20" t="n">
        <f aca="false">+J42</f>
        <v>0</v>
      </c>
      <c r="L39" s="20" t="n">
        <f aca="false">+K42</f>
        <v>0</v>
      </c>
      <c r="M39" s="20" t="n">
        <f aca="false">+L42</f>
        <v>0</v>
      </c>
      <c r="N39" s="20" t="n">
        <f aca="false">+M42</f>
        <v>0</v>
      </c>
      <c r="O39" s="20" t="n">
        <f aca="false">+N42</f>
        <v>0</v>
      </c>
      <c r="P39" s="5"/>
      <c r="Q39" s="5"/>
      <c r="R39" s="5"/>
      <c r="U39" s="2"/>
      <c r="V39" s="2"/>
      <c r="W39" s="2"/>
      <c r="X39" s="2"/>
      <c r="AB39" s="31" t="s">
        <v>133</v>
      </c>
      <c r="AC39" s="33" t="n">
        <f aca="false">ROUND(12465*0.6112,0)</f>
        <v>7619</v>
      </c>
    </row>
    <row r="40" customFormat="false" ht="12.6" hidden="false" customHeight="true" outlineLevel="0" collapsed="false">
      <c r="B40" s="50" t="str">
        <f aca="false">+'NNG-3rd CE 2001'!B40</f>
        <v>      Short Term Interest Expense / (Income) </v>
      </c>
      <c r="C40" s="5"/>
      <c r="D40" s="20" t="n">
        <f aca="false">+C47</f>
        <v>0</v>
      </c>
      <c r="E40" s="20" t="n">
        <f aca="false">+D47</f>
        <v>0</v>
      </c>
      <c r="F40" s="20" t="n">
        <f aca="false">+E47</f>
        <v>0</v>
      </c>
      <c r="G40" s="20" t="n">
        <f aca="false">+F47</f>
        <v>0</v>
      </c>
      <c r="H40" s="20" t="n">
        <f aca="false">+G47</f>
        <v>0</v>
      </c>
      <c r="I40" s="20" t="n">
        <f aca="false">+H47</f>
        <v>0</v>
      </c>
      <c r="J40" s="20" t="n">
        <f aca="false">+I47</f>
        <v>0</v>
      </c>
      <c r="K40" s="20" t="n">
        <f aca="false">+J47</f>
        <v>0</v>
      </c>
      <c r="L40" s="20" t="n">
        <f aca="false">+K47</f>
        <v>0</v>
      </c>
      <c r="M40" s="20" t="n">
        <f aca="false">+L47</f>
        <v>0</v>
      </c>
      <c r="N40" s="20" t="n">
        <f aca="false">+M47</f>
        <v>0</v>
      </c>
      <c r="O40" s="20" t="n">
        <f aca="false">+N47</f>
        <v>0</v>
      </c>
      <c r="P40" s="20" t="n">
        <f aca="false">SUM(D40:O40)</f>
        <v>0</v>
      </c>
      <c r="Q40" s="20"/>
      <c r="R40" s="5"/>
      <c r="U40" s="2"/>
      <c r="V40" s="2"/>
      <c r="W40" s="2"/>
      <c r="X40" s="2"/>
      <c r="AB40" s="31" t="s">
        <v>134</v>
      </c>
      <c r="AC40" s="33" t="n">
        <f aca="false">-ROUND((12465-11229)*0.6112,0)</f>
        <v>-755</v>
      </c>
    </row>
    <row r="41" customFormat="false" ht="12.6" hidden="false" customHeight="true" outlineLevel="0" collapsed="false">
      <c r="B41" s="50" t="str">
        <f aca="false">+'NNG-3rd CE 2001'!B41</f>
        <v>      Interco. Cash Adjustment (Inc.) / Dec.</v>
      </c>
      <c r="C41" s="5"/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0</v>
      </c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20" t="n">
        <f aca="false">SUM(D41:O41)</f>
        <v>0</v>
      </c>
      <c r="Q41" s="20"/>
      <c r="R41" s="5"/>
      <c r="U41" s="5"/>
      <c r="V41" s="5"/>
      <c r="W41" s="2"/>
      <c r="X41" s="2"/>
      <c r="AB41" s="31" t="s">
        <v>135</v>
      </c>
      <c r="AC41" s="33" t="n">
        <f aca="false">-ROUND((11229-10712)*0.6112,0)</f>
        <v>-316</v>
      </c>
    </row>
    <row r="42" customFormat="false" ht="12.6" hidden="false" customHeight="true" outlineLevel="0" collapsed="false">
      <c r="B42" s="50" t="str">
        <f aca="false">+'NNG-3rd CE 2001'!B42</f>
        <v>   Payable / (Receivable) Corp. - End. Balance</v>
      </c>
      <c r="C42" s="21" t="n">
        <f aca="false">-202572+20087+8806+(-10421-10421-10421)+204942</f>
        <v>0</v>
      </c>
      <c r="D42" s="23" t="n">
        <f aca="false">SUM(D39:D41)</f>
        <v>0</v>
      </c>
      <c r="E42" s="23" t="n">
        <f aca="false">SUM(E39:E41)</f>
        <v>0</v>
      </c>
      <c r="F42" s="23" t="n">
        <f aca="false">SUM(F39:F41)</f>
        <v>0</v>
      </c>
      <c r="G42" s="23" t="n">
        <f aca="false">SUM(G39:G41)</f>
        <v>0</v>
      </c>
      <c r="H42" s="23" t="n">
        <f aca="false">SUM(H39:H41)</f>
        <v>0</v>
      </c>
      <c r="I42" s="23" t="n">
        <f aca="false">SUM(I39:I41)</f>
        <v>0</v>
      </c>
      <c r="J42" s="23" t="n">
        <f aca="false">SUM(J39:J41)</f>
        <v>0</v>
      </c>
      <c r="K42" s="23" t="n">
        <f aca="false">SUM(K39:K41)</f>
        <v>0</v>
      </c>
      <c r="L42" s="23" t="n">
        <f aca="false">SUM(L39:L41)</f>
        <v>0</v>
      </c>
      <c r="M42" s="23" t="n">
        <f aca="false">SUM(M39:M41)</f>
        <v>0</v>
      </c>
      <c r="N42" s="23" t="n">
        <f aca="false">SUM(N39:N41)</f>
        <v>0</v>
      </c>
      <c r="O42" s="23" t="n">
        <f aca="false">SUM(O39:O41)</f>
        <v>0</v>
      </c>
      <c r="P42" s="20"/>
      <c r="Q42" s="20"/>
      <c r="R42" s="5"/>
      <c r="U42" s="2"/>
      <c r="V42" s="2"/>
      <c r="W42" s="2"/>
      <c r="X42" s="2"/>
      <c r="AB42" s="31" t="s">
        <v>136</v>
      </c>
      <c r="AC42" s="33" t="n">
        <f aca="false">ROUND((600)*0.6112,0)</f>
        <v>367</v>
      </c>
    </row>
    <row r="43" customFormat="false" ht="3.95" hidden="false" customHeight="tru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2"/>
      <c r="T43" s="2"/>
      <c r="U43" s="2"/>
      <c r="V43" s="2"/>
      <c r="W43" s="2"/>
      <c r="X43" s="2"/>
    </row>
    <row r="44" customFormat="false" ht="12.6" hidden="false" customHeight="true" outlineLevel="0" collapsed="false">
      <c r="B44" s="50" t="str">
        <f aca="false">+'NNG-3rd CE 2001'!B44</f>
        <v>         Average Monthly Balance</v>
      </c>
      <c r="C44" s="15"/>
      <c r="D44" s="20" t="n">
        <f aca="false">ROUND((+D42),0)</f>
        <v>0</v>
      </c>
      <c r="E44" s="20" t="n">
        <f aca="false">ROUND((+E42),0)</f>
        <v>0</v>
      </c>
      <c r="F44" s="20" t="n">
        <f aca="false">ROUND((+F42),0)</f>
        <v>0</v>
      </c>
      <c r="G44" s="20" t="n">
        <f aca="false">ROUND((+G42),0)</f>
        <v>0</v>
      </c>
      <c r="H44" s="20" t="n">
        <f aca="false">ROUND((+H42),0)</f>
        <v>0</v>
      </c>
      <c r="I44" s="20" t="n">
        <f aca="false">ROUND((+I42),0)</f>
        <v>0</v>
      </c>
      <c r="J44" s="20" t="n">
        <f aca="false">ROUND((+J42),0)</f>
        <v>0</v>
      </c>
      <c r="K44" s="20" t="n">
        <f aca="false">ROUND((+K42),0)</f>
        <v>0</v>
      </c>
      <c r="L44" s="20" t="n">
        <f aca="false">ROUND((+L42),0)</f>
        <v>0</v>
      </c>
      <c r="M44" s="20" t="n">
        <f aca="false">ROUND((+M42),0)</f>
        <v>0</v>
      </c>
      <c r="N44" s="20" t="n">
        <f aca="false">ROUND((+N42),0)</f>
        <v>0</v>
      </c>
      <c r="O44" s="20" t="n">
        <f aca="false">ROUND((+O42),0)</f>
        <v>0</v>
      </c>
      <c r="P44" s="5"/>
      <c r="Q44" s="5"/>
      <c r="R44" s="5"/>
      <c r="S44" s="2"/>
      <c r="T44" s="2"/>
      <c r="U44" s="2"/>
      <c r="V44" s="2"/>
      <c r="W44" s="2"/>
      <c r="X44" s="2"/>
    </row>
    <row r="45" customFormat="false" ht="12.6" hidden="false" customHeight="true" outlineLevel="0" collapsed="false">
      <c r="B45" s="50" t="str">
        <f aca="false">+'NNG-3rd CE 2001'!B45</f>
        <v>   Avg. Short Term Interest Rate (LIBOR-%)</v>
      </c>
      <c r="C45" s="113" t="n">
        <v>0.06</v>
      </c>
      <c r="D45" s="113" t="n">
        <v>0.06</v>
      </c>
      <c r="E45" s="113" t="n">
        <v>0.06</v>
      </c>
      <c r="F45" s="113" t="n">
        <v>0.06</v>
      </c>
      <c r="G45" s="113" t="n">
        <v>0.06</v>
      </c>
      <c r="H45" s="113" t="n">
        <v>0.06</v>
      </c>
      <c r="I45" s="113" t="n">
        <v>0.06</v>
      </c>
      <c r="J45" s="113" t="n">
        <v>0.06</v>
      </c>
      <c r="K45" s="113" t="n">
        <v>0.06</v>
      </c>
      <c r="L45" s="113" t="n">
        <v>0.06</v>
      </c>
      <c r="M45" s="113" t="n">
        <v>0.06</v>
      </c>
      <c r="N45" s="113" t="n">
        <v>0.06</v>
      </c>
      <c r="O45" s="113" t="n">
        <v>0.06</v>
      </c>
      <c r="P45" s="114"/>
      <c r="Q45" s="5"/>
      <c r="R45" s="5"/>
      <c r="S45" s="2"/>
      <c r="T45" s="2"/>
      <c r="U45" s="2"/>
      <c r="V45" s="2"/>
      <c r="W45" s="2"/>
      <c r="X45" s="2"/>
    </row>
    <row r="46" customFormat="false" ht="3.95" hidden="false" customHeight="true" outlineLevel="0" collapsed="false">
      <c r="B46" s="16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114"/>
      <c r="Q46" s="5"/>
      <c r="R46" s="5"/>
      <c r="S46" s="2"/>
      <c r="T46" s="2"/>
      <c r="U46" s="2"/>
      <c r="V46" s="2"/>
      <c r="W46" s="2"/>
      <c r="X46" s="2"/>
    </row>
    <row r="47" customFormat="false" ht="12.6" hidden="false" customHeight="true" outlineLevel="0" collapsed="false">
      <c r="B47" s="50" t="str">
        <f aca="false">+'NNG-3rd CE 2001'!B47</f>
        <v>         Monthly Interest Expense / (Income)</v>
      </c>
      <c r="C47" s="81" t="n">
        <f aca="false">ROUND((C42)*(C45*(30/360)),0)+157-157</f>
        <v>0</v>
      </c>
      <c r="D47" s="81" t="n">
        <f aca="false">ROUND((D44)*(D45*(30/360)),0)+161-161</f>
        <v>0</v>
      </c>
      <c r="E47" s="81" t="n">
        <f aca="false">ROUND((E44)*(E45*(30/360)),0)+164-164</f>
        <v>0</v>
      </c>
      <c r="F47" s="81" t="n">
        <f aca="false">ROUND((F44)*(F45*(30/360)),0)+170-170</f>
        <v>0</v>
      </c>
      <c r="G47" s="81" t="n">
        <f aca="false">ROUND((G44)*(G45*(30/360)),0)+173-173</f>
        <v>0</v>
      </c>
      <c r="H47" s="81" t="n">
        <f aca="false">ROUND((H44)*(H45*(30/360)),0)+178-178</f>
        <v>0</v>
      </c>
      <c r="I47" s="81" t="n">
        <f aca="false">ROUND((I44)*(I45*(30/360)),0)+183-183</f>
        <v>0</v>
      </c>
      <c r="J47" s="81" t="n">
        <f aca="false">ROUND((J44)*(J45*(30/360)),0)+186-186</f>
        <v>0</v>
      </c>
      <c r="K47" s="81" t="n">
        <f aca="false">ROUND((K44)*(K45*(30/360)),0)+191-191</f>
        <v>0</v>
      </c>
      <c r="L47" s="81" t="n">
        <f aca="false">ROUND((L44)*(L45*(30/360)),0)+195-195</f>
        <v>0</v>
      </c>
      <c r="M47" s="81" t="n">
        <f aca="false">ROUND((M44)*(M45*(30/360)),0)+200-200</f>
        <v>0</v>
      </c>
      <c r="N47" s="81" t="n">
        <f aca="false">ROUND((N44)*(N45*(30/360)),0)+203-203</f>
        <v>0</v>
      </c>
      <c r="O47" s="81" t="n">
        <f aca="false">ROUND((O44)*(O45*(30/360)),0)+209-209</f>
        <v>0</v>
      </c>
      <c r="P47" s="114"/>
      <c r="Q47" s="5"/>
      <c r="R47" s="5"/>
      <c r="S47" s="2"/>
      <c r="T47" s="2"/>
      <c r="U47" s="2"/>
      <c r="V47" s="2"/>
      <c r="W47" s="2"/>
      <c r="X47" s="2"/>
    </row>
    <row r="48" customFormat="false" ht="12.6" hidden="false" customHeight="true" outlineLevel="0" collapsed="false">
      <c r="B48" s="45"/>
      <c r="C48" s="5"/>
      <c r="D48" s="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0" t="n">
        <f aca="false">U50+U51+U52+U53+U54-P50-P51-P52</f>
        <v>0</v>
      </c>
      <c r="Q48" s="20"/>
      <c r="R48" s="5"/>
      <c r="S48" s="16"/>
      <c r="T48" s="83" t="s">
        <v>84</v>
      </c>
      <c r="U48" s="83" t="s">
        <v>85</v>
      </c>
      <c r="V48" s="2"/>
      <c r="W48" s="2"/>
      <c r="X48" s="2"/>
    </row>
    <row r="49" customFormat="false" ht="12.6" hidden="false" customHeight="true" outlineLevel="0" collapsed="false">
      <c r="B49" s="111" t="str">
        <f aca="false">+'NNG-3rd CE 2001'!B49</f>
        <v>2001 Actual / Estimate (Financing Costs)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"/>
      <c r="Q49" s="2"/>
      <c r="R49" s="20"/>
      <c r="S49" s="84" t="s">
        <v>87</v>
      </c>
      <c r="T49" s="85" t="s">
        <v>88</v>
      </c>
      <c r="U49" s="85" t="s">
        <v>88</v>
      </c>
      <c r="V49" s="2"/>
      <c r="W49" s="2"/>
      <c r="X49" s="2"/>
    </row>
    <row r="50" customFormat="false" ht="12.6" hidden="false" customHeight="true" outlineLevel="0" collapsed="false">
      <c r="B50" s="17" t="s">
        <v>137</v>
      </c>
      <c r="C50" s="5"/>
      <c r="D50" s="20" t="n">
        <f aca="false">ROUND(((+$T$50*0)+(+$T$54*0.074))*(30/360),0)</f>
        <v>925</v>
      </c>
      <c r="E50" s="20" t="n">
        <f aca="false">ROUND(((+$T$50*0)+(+$T$54*0.074))*(30/360),0)</f>
        <v>925</v>
      </c>
      <c r="F50" s="20" t="n">
        <f aca="false">ROUND(((+$T$50*0)+(+$T$54*0.074))*(30/360),0)</f>
        <v>925</v>
      </c>
      <c r="G50" s="20" t="n">
        <f aca="false">ROUND(((+$T$50*0.052525)+(+$T$54*0))*(30/360),0)</f>
        <v>657</v>
      </c>
      <c r="H50" s="20" t="n">
        <f aca="false">ROUND(((+$T$50*0.052525)+(+$T$54*0))*(31/360),0)</f>
        <v>678</v>
      </c>
      <c r="I50" s="20" t="n">
        <f aca="false">ROUND(((+$T$50*0.052525)+(+$T$54*0))*(28/360),0)</f>
        <v>613</v>
      </c>
      <c r="J50" s="20" t="n">
        <f aca="false">ROUND(((+$T$50*0)+(+$T$54*0))*(31/360),0)</f>
        <v>0</v>
      </c>
      <c r="K50" s="20" t="n">
        <f aca="false">ROUND(((+$T$50*0)+(+$T$54*0))*(31/360),0)</f>
        <v>0</v>
      </c>
      <c r="L50" s="20" t="n">
        <f aca="false">ROUND(((+$T$50*0)+(+$T$54*0))*(30/360),0)</f>
        <v>0</v>
      </c>
      <c r="M50" s="20" t="n">
        <f aca="false">ROUND(((+$T$50*0)+(+$T$54*0))*(31/360),0)</f>
        <v>0</v>
      </c>
      <c r="N50" s="20" t="n">
        <f aca="false">ROUND(((+$T$50*0)+(+$T$54*0))*(30/360),0)</f>
        <v>0</v>
      </c>
      <c r="O50" s="20" t="n">
        <f aca="false">ROUND(((+$T$50*0)+(+$T$54*0))*(31/360),0)</f>
        <v>0</v>
      </c>
      <c r="P50" s="20" t="n">
        <f aca="false">SUM(D50:O50)</f>
        <v>4723</v>
      </c>
      <c r="Q50" s="20"/>
      <c r="R50" s="5"/>
      <c r="S50" s="86" t="s">
        <v>138</v>
      </c>
      <c r="T50" s="47" t="n">
        <v>150000</v>
      </c>
      <c r="U50" s="20" t="n">
        <f aca="false">ROUND(($T50*0.052525)*89/360,0)</f>
        <v>1948</v>
      </c>
      <c r="V50" s="2"/>
      <c r="W50" s="2"/>
      <c r="X50" s="2"/>
    </row>
    <row r="51" customFormat="false" ht="12.6" hidden="false" customHeight="true" outlineLevel="0" collapsed="false">
      <c r="B51" s="50" t="str">
        <f aca="false">+'NNG-3rd CE 2001'!B51</f>
        <v>                    - Interest Expense (External - Note #2) </v>
      </c>
      <c r="C51" s="5"/>
      <c r="D51" s="20" t="n">
        <f aca="false">ROUND((+$T$51*0.091)*(30/360),0)</f>
        <v>0</v>
      </c>
      <c r="E51" s="20" t="n">
        <f aca="false">ROUND((+$T$51*0.091)*(30/360),0)</f>
        <v>0</v>
      </c>
      <c r="F51" s="20" t="n">
        <f aca="false">ROUND((+$T$51*0.091)*(30/360),0)</f>
        <v>0</v>
      </c>
      <c r="G51" s="20" t="n">
        <f aca="false">ROUND((+$T$51*0.091)*(30/360),0)</f>
        <v>0</v>
      </c>
      <c r="H51" s="20" t="n">
        <f aca="false">ROUND((+$T$51*0.091)*(0/360),0)</f>
        <v>0</v>
      </c>
      <c r="I51" s="20" t="n">
        <f aca="false">ROUND((+$T$51*0.091)*(0/360),0)</f>
        <v>0</v>
      </c>
      <c r="J51" s="20" t="n">
        <f aca="false">ROUND((+$T$51*0.091)*(0/360),0)</f>
        <v>0</v>
      </c>
      <c r="K51" s="20" t="n">
        <f aca="false">ROUND((+$T$51*0.091)*(0/360),0)</f>
        <v>0</v>
      </c>
      <c r="L51" s="20" t="n">
        <f aca="false">ROUND((+$T$51*0.091)*(0/360),0)</f>
        <v>0</v>
      </c>
      <c r="M51" s="20" t="n">
        <f aca="false">ROUND((+$T$51*0.091)*(0/360),0)</f>
        <v>0</v>
      </c>
      <c r="N51" s="20" t="n">
        <f aca="false">ROUND((+$T$51*0.091)*(0/360),0)</f>
        <v>0</v>
      </c>
      <c r="O51" s="20" t="n">
        <f aca="false">ROUND((+$T$51*0.091)*(0/360),0)</f>
        <v>0</v>
      </c>
      <c r="P51" s="20" t="n">
        <f aca="false">SUM(D51:O51)</f>
        <v>0</v>
      </c>
      <c r="Q51" s="20"/>
      <c r="R51" s="5"/>
      <c r="S51" s="49" t="s">
        <v>139</v>
      </c>
      <c r="T51" s="47" t="n">
        <v>0</v>
      </c>
      <c r="U51" s="20" t="n">
        <f aca="false">ROUND(($T51*0.091)*120/360,0)</f>
        <v>0</v>
      </c>
      <c r="V51" s="2"/>
      <c r="W51" s="2"/>
      <c r="X51" s="2"/>
    </row>
    <row r="52" customFormat="false" ht="12.6" hidden="false" customHeight="true" outlineLevel="0" collapsed="false">
      <c r="B52" s="17" t="s">
        <v>140</v>
      </c>
      <c r="C52" s="5"/>
      <c r="D52" s="20" t="n">
        <f aca="false">ROUND(((+$T$52*0.092)+(+$T$53*0.092))*(30/360),0)</f>
        <v>118</v>
      </c>
      <c r="E52" s="20" t="n">
        <f aca="false">ROUND(((+$T$52*0.092)+(+$T$53*0.092))*(30/360),0)</f>
        <v>118</v>
      </c>
      <c r="F52" s="18" t="n">
        <f aca="false">ROUND(((+$T$52*0.092)+(+$T$53*0.092))*(30/360),0)+1</f>
        <v>119</v>
      </c>
      <c r="G52" s="20" t="n">
        <f aca="false">ROUND(((+$T$52*0.092)+(+$T$53*0.092))*(30/360),0)</f>
        <v>118</v>
      </c>
      <c r="H52" s="20" t="n">
        <f aca="false">ROUND(((+$T$52*0.092)+(+$T$53*0.092))*(30/360),0)</f>
        <v>118</v>
      </c>
      <c r="I52" s="18" t="n">
        <f aca="false">ROUND(((+$T$52*0.092)+(+$T$53*0.092))*(30/360),0)+1</f>
        <v>119</v>
      </c>
      <c r="J52" s="20" t="n">
        <f aca="false">ROUND(((+$T$52*0.092)+(+$T$53*0.092))*(30/360),0)</f>
        <v>118</v>
      </c>
      <c r="K52" s="20" t="n">
        <f aca="false">ROUND(((+$T$52*0.092)+(+$T$53*0.092))*(30/360),0)</f>
        <v>118</v>
      </c>
      <c r="L52" s="18" t="n">
        <f aca="false">ROUND(((+$T$52*0.092)+(+$T$53*0.092))*(30/360),0)+1</f>
        <v>119</v>
      </c>
      <c r="M52" s="20" t="n">
        <f aca="false">ROUND(((+$T$52*0.092)+(+$T$53*0.092))*(30/360),0)</f>
        <v>118</v>
      </c>
      <c r="N52" s="20" t="n">
        <f aca="false">ROUND((+$T$52*0.092)*(30/360),0)</f>
        <v>89</v>
      </c>
      <c r="O52" s="20" t="n">
        <f aca="false">ROUND((+$T$52*0.092)*(30/360),0)</f>
        <v>89</v>
      </c>
      <c r="P52" s="20" t="n">
        <f aca="false">SUM(D52:O52)</f>
        <v>1361</v>
      </c>
      <c r="Q52" s="20"/>
      <c r="R52" s="5"/>
      <c r="S52" s="49" t="s">
        <v>141</v>
      </c>
      <c r="T52" s="47" t="n">
        <f aca="false">27000-3857-3857-3857-3857</f>
        <v>11572</v>
      </c>
      <c r="U52" s="20" t="n">
        <f aca="false">ROUND($T52*0.092,0)</f>
        <v>1065</v>
      </c>
      <c r="V52" s="2"/>
      <c r="W52" s="2"/>
      <c r="X52" s="2"/>
    </row>
    <row r="53" customFormat="false" ht="12.6" hidden="false" customHeight="true" outlineLevel="0" collapsed="false">
      <c r="B53" s="50" t="str">
        <f aca="false">+'NNG-3rd CE 2001'!B53</f>
        <v>                    - Unamortized Debt Discount</v>
      </c>
      <c r="C53" s="20"/>
      <c r="D53" s="47" t="n">
        <v>0</v>
      </c>
      <c r="E53" s="47" t="n">
        <v>0</v>
      </c>
      <c r="F53" s="47" t="n">
        <v>0</v>
      </c>
      <c r="G53" s="47" t="n">
        <v>0</v>
      </c>
      <c r="H53" s="47" t="n">
        <v>0</v>
      </c>
      <c r="I53" s="47" t="n">
        <v>0</v>
      </c>
      <c r="J53" s="47" t="n">
        <v>0</v>
      </c>
      <c r="K53" s="47" t="n">
        <v>0</v>
      </c>
      <c r="L53" s="47" t="n">
        <v>0</v>
      </c>
      <c r="M53" s="47" t="n">
        <v>0</v>
      </c>
      <c r="N53" s="47" t="n">
        <v>0</v>
      </c>
      <c r="O53" s="47" t="n">
        <v>0</v>
      </c>
      <c r="P53" s="20" t="n">
        <f aca="false">SUM(D53:O53)</f>
        <v>0</v>
      </c>
      <c r="Q53" s="20"/>
      <c r="R53" s="5"/>
      <c r="S53" s="49" t="s">
        <v>142</v>
      </c>
      <c r="T53" s="47" t="n">
        <v>3857</v>
      </c>
      <c r="U53" s="21" t="n">
        <f aca="false">ROUND((+$T53*0.092)*(300/360),0)</f>
        <v>296</v>
      </c>
      <c r="V53" s="2"/>
      <c r="W53" s="2"/>
      <c r="X53" s="2"/>
    </row>
    <row r="54" customFormat="false" ht="12.6" hidden="false" customHeight="true" outlineLevel="0" collapsed="false">
      <c r="B54" s="50" t="str">
        <f aca="false">+'NNG-3rd CE 2001'!B54</f>
        <v>                    - Unamortized Debt Expense </v>
      </c>
      <c r="C54" s="5"/>
      <c r="D54" s="47" t="n">
        <v>1</v>
      </c>
      <c r="E54" s="47" t="n">
        <v>1</v>
      </c>
      <c r="F54" s="47" t="n">
        <v>0</v>
      </c>
      <c r="G54" s="47" t="n">
        <v>1</v>
      </c>
      <c r="H54" s="47" t="n">
        <v>1</v>
      </c>
      <c r="I54" s="47" t="n">
        <v>1</v>
      </c>
      <c r="J54" s="47" t="n">
        <v>1</v>
      </c>
      <c r="K54" s="47" t="n">
        <v>1</v>
      </c>
      <c r="L54" s="47" t="n">
        <v>1</v>
      </c>
      <c r="M54" s="47" t="n">
        <v>1</v>
      </c>
      <c r="N54" s="47" t="n">
        <v>1</v>
      </c>
      <c r="O54" s="47" t="n">
        <v>1</v>
      </c>
      <c r="P54" s="20" t="n">
        <f aca="false">SUM(D54:O54)</f>
        <v>11</v>
      </c>
      <c r="Q54" s="20"/>
      <c r="R54" s="5"/>
      <c r="S54" s="86" t="s">
        <v>143</v>
      </c>
      <c r="T54" s="47" t="n">
        <v>150000</v>
      </c>
      <c r="U54" s="20" t="n">
        <f aca="false">ROUND(($T54*0.074)*(90/360),0)</f>
        <v>2775</v>
      </c>
      <c r="V54" s="2"/>
      <c r="W54" s="2"/>
      <c r="X54" s="2"/>
    </row>
    <row r="55" customFormat="false" ht="12.6" hidden="false" customHeight="true" outlineLevel="0" collapsed="false">
      <c r="B55" s="50" t="str">
        <f aca="false">+'NNG-3rd CE 2001'!B55</f>
        <v>      Short Term Interest Expense / (Income) </v>
      </c>
      <c r="C55" s="5"/>
      <c r="D55" s="20" t="n">
        <f aca="false">D47</f>
        <v>0</v>
      </c>
      <c r="E55" s="20" t="n">
        <f aca="false">E47</f>
        <v>0</v>
      </c>
      <c r="F55" s="20" t="n">
        <f aca="false">F47</f>
        <v>0</v>
      </c>
      <c r="G55" s="20" t="n">
        <f aca="false">G47</f>
        <v>0</v>
      </c>
      <c r="H55" s="20" t="n">
        <f aca="false">H47</f>
        <v>0</v>
      </c>
      <c r="I55" s="20" t="n">
        <f aca="false">I47</f>
        <v>0</v>
      </c>
      <c r="J55" s="20" t="n">
        <f aca="false">J47</f>
        <v>0</v>
      </c>
      <c r="K55" s="20" t="n">
        <f aca="false">K47</f>
        <v>0</v>
      </c>
      <c r="L55" s="20" t="n">
        <f aca="false">L47</f>
        <v>0</v>
      </c>
      <c r="M55" s="20" t="n">
        <f aca="false">M47</f>
        <v>0</v>
      </c>
      <c r="N55" s="20" t="n">
        <f aca="false">N47</f>
        <v>0</v>
      </c>
      <c r="O55" s="20" t="n">
        <f aca="false">O47</f>
        <v>0</v>
      </c>
      <c r="P55" s="20" t="n">
        <f aca="false">SUM(D55:O55)</f>
        <v>0</v>
      </c>
      <c r="Q55" s="20"/>
      <c r="R55" s="5"/>
      <c r="S55" s="86" t="s">
        <v>99</v>
      </c>
      <c r="T55" s="47" t="n">
        <v>0</v>
      </c>
      <c r="U55" s="47" t="n">
        <v>0</v>
      </c>
      <c r="V55" s="2"/>
      <c r="W55" s="2"/>
      <c r="X55" s="2"/>
    </row>
    <row r="56" customFormat="false" ht="12.6" hidden="false" customHeight="true" outlineLevel="0" collapsed="false">
      <c r="B56" s="50" t="str">
        <f aca="false">+'NNG-3rd CE 2001'!B56</f>
        <v>                    - Corporate Tie-In Amount (Actual) </v>
      </c>
      <c r="C56" s="20"/>
      <c r="D56" s="47" t="n">
        <v>0</v>
      </c>
      <c r="E56" s="47" t="n">
        <v>0</v>
      </c>
      <c r="F56" s="47" t="n">
        <v>0</v>
      </c>
      <c r="G56" s="47" t="n">
        <v>0</v>
      </c>
      <c r="H56" s="47" t="n">
        <v>0</v>
      </c>
      <c r="I56" s="47" t="n">
        <v>0</v>
      </c>
      <c r="J56" s="47" t="n">
        <v>0</v>
      </c>
      <c r="K56" s="47" t="n">
        <v>0</v>
      </c>
      <c r="L56" s="47" t="n">
        <v>0</v>
      </c>
      <c r="M56" s="47" t="n">
        <v>0</v>
      </c>
      <c r="N56" s="47" t="n">
        <v>0</v>
      </c>
      <c r="O56" s="47" t="n">
        <v>0</v>
      </c>
      <c r="P56" s="20" t="n">
        <f aca="false">SUM(D56:O56)</f>
        <v>0</v>
      </c>
      <c r="Q56" s="20"/>
      <c r="R56" s="5"/>
      <c r="S56" s="86" t="s">
        <v>101</v>
      </c>
      <c r="T56" s="47" t="n">
        <v>0</v>
      </c>
      <c r="U56" s="47" t="n">
        <v>0</v>
      </c>
      <c r="V56" s="2"/>
      <c r="W56" s="2"/>
      <c r="X56" s="2"/>
    </row>
    <row r="57" customFormat="false" ht="12.6" hidden="false" customHeight="true" outlineLevel="0" collapsed="false">
      <c r="B57" s="50" t="str">
        <f aca="false">+'NNG-3rd CE 2001'!B57</f>
        <v>      Assigned Receivables / Other</v>
      </c>
      <c r="C57" s="16"/>
      <c r="D57" s="22" t="n">
        <v>0</v>
      </c>
      <c r="E57" s="22" t="n">
        <v>0</v>
      </c>
      <c r="F57" s="22" t="n">
        <v>0</v>
      </c>
      <c r="G57" s="22" t="n">
        <v>0</v>
      </c>
      <c r="H57" s="22" t="n">
        <v>0</v>
      </c>
      <c r="I57" s="22" t="n">
        <v>0</v>
      </c>
      <c r="J57" s="22" t="n">
        <v>0</v>
      </c>
      <c r="K57" s="22" t="n">
        <v>0</v>
      </c>
      <c r="L57" s="22" t="n">
        <v>0</v>
      </c>
      <c r="M57" s="22" t="n">
        <v>0</v>
      </c>
      <c r="N57" s="22" t="n">
        <v>0</v>
      </c>
      <c r="O57" s="22" t="n">
        <v>0</v>
      </c>
      <c r="P57" s="23" t="n">
        <f aca="false">SUM(D57:O57)</f>
        <v>0</v>
      </c>
      <c r="Q57" s="23"/>
      <c r="R57" s="20"/>
      <c r="S57" s="86" t="s">
        <v>103</v>
      </c>
      <c r="T57" s="47" t="n">
        <v>0</v>
      </c>
      <c r="U57" s="47" t="n">
        <v>0</v>
      </c>
      <c r="V57" s="2"/>
      <c r="W57" s="2"/>
      <c r="X57" s="2"/>
    </row>
    <row r="58" customFormat="false" ht="12.6" hidden="false" customHeight="true" outlineLevel="0" collapsed="false">
      <c r="B58" s="50" t="str">
        <f aca="false">+'NNG-3rd CE 2001'!B58</f>
        <v>         Total Intercompany Impact (Net)</v>
      </c>
      <c r="C58" s="20"/>
      <c r="D58" s="20" t="n">
        <f aca="false">SUM(D50:D57)</f>
        <v>1044</v>
      </c>
      <c r="E58" s="20" t="n">
        <f aca="false">SUM(E50:E57)</f>
        <v>1044</v>
      </c>
      <c r="F58" s="20" t="n">
        <f aca="false">SUM(F50:F57)</f>
        <v>1044</v>
      </c>
      <c r="G58" s="20" t="n">
        <f aca="false">SUM(G50:G57)</f>
        <v>776</v>
      </c>
      <c r="H58" s="20" t="n">
        <f aca="false">SUM(H50:H57)</f>
        <v>797</v>
      </c>
      <c r="I58" s="20" t="n">
        <f aca="false">SUM(I50:I57)</f>
        <v>733</v>
      </c>
      <c r="J58" s="20" t="n">
        <f aca="false">SUM(J50:J57)</f>
        <v>119</v>
      </c>
      <c r="K58" s="20" t="n">
        <f aca="false">SUM(K50:K57)</f>
        <v>119</v>
      </c>
      <c r="L58" s="20" t="n">
        <f aca="false">SUM(L50:L57)</f>
        <v>120</v>
      </c>
      <c r="M58" s="20" t="n">
        <f aca="false">SUM(M50:M57)</f>
        <v>119</v>
      </c>
      <c r="N58" s="20" t="n">
        <f aca="false">SUM(N50:N57)</f>
        <v>90</v>
      </c>
      <c r="O58" s="20" t="n">
        <f aca="false">SUM(O50:O57)</f>
        <v>90</v>
      </c>
      <c r="P58" s="20" t="n">
        <f aca="false">SUM(D58:O58)</f>
        <v>6095</v>
      </c>
      <c r="Q58" s="20"/>
      <c r="R58" s="20"/>
      <c r="S58" s="86" t="s">
        <v>47</v>
      </c>
      <c r="T58" s="22" t="n">
        <v>0</v>
      </c>
      <c r="U58" s="22" t="n">
        <v>0</v>
      </c>
      <c r="V58" s="2"/>
      <c r="W58" s="2"/>
      <c r="X58" s="2"/>
    </row>
    <row r="59" customFormat="false" ht="12.6" hidden="false" customHeight="true" outlineLevel="0" collapsed="false">
      <c r="B59" s="50" t="str">
        <f aca="false">+'NNG-3rd CE 2001'!B59</f>
        <v>         Composite F.I.T. &amp; S.I.T. Tax Impact</v>
      </c>
      <c r="C59" s="20"/>
      <c r="D59" s="28" t="n">
        <f aca="false">ROUND(+D58*-0.3888,0)</f>
        <v>-406</v>
      </c>
      <c r="E59" s="28" t="n">
        <f aca="false">ROUND(+E58*-0.3888,0)</f>
        <v>-406</v>
      </c>
      <c r="F59" s="28" t="n">
        <f aca="false">ROUND(+F58*-0.3888,0)</f>
        <v>-406</v>
      </c>
      <c r="G59" s="28" t="n">
        <f aca="false">ROUND(+G58*-0.3888,0)</f>
        <v>-302</v>
      </c>
      <c r="H59" s="28" t="n">
        <f aca="false">ROUND(+H58*-0.3888,0)</f>
        <v>-310</v>
      </c>
      <c r="I59" s="28" t="n">
        <f aca="false">ROUND(+I58*-0.3888,0)</f>
        <v>-285</v>
      </c>
      <c r="J59" s="28" t="n">
        <f aca="false">ROUND(+J58*-0.3888,0)</f>
        <v>-46</v>
      </c>
      <c r="K59" s="28" t="n">
        <f aca="false">ROUND(+K58*-0.3888,0)</f>
        <v>-46</v>
      </c>
      <c r="L59" s="28" t="n">
        <f aca="false">ROUND(+L58*-0.3888,0)</f>
        <v>-47</v>
      </c>
      <c r="M59" s="28" t="n">
        <f aca="false">ROUND(+M58*-0.3888,0)</f>
        <v>-46</v>
      </c>
      <c r="N59" s="28" t="n">
        <f aca="false">ROUND(+N58*-0.3888,0)</f>
        <v>-35</v>
      </c>
      <c r="O59" s="28" t="n">
        <f aca="false">ROUND(+O58*-0.3888,0)</f>
        <v>-35</v>
      </c>
      <c r="P59" s="23" t="n">
        <f aca="false">SUM(D59:O59)</f>
        <v>-2370</v>
      </c>
      <c r="Q59" s="23"/>
      <c r="R59" s="20"/>
      <c r="S59" s="49" t="s">
        <v>144</v>
      </c>
      <c r="T59" s="34"/>
      <c r="U59" s="34" t="n">
        <f aca="false">SUM(U50:U58)</f>
        <v>6084</v>
      </c>
      <c r="V59" s="2"/>
      <c r="W59" s="2"/>
      <c r="X59" s="2"/>
    </row>
    <row r="60" customFormat="false" ht="3.95" hidden="false" customHeight="true" outlineLevel="0" collapsed="false">
      <c r="B60" s="16"/>
      <c r="C60" s="2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V60" s="2"/>
      <c r="W60" s="2"/>
      <c r="X60" s="2"/>
    </row>
    <row r="61" customFormat="false" ht="12.6" hidden="false" customHeight="true" outlineLevel="0" collapsed="false">
      <c r="B61" s="115" t="str">
        <f aca="false">+'NNG-3rd CE 2001'!B61</f>
        <v>            Updated Net Financing Costs</v>
      </c>
      <c r="C61" s="27"/>
      <c r="D61" s="32" t="n">
        <f aca="false">D58+D59</f>
        <v>638</v>
      </c>
      <c r="E61" s="32" t="n">
        <f aca="false">E58+E59</f>
        <v>638</v>
      </c>
      <c r="F61" s="32" t="n">
        <f aca="false">F58+F59</f>
        <v>638</v>
      </c>
      <c r="G61" s="32" t="n">
        <f aca="false">G58+G59</f>
        <v>474</v>
      </c>
      <c r="H61" s="32" t="n">
        <f aca="false">H58+H59</f>
        <v>487</v>
      </c>
      <c r="I61" s="32" t="n">
        <f aca="false">I58+I59</f>
        <v>448</v>
      </c>
      <c r="J61" s="32" t="n">
        <f aca="false">J58+J59</f>
        <v>73</v>
      </c>
      <c r="K61" s="32" t="n">
        <f aca="false">K58+K59</f>
        <v>73</v>
      </c>
      <c r="L61" s="32" t="n">
        <f aca="false">L58+L59</f>
        <v>73</v>
      </c>
      <c r="M61" s="32" t="n">
        <f aca="false">M58+M59</f>
        <v>73</v>
      </c>
      <c r="N61" s="32" t="n">
        <f aca="false">N58+N59</f>
        <v>55</v>
      </c>
      <c r="O61" s="32" t="n">
        <f aca="false">O58+O59</f>
        <v>55</v>
      </c>
      <c r="P61" s="32" t="n">
        <f aca="false">SUM(D61:O61)</f>
        <v>3725</v>
      </c>
      <c r="Q61" s="32"/>
      <c r="R61" s="5"/>
      <c r="V61" s="2"/>
      <c r="W61" s="2"/>
      <c r="X61" s="2"/>
    </row>
    <row r="62" customFormat="false" ht="12.6" hidden="false" customHeight="true" outlineLevel="0" collapsed="false">
      <c r="A62" s="102" t="e">
        <f aca="false">+</f>
        <v>#NAME?</v>
      </c>
      <c r="B62" s="111"/>
      <c r="C62" s="5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5"/>
      <c r="Q62" s="5"/>
      <c r="R62" s="5"/>
      <c r="W62" s="2"/>
      <c r="X62" s="2"/>
    </row>
    <row r="63" customFormat="false" ht="12.6" hidden="false" customHeight="true" outlineLevel="0" collapsed="false">
      <c r="A63" s="102" t="str">
        <f aca="false">+'NNG-3rd CE 2001'!A63:B63</f>
        <v>Revised Plan - Financing Costs (Above The Line)  </v>
      </c>
      <c r="B63" s="50"/>
      <c r="C63" s="88"/>
      <c r="D63" s="89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5"/>
      <c r="Q63" s="5"/>
      <c r="R63" s="5"/>
      <c r="S63" s="84" t="s">
        <v>108</v>
      </c>
      <c r="T63" s="5"/>
      <c r="U63" s="5"/>
      <c r="V63" s="2"/>
      <c r="W63" s="2"/>
      <c r="X63" s="2"/>
    </row>
    <row r="64" customFormat="false" ht="12.6" hidden="false" customHeight="true" outlineLevel="0" collapsed="false">
      <c r="A64" s="2"/>
      <c r="B64" s="111" t="str">
        <f aca="false">+'NNG-3rd CE 2001'!B64</f>
        <v>Short Term Interest Expense / (Income)  </v>
      </c>
      <c r="C64" s="88"/>
      <c r="D64" s="89"/>
      <c r="R64" s="5"/>
      <c r="S64" s="49" t="s">
        <v>145</v>
      </c>
      <c r="T64" s="2"/>
      <c r="U64" s="47" t="n">
        <v>1948</v>
      </c>
      <c r="V64" s="2"/>
      <c r="W64" s="2"/>
      <c r="X64" s="2"/>
    </row>
    <row r="65" customFormat="false" ht="12.6" hidden="false" customHeight="true" outlineLevel="0" collapsed="false">
      <c r="A65" s="2"/>
      <c r="B65" s="50" t="str">
        <f aca="false">+'NNG-3rd CE 2001'!B65</f>
        <v>   Beg. Balance - Corp. (Rec.) + Check Book Activity</v>
      </c>
      <c r="C65" s="88"/>
      <c r="D65" s="91" t="n">
        <f aca="false">+C8</f>
        <v>-524956</v>
      </c>
      <c r="E65" s="20" t="n">
        <f aca="false">+D65+D68</f>
        <v>-541799</v>
      </c>
      <c r="F65" s="20" t="n">
        <f aca="false">+E65+E68</f>
        <v>-560015</v>
      </c>
      <c r="G65" s="20" t="n">
        <f aca="false">+F65+F68</f>
        <v>-579696</v>
      </c>
      <c r="H65" s="20" t="n">
        <f aca="false">+G65+G68</f>
        <v>-591337</v>
      </c>
      <c r="I65" s="20" t="n">
        <f aca="false">+H65+H68</f>
        <v>-587311</v>
      </c>
      <c r="J65" s="20" t="n">
        <f aca="false">+I65+I68</f>
        <v>-460025</v>
      </c>
      <c r="K65" s="20" t="n">
        <f aca="false">+J65+J68</f>
        <v>-461271</v>
      </c>
      <c r="L65" s="20" t="n">
        <f aca="false">+K65+K68</f>
        <v>-476871</v>
      </c>
      <c r="M65" s="20" t="n">
        <f aca="false">+L65+L68</f>
        <v>-478771</v>
      </c>
      <c r="N65" s="20" t="n">
        <f aca="false">+M65+M68</f>
        <v>-484471</v>
      </c>
      <c r="O65" s="20" t="n">
        <f aca="false">+N65+N68</f>
        <v>-484271</v>
      </c>
      <c r="P65" s="20"/>
      <c r="Q65" s="5"/>
      <c r="R65" s="5"/>
      <c r="S65" s="49" t="s">
        <v>146</v>
      </c>
      <c r="T65" s="90"/>
      <c r="U65" s="47" t="n">
        <v>1991</v>
      </c>
      <c r="V65" s="2"/>
      <c r="W65" s="2"/>
      <c r="X65" s="2"/>
    </row>
    <row r="66" customFormat="false" ht="12.6" hidden="false" customHeight="true" outlineLevel="0" collapsed="false">
      <c r="A66" s="2"/>
      <c r="B66" s="50" t="str">
        <f aca="false">+'NNG-3rd CE 2001'!B66</f>
        <v>      - Corp. Pay.+ Co.011 / Netting Co.827 (1 Mo. Lag)</v>
      </c>
      <c r="C66" s="88"/>
      <c r="D66" s="92" t="n">
        <f aca="false">+C10</f>
        <v>146935</v>
      </c>
      <c r="E66" s="23" t="n">
        <f aca="false">+D66+D10-D47</f>
        <v>153155</v>
      </c>
      <c r="F66" s="23" t="n">
        <f aca="false">+E66+E10-E47</f>
        <v>161015</v>
      </c>
      <c r="G66" s="23" t="n">
        <f aca="false">+F66+F10-F47</f>
        <v>166023</v>
      </c>
      <c r="H66" s="23" t="n">
        <f aca="false">+G66+G10-G47</f>
        <v>183650</v>
      </c>
      <c r="I66" s="23" t="n">
        <f aca="false">+H66+H10-H47</f>
        <v>189083</v>
      </c>
      <c r="J66" s="23" t="n">
        <f aca="false">+I66+I10-I47</f>
        <v>194082</v>
      </c>
      <c r="K66" s="23" t="n">
        <f aca="false">+J66+J10-J47</f>
        <v>199390</v>
      </c>
      <c r="L66" s="23" t="n">
        <f aca="false">+K66+K10-K47</f>
        <v>204790</v>
      </c>
      <c r="M66" s="23" t="n">
        <f aca="false">+L66+L10-L47</f>
        <v>209690</v>
      </c>
      <c r="N66" s="23" t="n">
        <f aca="false">+M66+M10-M47</f>
        <v>211690</v>
      </c>
      <c r="O66" s="23" t="n">
        <f aca="false">+N66+N10-N47</f>
        <v>217490</v>
      </c>
      <c r="P66" s="20"/>
      <c r="Q66" s="33" t="n">
        <f aca="false">+O66-(D66+P10-O10)+(P55-O55)</f>
        <v>0</v>
      </c>
      <c r="R66" s="5"/>
      <c r="S66" s="49" t="s">
        <v>147</v>
      </c>
      <c r="T66" s="2"/>
      <c r="U66" s="47" t="n">
        <v>2079</v>
      </c>
      <c r="V66" s="2"/>
      <c r="W66" s="2"/>
      <c r="X66" s="2"/>
    </row>
    <row r="67" customFormat="false" ht="12.6" hidden="false" customHeight="true" outlineLevel="0" collapsed="false">
      <c r="A67" s="2"/>
      <c r="B67" s="50" t="str">
        <f aca="false">+'NNG-3rd CE 2001'!B67</f>
        <v>   Adjusted Beginning Balance</v>
      </c>
      <c r="D67" s="20" t="n">
        <f aca="false">SUM(D65:D66)</f>
        <v>-378021</v>
      </c>
      <c r="E67" s="20" t="n">
        <f aca="false">SUM(E65:E66)</f>
        <v>-388644</v>
      </c>
      <c r="F67" s="20" t="n">
        <f aca="false">SUM(F65:F66)</f>
        <v>-399000</v>
      </c>
      <c r="G67" s="20" t="n">
        <f aca="false">SUM(G65:G66)</f>
        <v>-413673</v>
      </c>
      <c r="H67" s="20" t="n">
        <f aca="false">SUM(H65:H66)</f>
        <v>-407687</v>
      </c>
      <c r="I67" s="20" t="n">
        <f aca="false">SUM(I65:I66)</f>
        <v>-398228</v>
      </c>
      <c r="J67" s="20" t="n">
        <f aca="false">SUM(J65:J66)</f>
        <v>-265943</v>
      </c>
      <c r="K67" s="20" t="n">
        <f aca="false">SUM(K65:K66)</f>
        <v>-261881</v>
      </c>
      <c r="L67" s="20" t="n">
        <f aca="false">SUM(L65:L66)</f>
        <v>-272081</v>
      </c>
      <c r="M67" s="20" t="n">
        <f aca="false">SUM(M65:M66)</f>
        <v>-269081</v>
      </c>
      <c r="N67" s="20" t="n">
        <f aca="false">SUM(N65:N66)</f>
        <v>-272781</v>
      </c>
      <c r="O67" s="20" t="n">
        <f aca="false">SUM(O65:O66)</f>
        <v>-266781</v>
      </c>
      <c r="Q67" s="5"/>
      <c r="R67" s="5"/>
      <c r="S67" s="49" t="s">
        <v>148</v>
      </c>
      <c r="T67" s="2"/>
      <c r="U67" s="47" t="n">
        <v>710</v>
      </c>
      <c r="W67" s="2"/>
      <c r="X67" s="2"/>
    </row>
    <row r="68" customFormat="false" ht="12.6" hidden="false" customHeight="true" outlineLevel="0" collapsed="false">
      <c r="A68" s="2"/>
      <c r="B68" s="50" t="str">
        <f aca="false">+'NNG-3rd CE 2001'!B68</f>
        <v>      (Inc.) / Dec. in Check Book Cash (Current Month) </v>
      </c>
      <c r="C68" s="5"/>
      <c r="D68" s="19" t="n">
        <f aca="false">+D9</f>
        <v>-16843</v>
      </c>
      <c r="E68" s="19" t="n">
        <f aca="false">+E9</f>
        <v>-18216</v>
      </c>
      <c r="F68" s="19" t="n">
        <f aca="false">+F9</f>
        <v>-19681</v>
      </c>
      <c r="G68" s="19" t="n">
        <f aca="false">+G9</f>
        <v>-11641</v>
      </c>
      <c r="H68" s="19" t="n">
        <f aca="false">+H9</f>
        <v>4026</v>
      </c>
      <c r="I68" s="19" t="n">
        <f aca="false">+I9</f>
        <v>127286</v>
      </c>
      <c r="J68" s="19" t="n">
        <f aca="false">+J9</f>
        <v>-1246</v>
      </c>
      <c r="K68" s="19" t="n">
        <f aca="false">+K9</f>
        <v>-15600</v>
      </c>
      <c r="L68" s="19" t="n">
        <f aca="false">+L9</f>
        <v>-1900</v>
      </c>
      <c r="M68" s="19" t="n">
        <f aca="false">+M9</f>
        <v>-5700</v>
      </c>
      <c r="N68" s="19" t="n">
        <f aca="false">+N9</f>
        <v>200</v>
      </c>
      <c r="O68" s="19" t="n">
        <f aca="false">+O9</f>
        <v>200</v>
      </c>
      <c r="P68" s="20" t="n">
        <f aca="false">SUM(D68:O68)</f>
        <v>40885</v>
      </c>
      <c r="Q68" s="33" t="n">
        <f aca="false">+P68+D65-O65-O68</f>
        <v>0</v>
      </c>
      <c r="R68" s="5"/>
      <c r="S68" s="49" t="s">
        <v>115</v>
      </c>
      <c r="T68" s="90"/>
      <c r="U68" s="47" t="n">
        <v>710</v>
      </c>
      <c r="W68" s="2"/>
      <c r="X68" s="2"/>
    </row>
    <row r="69" customFormat="false" ht="12.6" hidden="false" customHeight="true" outlineLevel="0" collapsed="false">
      <c r="A69" s="2"/>
      <c r="B69" s="50" t="str">
        <f aca="false">+'NNG-3rd CE 2001'!B69</f>
        <v>      Interco. Cash Adjustment (Inc.) / Dec.</v>
      </c>
      <c r="C69" s="18" t="n">
        <v>0</v>
      </c>
      <c r="D69" s="22" t="n">
        <v>0</v>
      </c>
      <c r="E69" s="22" t="n">
        <v>0</v>
      </c>
      <c r="F69" s="22" t="n">
        <v>0</v>
      </c>
      <c r="G69" s="22" t="n">
        <v>0</v>
      </c>
      <c r="H69" s="22" t="n">
        <v>0</v>
      </c>
      <c r="I69" s="22" t="n">
        <v>0</v>
      </c>
      <c r="J69" s="22" t="n">
        <v>0</v>
      </c>
      <c r="K69" s="22" t="n">
        <v>0</v>
      </c>
      <c r="L69" s="22" t="n">
        <v>0</v>
      </c>
      <c r="M69" s="22" t="n">
        <v>0</v>
      </c>
      <c r="N69" s="22" t="n">
        <v>0</v>
      </c>
      <c r="O69" s="22" t="n">
        <v>0</v>
      </c>
      <c r="P69" s="20" t="n">
        <f aca="false">SUM(D69:O69)</f>
        <v>0</v>
      </c>
      <c r="Q69" s="5"/>
      <c r="R69" s="5"/>
      <c r="S69" s="49" t="s">
        <v>149</v>
      </c>
      <c r="T69" s="2"/>
      <c r="U69" s="47" t="n">
        <v>5550</v>
      </c>
      <c r="W69" s="2"/>
      <c r="X69" s="2"/>
    </row>
    <row r="70" customFormat="false" ht="12.6" hidden="false" customHeight="true" outlineLevel="0" collapsed="false">
      <c r="A70" s="2"/>
      <c r="B70" s="50" t="str">
        <f aca="false">+'NNG-3rd CE 2001'!B70</f>
        <v>   Ending Balance</v>
      </c>
      <c r="C70" s="15"/>
      <c r="D70" s="23" t="n">
        <f aca="false">SUM(D67:D69)</f>
        <v>-394864</v>
      </c>
      <c r="E70" s="23" t="n">
        <f aca="false">SUM(E67:E69)</f>
        <v>-406860</v>
      </c>
      <c r="F70" s="23" t="n">
        <f aca="false">SUM(F67:F69)</f>
        <v>-418681</v>
      </c>
      <c r="G70" s="23" t="n">
        <f aca="false">SUM(G67:G69)</f>
        <v>-425314</v>
      </c>
      <c r="H70" s="23" t="n">
        <f aca="false">SUM(H67:H69)</f>
        <v>-403661</v>
      </c>
      <c r="I70" s="23" t="n">
        <f aca="false">SUM(I67:I69)</f>
        <v>-270942</v>
      </c>
      <c r="J70" s="23" t="n">
        <f aca="false">SUM(J67:J69)</f>
        <v>-267189</v>
      </c>
      <c r="K70" s="23" t="n">
        <f aca="false">SUM(K67:K69)</f>
        <v>-277481</v>
      </c>
      <c r="L70" s="23" t="n">
        <f aca="false">SUM(L67:L69)</f>
        <v>-273981</v>
      </c>
      <c r="M70" s="23" t="n">
        <f aca="false">SUM(M67:M69)</f>
        <v>-274781</v>
      </c>
      <c r="N70" s="23" t="n">
        <f aca="false">SUM(N67:N69)</f>
        <v>-272581</v>
      </c>
      <c r="O70" s="23" t="n">
        <f aca="false">SUM(O67:O69)</f>
        <v>-266581</v>
      </c>
      <c r="P70" s="20"/>
      <c r="Q70" s="5"/>
      <c r="R70" s="5"/>
      <c r="S70" s="49" t="s">
        <v>150</v>
      </c>
      <c r="T70" s="90"/>
      <c r="U70" s="22" t="n">
        <v>0</v>
      </c>
      <c r="V70" s="20" t="n">
        <f aca="false">U59-SUM(U64:U70)</f>
        <v>-6904</v>
      </c>
      <c r="W70" s="2"/>
      <c r="X70" s="2"/>
    </row>
    <row r="71" customFormat="false" ht="3.95" hidden="false" customHeight="true" outlineLevel="0" collapsed="false">
      <c r="A71" s="2"/>
      <c r="B71" s="50"/>
      <c r="C71" s="15"/>
      <c r="P71" s="5"/>
      <c r="Q71" s="5"/>
      <c r="R71" s="5"/>
      <c r="V71" s="2"/>
      <c r="W71" s="2"/>
      <c r="X71" s="2"/>
    </row>
    <row r="72" customFormat="false" ht="12.6" hidden="false" customHeight="true" outlineLevel="0" collapsed="false">
      <c r="A72" s="2"/>
      <c r="B72" s="50" t="str">
        <f aca="false">+'NNG-3rd CE 2001'!B72</f>
        <v>         Average Monthly Balance</v>
      </c>
      <c r="D72" s="93" t="n">
        <f aca="false">ROUND((D67+D70)/2.01,0)</f>
        <v>-384520</v>
      </c>
      <c r="E72" s="93" t="n">
        <f aca="false">ROUND((E67+E70)/2.01,0)</f>
        <v>-395773</v>
      </c>
      <c r="F72" s="93" t="n">
        <f aca="false">ROUND((F67+F70)/2.01,0)</f>
        <v>-406806</v>
      </c>
      <c r="G72" s="93" t="n">
        <f aca="false">ROUND((G67+G70)/2.01,0)</f>
        <v>-417406</v>
      </c>
      <c r="H72" s="93" t="n">
        <f aca="false">ROUND((H67+H70)/2.01,0)</f>
        <v>-403656</v>
      </c>
      <c r="I72" s="93" t="n">
        <f aca="false">ROUND((I67+I70)/2.01,0)</f>
        <v>-332920</v>
      </c>
      <c r="J72" s="93" t="n">
        <f aca="false">ROUND((J67+J70)/2.01,0)</f>
        <v>-265240</v>
      </c>
      <c r="K72" s="93" t="n">
        <f aca="false">ROUND((K67+K70)/2.01,0)</f>
        <v>-268339</v>
      </c>
      <c r="L72" s="93" t="n">
        <f aca="false">ROUND((L67+L70)/2.01,0)</f>
        <v>-271673</v>
      </c>
      <c r="M72" s="93" t="n">
        <f aca="false">ROUND((M67+M70)/2.01,0)</f>
        <v>-270578</v>
      </c>
      <c r="N72" s="93" t="n">
        <f aca="false">ROUND((N67+N70)/2.01,0)</f>
        <v>-271324</v>
      </c>
      <c r="O72" s="93" t="n">
        <f aca="false">ROUND((O67+O70)/2.01,0)</f>
        <v>-265354</v>
      </c>
      <c r="P72" s="5"/>
      <c r="Q72" s="5"/>
      <c r="R72" s="5"/>
      <c r="S72" s="49" t="s">
        <v>122</v>
      </c>
      <c r="T72" s="5"/>
      <c r="U72" s="51" t="n">
        <f aca="false">SUM(U64:U70)</f>
        <v>12988</v>
      </c>
      <c r="V72" s="2"/>
      <c r="W72" s="2"/>
      <c r="X72" s="2"/>
    </row>
    <row r="73" customFormat="false" ht="12.75" hidden="false" customHeight="true" outlineLevel="0" collapsed="false">
      <c r="A73" s="2"/>
      <c r="B73" s="50" t="str">
        <f aca="false">+'NNG-3rd CE 2001'!B73</f>
        <v>   Average Short Term Interest Rate (Corp.-%)</v>
      </c>
      <c r="C73" s="116" t="n">
        <f aca="false">+'NNG-3rd CE 2001'!C73</f>
        <v>0.06</v>
      </c>
      <c r="D73" s="116" t="n">
        <f aca="false">+'NNG-3rd CE 2001'!D73</f>
        <v>0.0574</v>
      </c>
      <c r="E73" s="116" t="n">
        <f aca="false">+'NNG-3rd CE 2001'!E73</f>
        <v>0.0539</v>
      </c>
      <c r="F73" s="116" t="n">
        <f aca="false">+'NNG-3rd CE 2001'!F73</f>
        <v>0.05</v>
      </c>
      <c r="G73" s="116" t="n">
        <f aca="false">+'NNG-3rd CE 2001'!G73</f>
        <v>0.05</v>
      </c>
      <c r="H73" s="116" t="n">
        <f aca="false">+'NNG-3rd CE 2001'!H73</f>
        <v>0.0416</v>
      </c>
      <c r="I73" s="116" t="n">
        <f aca="false">+'NNG-3rd CE 2001'!I73</f>
        <v>0.0392</v>
      </c>
      <c r="J73" s="116" t="n">
        <f aca="false">+'NNG-3rd CE 2001'!J73</f>
        <v>0.0372</v>
      </c>
      <c r="K73" s="116" t="n">
        <f aca="false">+'NNG-3rd CE 2001'!K73</f>
        <v>0.036</v>
      </c>
      <c r="L73" s="116" t="n">
        <f aca="false">+'NNG-3rd CE 2001'!L73</f>
        <v>0.036</v>
      </c>
      <c r="M73" s="116" t="n">
        <f aca="false">+'NNG-3rd CE 2001'!M73</f>
        <v>0.036</v>
      </c>
      <c r="N73" s="116" t="n">
        <f aca="false">+'NNG-3rd CE 2001'!N73</f>
        <v>0.036</v>
      </c>
      <c r="O73" s="116" t="n">
        <f aca="false">+'NNG-3rd CE 2001'!O73</f>
        <v>0.036</v>
      </c>
      <c r="P73" s="5"/>
      <c r="Q73" s="5"/>
      <c r="R73" s="5"/>
      <c r="S73" s="5"/>
      <c r="T73" s="5"/>
      <c r="U73" s="5"/>
      <c r="V73" s="2"/>
      <c r="W73" s="2"/>
      <c r="X73" s="2"/>
    </row>
    <row r="74" customFormat="false" ht="3.95" hidden="false" customHeight="true" outlineLevel="0" collapsed="false">
      <c r="A74" s="2"/>
      <c r="B74" s="5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5"/>
      <c r="Q74" s="5"/>
      <c r="R74" s="5"/>
      <c r="S74" s="5"/>
      <c r="T74" s="5"/>
      <c r="U74" s="5"/>
      <c r="V74" s="2"/>
      <c r="W74" s="2"/>
      <c r="X74" s="2"/>
    </row>
    <row r="75" customFormat="false" ht="12.6" hidden="false" customHeight="true" outlineLevel="0" collapsed="false">
      <c r="A75" s="2"/>
      <c r="B75" s="50" t="str">
        <f aca="false">+'NNG-3rd CE 2001'!B75</f>
        <v>      Short Term Interest (Inc.) / Exp. Calculation </v>
      </c>
      <c r="C75" s="20" t="n">
        <f aca="false">ROUND((C69)*(C73*(31/365)),0)</f>
        <v>0</v>
      </c>
      <c r="D75" s="20" t="n">
        <f aca="false">ROUND((D72)*(D73*(31/365)),0)</f>
        <v>-1875</v>
      </c>
      <c r="E75" s="20" t="n">
        <f aca="false">ROUND((E72)*(E73*(28/365)),0)</f>
        <v>-1636</v>
      </c>
      <c r="F75" s="20" t="n">
        <f aca="false">ROUND((F72)*(F73*(31/365)),0)</f>
        <v>-1728</v>
      </c>
      <c r="G75" s="20" t="n">
        <f aca="false">ROUND((G72)*(G73*(30/365)),0)</f>
        <v>-1715</v>
      </c>
      <c r="H75" s="20" t="n">
        <f aca="false">ROUND((H72)*(H73*(31/365)),0)</f>
        <v>-1426</v>
      </c>
      <c r="I75" s="20" t="n">
        <f aca="false">ROUND((I72)*(I73*(30/365)),0)</f>
        <v>-1073</v>
      </c>
      <c r="J75" s="20" t="n">
        <f aca="false">ROUND((J72)*(J73*(31/365)),0)</f>
        <v>-838</v>
      </c>
      <c r="K75" s="20" t="n">
        <f aca="false">ROUND((K72)*(K73*(31/365)),0)</f>
        <v>-820</v>
      </c>
      <c r="L75" s="20" t="n">
        <f aca="false">ROUND((L72)*(L73*(30/365)),0)</f>
        <v>-804</v>
      </c>
      <c r="M75" s="20" t="n">
        <f aca="false">ROUND((M72)*(M73*(31/365)),0)</f>
        <v>-827</v>
      </c>
      <c r="N75" s="20" t="n">
        <f aca="false">ROUND((N72)*(N73*(30/365)),0)</f>
        <v>-803</v>
      </c>
      <c r="O75" s="20" t="n">
        <f aca="false">ROUND((O72)*(O73*(31/365)),0)</f>
        <v>-811</v>
      </c>
      <c r="P75" s="20" t="n">
        <f aca="false">SUM(D75:O75)</f>
        <v>-14356</v>
      </c>
      <c r="Q75" s="5"/>
      <c r="R75" s="5"/>
      <c r="S75" s="2"/>
      <c r="T75" s="2"/>
      <c r="U75" s="2"/>
      <c r="V75" s="2"/>
      <c r="W75" s="2"/>
      <c r="X75" s="2"/>
    </row>
    <row r="76" customFormat="false" ht="12.6" hidden="false" customHeight="true" outlineLevel="0" collapsed="false">
      <c r="A76" s="2"/>
      <c r="B76" s="50" t="str">
        <f aca="false">+'NNG-3rd CE 2001'!B76</f>
        <v>         Corporate Tie-In Amount (Act. / Est. Adjust.) </v>
      </c>
      <c r="C76" s="34"/>
      <c r="D76" s="74" t="n">
        <f aca="false">1+1874</f>
        <v>1875</v>
      </c>
      <c r="E76" s="74" t="n">
        <f aca="false">5+1631</f>
        <v>1636</v>
      </c>
      <c r="F76" s="74" t="n">
        <f aca="false">-1874-1631+35</f>
        <v>-3470</v>
      </c>
      <c r="G76" s="22" t="n">
        <v>-70</v>
      </c>
      <c r="H76" s="22" t="n">
        <v>-3</v>
      </c>
      <c r="I76" s="22" t="n">
        <v>-246</v>
      </c>
      <c r="J76" s="22" t="n">
        <v>13</v>
      </c>
      <c r="K76" s="22" t="n">
        <v>-5</v>
      </c>
      <c r="L76" s="22" t="n">
        <v>34</v>
      </c>
      <c r="M76" s="22" t="n">
        <v>39</v>
      </c>
      <c r="N76" s="22" t="n">
        <v>60</v>
      </c>
      <c r="O76" s="22" t="n">
        <v>81</v>
      </c>
      <c r="P76" s="23" t="n">
        <f aca="false">SUM(D76:O76)</f>
        <v>-56</v>
      </c>
      <c r="Q76" s="5"/>
      <c r="R76" s="5"/>
      <c r="S76" s="2"/>
      <c r="T76" s="2"/>
      <c r="U76" s="2"/>
      <c r="V76" s="2"/>
      <c r="W76" s="2"/>
      <c r="X76" s="2"/>
    </row>
    <row r="77" customFormat="false" ht="12.6" hidden="false" customHeight="true" outlineLevel="0" collapsed="false">
      <c r="A77" s="2"/>
      <c r="B77" s="50" t="str">
        <f aca="false">+'NNG-3rd CE 2001'!B77</f>
        <v>            Total Short Term Interest (Inc.) / Exp. </v>
      </c>
      <c r="C77" s="2"/>
      <c r="D77" s="20" t="n">
        <f aca="false">SUM(D75:D76)</f>
        <v>0</v>
      </c>
      <c r="E77" s="20" t="n">
        <f aca="false">SUM(E75:E76)</f>
        <v>0</v>
      </c>
      <c r="F77" s="20" t="n">
        <f aca="false">SUM(F75:F76)</f>
        <v>-5198</v>
      </c>
      <c r="G77" s="20" t="n">
        <f aca="false">SUM(G75:G76)</f>
        <v>-1785</v>
      </c>
      <c r="H77" s="20" t="n">
        <f aca="false">SUM(H75:H76)</f>
        <v>-1429</v>
      </c>
      <c r="I77" s="20" t="n">
        <f aca="false">SUM(I75:I76)</f>
        <v>-1319</v>
      </c>
      <c r="J77" s="20" t="n">
        <f aca="false">SUM(J75:J76)</f>
        <v>-825</v>
      </c>
      <c r="K77" s="20" t="n">
        <f aca="false">SUM(K75:K76)</f>
        <v>-825</v>
      </c>
      <c r="L77" s="20" t="n">
        <f aca="false">SUM(L75:L76)</f>
        <v>-770</v>
      </c>
      <c r="M77" s="20" t="n">
        <f aca="false">SUM(M75:M76)</f>
        <v>-788</v>
      </c>
      <c r="N77" s="20" t="n">
        <f aca="false">SUM(N75:N76)</f>
        <v>-743</v>
      </c>
      <c r="O77" s="20" t="n">
        <f aca="false">SUM(O75:O76)</f>
        <v>-730</v>
      </c>
      <c r="P77" s="20" t="n">
        <f aca="false">SUM(P75:P76)</f>
        <v>-14412</v>
      </c>
      <c r="Q77" s="5"/>
      <c r="R77" s="5"/>
      <c r="S77" s="2"/>
      <c r="T77" s="2"/>
      <c r="U77" s="2"/>
      <c r="V77" s="2"/>
      <c r="W77" s="2"/>
      <c r="X77" s="2"/>
    </row>
    <row r="78" customFormat="false" ht="12.6" hidden="false" customHeight="true" outlineLevel="0" collapsed="false">
      <c r="A78" s="2"/>
      <c r="B78" s="17" t="s">
        <v>151</v>
      </c>
      <c r="C78" s="5"/>
      <c r="D78" s="47" t="n">
        <v>0</v>
      </c>
      <c r="E78" s="47" t="n">
        <v>0</v>
      </c>
      <c r="F78" s="47" t="n">
        <v>0</v>
      </c>
      <c r="G78" s="47" t="n">
        <v>0</v>
      </c>
      <c r="H78" s="47" t="n">
        <v>0</v>
      </c>
      <c r="I78" s="47" t="n">
        <v>0</v>
      </c>
      <c r="J78" s="47" t="n">
        <v>0</v>
      </c>
      <c r="K78" s="47" t="n">
        <v>0</v>
      </c>
      <c r="L78" s="47" t="n">
        <v>0</v>
      </c>
      <c r="M78" s="47" t="n">
        <v>0</v>
      </c>
      <c r="N78" s="47" t="n">
        <v>0</v>
      </c>
      <c r="O78" s="47" t="n">
        <v>0</v>
      </c>
      <c r="P78" s="20" t="n">
        <f aca="false">SUM(D78:O78)</f>
        <v>0</v>
      </c>
      <c r="Q78" s="5"/>
      <c r="R78" s="5"/>
      <c r="S78" s="2"/>
      <c r="T78" s="2"/>
      <c r="U78" s="2"/>
      <c r="V78" s="2"/>
      <c r="W78" s="2"/>
      <c r="X78" s="2"/>
    </row>
    <row r="79" customFormat="false" ht="12.6" hidden="false" customHeight="true" outlineLevel="0" collapsed="false">
      <c r="A79" s="2"/>
      <c r="B79" s="50" t="str">
        <f aca="false">+'NNG-3rd CE 2001'!B79</f>
        <v>         Unamortized Debt Expense</v>
      </c>
      <c r="C79" s="5"/>
      <c r="D79" s="47" t="n">
        <v>0</v>
      </c>
      <c r="E79" s="47" t="n">
        <v>0</v>
      </c>
      <c r="F79" s="47" t="n">
        <v>0</v>
      </c>
      <c r="G79" s="47" t="n">
        <v>0</v>
      </c>
      <c r="H79" s="47" t="n">
        <v>0</v>
      </c>
      <c r="I79" s="47" t="n">
        <v>0</v>
      </c>
      <c r="J79" s="47" t="n">
        <v>0</v>
      </c>
      <c r="K79" s="47" t="n">
        <v>0</v>
      </c>
      <c r="L79" s="47" t="n">
        <v>0</v>
      </c>
      <c r="M79" s="47" t="n">
        <v>0</v>
      </c>
      <c r="N79" s="47" t="n">
        <v>0</v>
      </c>
      <c r="O79" s="47" t="n">
        <v>0</v>
      </c>
      <c r="P79" s="20" t="n">
        <f aca="false">SUM(D79:O79)</f>
        <v>0</v>
      </c>
      <c r="Q79" s="5"/>
      <c r="R79" s="5"/>
      <c r="S79" s="2"/>
      <c r="T79" s="2"/>
      <c r="U79" s="2"/>
      <c r="V79" s="2"/>
      <c r="W79" s="2"/>
      <c r="X79" s="2"/>
    </row>
    <row r="80" customFormat="false" ht="12.75" hidden="false" customHeight="true" outlineLevel="0" collapsed="false">
      <c r="A80" s="2"/>
      <c r="B80" s="17" t="s">
        <v>152</v>
      </c>
      <c r="C80" s="5"/>
      <c r="D80" s="22" t="n">
        <v>0</v>
      </c>
      <c r="E80" s="22" t="n">
        <v>0</v>
      </c>
      <c r="F80" s="22" t="n">
        <v>0</v>
      </c>
      <c r="G80" s="22" t="n">
        <v>0</v>
      </c>
      <c r="H80" s="22" t="n">
        <v>0</v>
      </c>
      <c r="I80" s="22" t="n">
        <v>0</v>
      </c>
      <c r="J80" s="22" t="n">
        <v>0</v>
      </c>
      <c r="K80" s="22" t="n">
        <v>0</v>
      </c>
      <c r="L80" s="22" t="n">
        <v>0</v>
      </c>
      <c r="M80" s="22" t="n">
        <v>0</v>
      </c>
      <c r="N80" s="22" t="n">
        <v>0</v>
      </c>
      <c r="O80" s="22" t="n">
        <v>0</v>
      </c>
      <c r="P80" s="23" t="n">
        <f aca="false">SUM(D80:O80)</f>
        <v>0</v>
      </c>
      <c r="Q80" s="5"/>
      <c r="R80" s="5"/>
      <c r="S80" s="2"/>
      <c r="T80" s="2"/>
      <c r="U80" s="2"/>
      <c r="V80" s="2"/>
      <c r="W80" s="2"/>
      <c r="X80" s="2"/>
    </row>
    <row r="81" customFormat="false" ht="3.95" hidden="false" customHeight="true" outlineLevel="0" collapsed="false">
      <c r="A81" s="2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5"/>
      <c r="Q81" s="5"/>
      <c r="R81" s="5"/>
      <c r="S81" s="2"/>
      <c r="T81" s="2"/>
      <c r="U81" s="2"/>
      <c r="V81" s="2"/>
      <c r="W81" s="2"/>
      <c r="X81" s="2"/>
    </row>
    <row r="82" customFormat="false" ht="12.6" hidden="false" customHeight="true" outlineLevel="0" collapsed="false">
      <c r="A82" s="2"/>
      <c r="B82" s="99"/>
      <c r="C82" s="34"/>
      <c r="D82" s="94" t="n">
        <f aca="false">SUM(D77:D80)</f>
        <v>0</v>
      </c>
      <c r="E82" s="94" t="n">
        <f aca="false">SUM(E77:E80)</f>
        <v>0</v>
      </c>
      <c r="F82" s="94" t="n">
        <f aca="false">SUM(F77:F80)</f>
        <v>-5198</v>
      </c>
      <c r="G82" s="94" t="n">
        <f aca="false">SUM(G77:G80)</f>
        <v>-1785</v>
      </c>
      <c r="H82" s="94" t="n">
        <f aca="false">SUM(H77:H80)</f>
        <v>-1429</v>
      </c>
      <c r="I82" s="94" t="n">
        <f aca="false">SUM(I77:I80)</f>
        <v>-1319</v>
      </c>
      <c r="J82" s="94" t="n">
        <f aca="false">SUM(J77:J80)</f>
        <v>-825</v>
      </c>
      <c r="K82" s="94" t="n">
        <f aca="false">SUM(K77:K80)</f>
        <v>-825</v>
      </c>
      <c r="L82" s="94" t="n">
        <f aca="false">SUM(L77:L80)</f>
        <v>-770</v>
      </c>
      <c r="M82" s="94" t="n">
        <f aca="false">SUM(M77:M80)</f>
        <v>-788</v>
      </c>
      <c r="N82" s="94" t="n">
        <f aca="false">SUM(N77:N80)</f>
        <v>-743</v>
      </c>
      <c r="O82" s="94" t="n">
        <f aca="false">SUM(O77:O80)</f>
        <v>-730</v>
      </c>
      <c r="P82" s="94" t="n">
        <f aca="false">SUM(P77:P80)</f>
        <v>-14412</v>
      </c>
      <c r="Q82" s="33" t="n">
        <f aca="false">+P82-SUM(D82:O82)</f>
        <v>0</v>
      </c>
      <c r="R82" s="33"/>
      <c r="S82" s="2"/>
      <c r="T82" s="2"/>
      <c r="U82" s="117" t="n">
        <f aca="true">NOW()</f>
        <v>45926.9642538255</v>
      </c>
      <c r="V82" s="2"/>
      <c r="W82" s="2"/>
      <c r="X82" s="2"/>
    </row>
    <row r="83" customFormat="false" ht="12.6" hidden="false" customHeight="true" outlineLevel="0" collapsed="false">
      <c r="A83" s="2"/>
      <c r="B83" s="99"/>
      <c r="C83" s="3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33"/>
      <c r="R83" s="33"/>
      <c r="S83" s="2"/>
      <c r="T83" s="2"/>
      <c r="U83" s="117"/>
      <c r="V83" s="2"/>
      <c r="W83" s="2"/>
      <c r="X83" s="2"/>
    </row>
    <row r="84" customFormat="false" ht="12.6" hidden="false" customHeight="true" outlineLevel="0" collapsed="false">
      <c r="A84" s="118" t="str">
        <f aca="true">CELL("FILENAME")</f>
        <v>'file:///mnt/12tb/@roms/datasets/enron/EDRM Enron Email Data Set v2 XML/filtered-attachments/xls/DBTEQTY02.xls'#$TW-3rd CE 2001</v>
      </c>
      <c r="B84" s="99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3"/>
      <c r="S84" s="2"/>
      <c r="T84" s="2"/>
      <c r="U84" s="42" t="n">
        <f aca="true">NOW()</f>
        <v>45926.9642538258</v>
      </c>
      <c r="V84" s="2"/>
      <c r="W84" s="2"/>
      <c r="X84" s="2"/>
    </row>
    <row r="85" customFormat="false" ht="12.8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customFormat="false" ht="12.8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customFormat="false" ht="12.8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25" right="0.25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87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2" ySplit="3" topLeftCell="C7" activePane="bottomRight" state="frozen"/>
      <selection pane="topLeft" activeCell="A4" activeCellId="0" sqref="A4"/>
      <selection pane="topRight" activeCell="C4" activeCellId="0" sqref="C4"/>
      <selection pane="bottomLeft" activeCell="A7" activeCellId="0" sqref="A7"/>
      <selection pane="bottomRight" activeCell="C7" activeCellId="0" sqref="C7 C7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.82"/>
    <col collapsed="false" customWidth="true" hidden="false" outlineLevel="0" max="2" min="2" style="0" width="60.82"/>
    <col collapsed="false" customWidth="true" hidden="false" outlineLevel="0" max="3" min="3" style="0" width="13.82"/>
    <col collapsed="false" customWidth="true" hidden="false" outlineLevel="0" max="15" min="4" style="0" width="12.82"/>
    <col collapsed="false" customWidth="true" hidden="false" outlineLevel="0" max="16" min="16" style="0" width="13.82"/>
    <col collapsed="false" customWidth="true" hidden="false" outlineLevel="0" max="17" min="17" style="0" width="5.82"/>
    <col collapsed="false" customWidth="true" hidden="false" outlineLevel="0" max="18" min="18" style="0" width="4.82"/>
    <col collapsed="false" customWidth="true" hidden="false" outlineLevel="0" max="19" min="19" style="0" width="45.82"/>
    <col collapsed="false" customWidth="true" hidden="false" outlineLevel="0" max="20" min="20" style="0" width="11.82"/>
    <col collapsed="false" customWidth="true" hidden="false" outlineLevel="0" max="21" min="21" style="0" width="10.82"/>
  </cols>
  <sheetData>
    <row r="1" customFormat="false" ht="12.75" hidden="false" customHeight="true" outlineLevel="0" collapsed="false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</row>
    <row r="2" customFormat="false" ht="12.75" hidden="false" customHeight="true" outlineLevel="0" collapsed="false">
      <c r="A2" s="3" t="s">
        <v>153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</row>
    <row r="3" customFormat="false" ht="12.75" hidden="false" customHeight="true" outlineLevel="0" collapsed="false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</row>
    <row r="4" customFormat="false" ht="12.6" hidden="false" customHeight="true" outlineLevel="0" collapsed="false">
      <c r="A4" s="2"/>
      <c r="B4" s="6" t="s">
        <v>154</v>
      </c>
      <c r="C4" s="8" t="s">
        <v>155</v>
      </c>
      <c r="D4" s="7"/>
      <c r="E4" s="8"/>
      <c r="F4" s="2"/>
      <c r="G4" s="2"/>
      <c r="H4" s="8"/>
      <c r="J4" s="10"/>
      <c r="K4" s="8"/>
      <c r="L4" s="7"/>
      <c r="M4" s="7"/>
      <c r="N4" s="7"/>
      <c r="O4" s="7"/>
      <c r="P4" s="7"/>
      <c r="Q4" s="5"/>
      <c r="R4" s="5"/>
      <c r="S4" s="5"/>
      <c r="T4" s="16"/>
      <c r="U4" s="5"/>
      <c r="V4" s="2"/>
      <c r="W4" s="2"/>
      <c r="X4" s="2"/>
    </row>
    <row r="5" customFormat="false" ht="12.6" hidden="false" customHeight="true" outlineLevel="0" collapsed="false">
      <c r="A5" s="2"/>
      <c r="B5" s="7"/>
      <c r="C5" s="43" t="s">
        <v>36</v>
      </c>
      <c r="D5" s="8" t="s">
        <v>156</v>
      </c>
      <c r="E5" s="8" t="s">
        <v>156</v>
      </c>
      <c r="F5" s="8" t="s">
        <v>156</v>
      </c>
      <c r="G5" s="8" t="s">
        <v>156</v>
      </c>
      <c r="H5" s="8" t="s">
        <v>156</v>
      </c>
      <c r="I5" s="8" t="s">
        <v>156</v>
      </c>
      <c r="J5" s="8" t="s">
        <v>156</v>
      </c>
      <c r="K5" s="8" t="s">
        <v>156</v>
      </c>
      <c r="L5" s="8" t="s">
        <v>156</v>
      </c>
      <c r="M5" s="8" t="s">
        <v>156</v>
      </c>
      <c r="N5" s="8" t="s">
        <v>156</v>
      </c>
      <c r="O5" s="8" t="s">
        <v>156</v>
      </c>
      <c r="P5" s="44" t="str">
        <f aca="false">+C5</f>
        <v>YEAR END</v>
      </c>
      <c r="Q5" s="5"/>
      <c r="R5" s="5"/>
      <c r="S5" s="16"/>
      <c r="T5" s="16"/>
      <c r="U5" s="5"/>
      <c r="V5" s="2"/>
      <c r="W5" s="2"/>
      <c r="X5" s="2"/>
    </row>
    <row r="6" customFormat="false" ht="12.6" hidden="false" customHeight="true" outlineLevel="0" collapsed="false">
      <c r="A6" s="2"/>
      <c r="B6" s="7"/>
      <c r="C6" s="12" t="s">
        <v>39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  <c r="N6" s="11" t="s">
        <v>14</v>
      </c>
      <c r="O6" s="11" t="s">
        <v>15</v>
      </c>
      <c r="P6" s="12" t="s">
        <v>157</v>
      </c>
      <c r="Q6" s="5"/>
      <c r="R6" s="5"/>
      <c r="S6" s="45"/>
      <c r="T6" s="45"/>
      <c r="U6" s="5"/>
      <c r="V6" s="2"/>
      <c r="W6" s="2"/>
      <c r="X6" s="2"/>
    </row>
    <row r="7" customFormat="false" ht="12.6" hidden="false" customHeight="true" outlineLevel="0" collapsed="false">
      <c r="A7" s="13" t="s">
        <v>40</v>
      </c>
      <c r="B7" s="7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5"/>
      <c r="R7" s="5"/>
      <c r="S7" s="45"/>
      <c r="T7" s="45"/>
      <c r="U7" s="5"/>
      <c r="V7" s="2"/>
      <c r="W7" s="2"/>
      <c r="X7" s="2"/>
    </row>
    <row r="8" customFormat="false" ht="12.6" hidden="false" customHeight="true" outlineLevel="0" collapsed="false">
      <c r="A8" s="2"/>
      <c r="B8" s="17" t="s">
        <v>41</v>
      </c>
      <c r="C8" s="46" t="n">
        <f aca="false">-870474-188331</f>
        <v>-1058805</v>
      </c>
      <c r="D8" s="20" t="n">
        <f aca="false">C15</f>
        <v>-329928</v>
      </c>
      <c r="E8" s="20" t="n">
        <f aca="false">D15</f>
        <v>-349828</v>
      </c>
      <c r="F8" s="20" t="n">
        <f aca="false">E15</f>
        <v>-366528</v>
      </c>
      <c r="G8" s="20" t="n">
        <f aca="false">F15</f>
        <v>-376928</v>
      </c>
      <c r="H8" s="20" t="n">
        <f aca="false">G15</f>
        <v>-411128</v>
      </c>
      <c r="I8" s="20" t="n">
        <f aca="false">H15</f>
        <v>-399628</v>
      </c>
      <c r="J8" s="20" t="n">
        <f aca="false">I15</f>
        <v>-380528</v>
      </c>
      <c r="K8" s="20" t="n">
        <f aca="false">J15</f>
        <v>-374228</v>
      </c>
      <c r="L8" s="20" t="n">
        <f aca="false">K15</f>
        <v>-368128</v>
      </c>
      <c r="M8" s="20" t="n">
        <f aca="false">L15</f>
        <v>-346328</v>
      </c>
      <c r="N8" s="20" t="n">
        <f aca="false">M15</f>
        <v>-338128</v>
      </c>
      <c r="O8" s="20" t="n">
        <f aca="false">N15</f>
        <v>-318928</v>
      </c>
      <c r="P8" s="5"/>
      <c r="Q8" s="5"/>
      <c r="R8" s="5"/>
      <c r="S8" s="2"/>
      <c r="T8" s="2"/>
      <c r="U8" s="5"/>
      <c r="V8" s="2"/>
      <c r="W8" s="2"/>
      <c r="X8" s="2"/>
    </row>
    <row r="9" customFormat="false" ht="12.6" hidden="false" customHeight="true" outlineLevel="0" collapsed="false">
      <c r="A9" s="2"/>
      <c r="B9" s="17" t="s">
        <v>158</v>
      </c>
      <c r="C9" s="5"/>
      <c r="D9" s="47" t="n">
        <v>-40200</v>
      </c>
      <c r="E9" s="47" t="n">
        <v>-41500</v>
      </c>
      <c r="F9" s="46" t="n">
        <f aca="false">-32200+900</f>
        <v>-31300</v>
      </c>
      <c r="G9" s="47" t="n">
        <v>-41800</v>
      </c>
      <c r="H9" s="47" t="n">
        <v>5400</v>
      </c>
      <c r="I9" s="46" t="n">
        <f aca="false">5700+1300</f>
        <v>7000</v>
      </c>
      <c r="J9" s="47" t="n">
        <v>-1900</v>
      </c>
      <c r="K9" s="47" t="n">
        <v>-1900</v>
      </c>
      <c r="L9" s="46" t="n">
        <f aca="false">13100+1900</f>
        <v>15000</v>
      </c>
      <c r="M9" s="47" t="n">
        <v>300</v>
      </c>
      <c r="N9" s="47" t="n">
        <v>-500</v>
      </c>
      <c r="O9" s="46" t="n">
        <f aca="false">-22800+1900</f>
        <v>-20900</v>
      </c>
      <c r="P9" s="20" t="n">
        <f aca="false">SUM(D9:O9)</f>
        <v>-152300</v>
      </c>
      <c r="Q9" s="5"/>
      <c r="R9" s="5"/>
      <c r="S9" s="16"/>
      <c r="T9" s="15"/>
      <c r="U9" s="5"/>
      <c r="V9" s="2"/>
      <c r="W9" s="2"/>
      <c r="X9" s="2"/>
    </row>
    <row r="10" customFormat="false" ht="12.6" hidden="false" customHeight="true" outlineLevel="0" collapsed="false">
      <c r="A10" s="2"/>
      <c r="B10" s="17" t="s">
        <v>43</v>
      </c>
      <c r="C10" s="47" t="n">
        <f aca="false">573870+155007</f>
        <v>728877</v>
      </c>
      <c r="D10" s="46" t="n">
        <f aca="false">20500-200</f>
        <v>20300</v>
      </c>
      <c r="E10" s="46" t="n">
        <f aca="false">25000-200</f>
        <v>24800</v>
      </c>
      <c r="F10" s="46" t="n">
        <f aca="false">21100-200</f>
        <v>20900</v>
      </c>
      <c r="G10" s="46" t="n">
        <f aca="false">7800-200</f>
        <v>7600</v>
      </c>
      <c r="H10" s="46" t="n">
        <f aca="false">6300-200</f>
        <v>6100</v>
      </c>
      <c r="I10" s="46" t="n">
        <f aca="false">12700-600</f>
        <v>12100</v>
      </c>
      <c r="J10" s="46" t="n">
        <f aca="false">8800-600</f>
        <v>8200</v>
      </c>
      <c r="K10" s="46" t="n">
        <f aca="false">8500-500</f>
        <v>8000</v>
      </c>
      <c r="L10" s="46" t="n">
        <f aca="false">7300-500</f>
        <v>6800</v>
      </c>
      <c r="M10" s="46" t="n">
        <f aca="false">8400-500</f>
        <v>7900</v>
      </c>
      <c r="N10" s="46" t="n">
        <f aca="false">20200-500</f>
        <v>19700</v>
      </c>
      <c r="O10" s="46" t="n">
        <f aca="false">22200-500</f>
        <v>21700</v>
      </c>
      <c r="P10" s="20" t="n">
        <f aca="false">SUM(D10:O10)</f>
        <v>164100</v>
      </c>
      <c r="Q10" s="5"/>
      <c r="R10" s="5"/>
      <c r="S10" s="49" t="s">
        <v>44</v>
      </c>
      <c r="U10" s="33" t="n">
        <f aca="false">ROUND(SUM(D15:O15)/12,0)</f>
        <v>-362370</v>
      </c>
      <c r="V10" s="2"/>
      <c r="W10" s="2"/>
      <c r="X10" s="2"/>
    </row>
    <row r="11" customFormat="false" ht="12.6" hidden="false" customHeight="true" outlineLevel="0" collapsed="false">
      <c r="A11" s="2"/>
      <c r="B11" s="17" t="s">
        <v>45</v>
      </c>
      <c r="C11" s="5"/>
      <c r="D11" s="20" t="n">
        <f aca="false">-D27</f>
        <v>-0</v>
      </c>
      <c r="E11" s="20" t="n">
        <f aca="false">-E27</f>
        <v>-0</v>
      </c>
      <c r="F11" s="20" t="n">
        <f aca="false">-F27</f>
        <v>-0</v>
      </c>
      <c r="G11" s="20" t="n">
        <f aca="false">-G27</f>
        <v>-0</v>
      </c>
      <c r="H11" s="20" t="n">
        <f aca="false">-H27</f>
        <v>-0</v>
      </c>
      <c r="I11" s="20" t="n">
        <f aca="false">-I27</f>
        <v>-0</v>
      </c>
      <c r="J11" s="20" t="n">
        <f aca="false">-J27</f>
        <v>-0</v>
      </c>
      <c r="K11" s="20" t="n">
        <f aca="false">-K27</f>
        <v>-0</v>
      </c>
      <c r="L11" s="20" t="n">
        <f aca="false">-L27</f>
        <v>-0</v>
      </c>
      <c r="M11" s="20" t="n">
        <f aca="false">-M27</f>
        <v>-0</v>
      </c>
      <c r="N11" s="20" t="n">
        <f aca="false">-N27</f>
        <v>-0</v>
      </c>
      <c r="O11" s="20" t="n">
        <f aca="false">-O27</f>
        <v>-0</v>
      </c>
      <c r="P11" s="20" t="n">
        <f aca="false">SUM(D11:O11)</f>
        <v>0</v>
      </c>
      <c r="Q11" s="5"/>
      <c r="R11" s="5"/>
      <c r="S11" s="50" t="s">
        <v>46</v>
      </c>
      <c r="T11" s="15"/>
      <c r="U11" s="22" t="n">
        <v>17179</v>
      </c>
      <c r="V11" s="2"/>
      <c r="W11" s="2"/>
      <c r="X11" s="2"/>
    </row>
    <row r="12" customFormat="false" ht="12.6" hidden="false" customHeight="true" outlineLevel="0" collapsed="false">
      <c r="A12" s="2"/>
      <c r="B12" s="17" t="s">
        <v>47</v>
      </c>
      <c r="C12" s="5"/>
      <c r="D12" s="47" t="n">
        <v>0</v>
      </c>
      <c r="E12" s="47" t="n">
        <v>0</v>
      </c>
      <c r="F12" s="47" t="n">
        <v>0</v>
      </c>
      <c r="G12" s="47" t="n">
        <v>0</v>
      </c>
      <c r="H12" s="47" t="n">
        <v>0</v>
      </c>
      <c r="I12" s="47" t="n">
        <v>0</v>
      </c>
      <c r="J12" s="47" t="n">
        <v>0</v>
      </c>
      <c r="K12" s="47" t="n">
        <v>0</v>
      </c>
      <c r="L12" s="47" t="n">
        <v>0</v>
      </c>
      <c r="M12" s="47" t="n">
        <v>0</v>
      </c>
      <c r="N12" s="47" t="n">
        <v>0</v>
      </c>
      <c r="O12" s="47" t="n">
        <v>0</v>
      </c>
      <c r="P12" s="20" t="n">
        <f aca="false">SUM(D12:O12)</f>
        <v>0</v>
      </c>
      <c r="Q12" s="5"/>
      <c r="R12" s="5"/>
      <c r="S12" s="5" t="s">
        <v>48</v>
      </c>
      <c r="T12" s="5"/>
      <c r="U12" s="51" t="n">
        <f aca="false">SUM(U10:U11)</f>
        <v>-345191</v>
      </c>
      <c r="V12" s="2"/>
      <c r="W12" s="2"/>
      <c r="X12" s="2"/>
    </row>
    <row r="13" customFormat="false" ht="12.6" hidden="false" customHeight="true" outlineLevel="0" collapsed="false">
      <c r="A13" s="2"/>
      <c r="B13" s="17" t="s">
        <v>49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5"/>
      <c r="Q13" s="5"/>
      <c r="R13" s="5"/>
      <c r="S13" s="5"/>
      <c r="T13" s="5"/>
      <c r="U13" s="5"/>
      <c r="V13" s="2"/>
      <c r="W13" s="2"/>
      <c r="X13" s="2"/>
    </row>
    <row r="14" customFormat="false" ht="3.95" hidden="false" customHeight="true" outlineLevel="0" collapsed="false">
      <c r="A14" s="2"/>
      <c r="B14" s="2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6"/>
      <c r="T14" s="20"/>
      <c r="U14" s="5"/>
      <c r="V14" s="2"/>
      <c r="W14" s="2"/>
      <c r="X14" s="2"/>
    </row>
    <row r="15" customFormat="false" ht="12.6" hidden="false" customHeight="true" outlineLevel="0" collapsed="false">
      <c r="A15" s="2"/>
      <c r="B15" s="17" t="s">
        <v>50</v>
      </c>
      <c r="C15" s="23" t="n">
        <f aca="false">SUM(C8:C14)</f>
        <v>-329928</v>
      </c>
      <c r="D15" s="23" t="n">
        <f aca="false">SUM(D8:D14)</f>
        <v>-349828</v>
      </c>
      <c r="E15" s="23" t="n">
        <f aca="false">SUM(E8:E14)</f>
        <v>-366528</v>
      </c>
      <c r="F15" s="23" t="n">
        <f aca="false">SUM(F8:F14)</f>
        <v>-376928</v>
      </c>
      <c r="G15" s="23" t="n">
        <f aca="false">SUM(G8:G14)</f>
        <v>-411128</v>
      </c>
      <c r="H15" s="23" t="n">
        <f aca="false">SUM(H8:H14)</f>
        <v>-399628</v>
      </c>
      <c r="I15" s="23" t="n">
        <f aca="false">SUM(I8:I14)</f>
        <v>-380528</v>
      </c>
      <c r="J15" s="23" t="n">
        <f aca="false">SUM(J8:J14)</f>
        <v>-374228</v>
      </c>
      <c r="K15" s="23" t="n">
        <f aca="false">SUM(K8:K14)</f>
        <v>-368128</v>
      </c>
      <c r="L15" s="23" t="n">
        <f aca="false">SUM(L8:L14)</f>
        <v>-346328</v>
      </c>
      <c r="M15" s="23" t="n">
        <f aca="false">SUM(M8:M14)</f>
        <v>-338128</v>
      </c>
      <c r="N15" s="23" t="n">
        <f aca="false">SUM(N8:N14)</f>
        <v>-318928</v>
      </c>
      <c r="O15" s="23" t="n">
        <f aca="false">SUM(O8:O14)</f>
        <v>-318128</v>
      </c>
      <c r="P15" s="5" t="s">
        <v>51</v>
      </c>
      <c r="Q15" s="5"/>
      <c r="R15" s="5"/>
      <c r="S15" s="15"/>
      <c r="T15" s="23"/>
      <c r="U15" s="5"/>
      <c r="V15" s="2"/>
      <c r="W15" s="2"/>
      <c r="X15" s="2"/>
    </row>
    <row r="16" customFormat="false" ht="8.1" hidden="false" customHeight="true" outlineLevel="0" collapsed="false">
      <c r="A16" s="2"/>
      <c r="B16" s="2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2"/>
      <c r="T16" s="53"/>
      <c r="U16" s="54"/>
      <c r="V16" s="2"/>
      <c r="W16" s="2"/>
      <c r="X16" s="2"/>
    </row>
    <row r="17" customFormat="false" ht="12.6" hidden="false" customHeight="true" outlineLevel="0" collapsed="false">
      <c r="A17" s="2"/>
      <c r="B17" s="17" t="s">
        <v>52</v>
      </c>
      <c r="C17" s="47" t="n">
        <v>500000</v>
      </c>
      <c r="D17" s="20" t="n">
        <f aca="false">C23</f>
        <v>499743</v>
      </c>
      <c r="E17" s="20" t="n">
        <f aca="false">D23</f>
        <v>499749</v>
      </c>
      <c r="F17" s="20" t="n">
        <f aca="false">E23</f>
        <v>499755</v>
      </c>
      <c r="G17" s="20" t="n">
        <f aca="false">F23</f>
        <v>499762</v>
      </c>
      <c r="H17" s="20" t="n">
        <f aca="false">G23</f>
        <v>499768</v>
      </c>
      <c r="I17" s="20" t="n">
        <f aca="false">H23</f>
        <v>499775</v>
      </c>
      <c r="J17" s="20" t="n">
        <f aca="false">I23</f>
        <v>499781</v>
      </c>
      <c r="K17" s="20" t="n">
        <f aca="false">J23</f>
        <v>499788</v>
      </c>
      <c r="L17" s="20" t="n">
        <f aca="false">K23</f>
        <v>499794</v>
      </c>
      <c r="M17" s="20" t="n">
        <f aca="false">L23</f>
        <v>499801</v>
      </c>
      <c r="N17" s="20" t="n">
        <f aca="false">M23</f>
        <v>499807</v>
      </c>
      <c r="O17" s="20" t="n">
        <f aca="false">N23</f>
        <v>499814</v>
      </c>
      <c r="P17" s="5"/>
      <c r="Q17" s="20"/>
      <c r="R17" s="20"/>
      <c r="S17" s="55" t="s">
        <v>53</v>
      </c>
      <c r="T17" s="56" t="s">
        <v>54</v>
      </c>
      <c r="U17" s="57" t="s">
        <v>55</v>
      </c>
      <c r="V17" s="2"/>
      <c r="W17" s="2"/>
      <c r="X17" s="2"/>
    </row>
    <row r="18" customFormat="false" ht="12.6" hidden="false" customHeight="true" outlineLevel="0" collapsed="false">
      <c r="A18" s="2"/>
      <c r="B18" s="17" t="s">
        <v>56</v>
      </c>
      <c r="C18" s="16"/>
      <c r="D18" s="47" t="n">
        <v>0</v>
      </c>
      <c r="E18" s="47" t="n">
        <v>0</v>
      </c>
      <c r="F18" s="47" t="n">
        <v>0</v>
      </c>
      <c r="G18" s="47" t="n">
        <v>0</v>
      </c>
      <c r="H18" s="47" t="n">
        <v>0</v>
      </c>
      <c r="I18" s="47" t="n">
        <v>0</v>
      </c>
      <c r="J18" s="47" t="n">
        <v>0</v>
      </c>
      <c r="K18" s="47" t="n">
        <v>0</v>
      </c>
      <c r="L18" s="47" t="n">
        <v>0</v>
      </c>
      <c r="M18" s="47" t="n">
        <v>0</v>
      </c>
      <c r="N18" s="47" t="n">
        <v>0</v>
      </c>
      <c r="O18" s="47" t="n">
        <v>0</v>
      </c>
      <c r="P18" s="5"/>
      <c r="Q18" s="5"/>
      <c r="R18" s="5"/>
      <c r="S18" s="58" t="s">
        <v>57</v>
      </c>
      <c r="T18" s="47" t="n">
        <v>500000</v>
      </c>
      <c r="U18" s="59" t="n">
        <f aca="false">ROUND(T18/T20,4)</f>
        <v>0.3049</v>
      </c>
      <c r="V18" s="2"/>
      <c r="W18" s="2"/>
      <c r="X18" s="2"/>
    </row>
    <row r="19" customFormat="false" ht="12.6" hidden="false" customHeight="true" outlineLevel="0" collapsed="false">
      <c r="A19" s="2"/>
      <c r="B19" s="17" t="s">
        <v>58</v>
      </c>
      <c r="C19" s="16"/>
      <c r="D19" s="47" t="n">
        <v>0</v>
      </c>
      <c r="E19" s="47" t="n">
        <v>0</v>
      </c>
      <c r="F19" s="47" t="n">
        <v>0</v>
      </c>
      <c r="G19" s="47" t="n">
        <v>0</v>
      </c>
      <c r="H19" s="47" t="n">
        <v>0</v>
      </c>
      <c r="I19" s="47" t="n">
        <v>0</v>
      </c>
      <c r="J19" s="47" t="n">
        <v>0</v>
      </c>
      <c r="K19" s="47" t="n">
        <v>0</v>
      </c>
      <c r="L19" s="47" t="n">
        <v>0</v>
      </c>
      <c r="M19" s="47" t="n">
        <v>0</v>
      </c>
      <c r="N19" s="47" t="n">
        <v>0</v>
      </c>
      <c r="O19" s="47" t="n">
        <v>0</v>
      </c>
      <c r="P19" s="5"/>
      <c r="Q19" s="5"/>
      <c r="R19" s="5"/>
      <c r="S19" s="60" t="s">
        <v>59</v>
      </c>
      <c r="T19" s="61" t="n">
        <f aca="false">L31-36788</f>
        <v>1140104</v>
      </c>
      <c r="U19" s="62" t="n">
        <f aca="false">ROUND(T19/T20,4)</f>
        <v>0.6951</v>
      </c>
      <c r="V19" s="2"/>
      <c r="W19" s="2"/>
      <c r="X19" s="2"/>
    </row>
    <row r="20" customFormat="false" ht="12.6" hidden="false" customHeight="true" outlineLevel="0" collapsed="false">
      <c r="A20" s="2"/>
      <c r="B20" s="17" t="s">
        <v>60</v>
      </c>
      <c r="C20" s="47" t="n">
        <v>-257</v>
      </c>
      <c r="D20" s="33" t="n">
        <f aca="false">D53</f>
        <v>6</v>
      </c>
      <c r="E20" s="33" t="n">
        <f aca="false">E53</f>
        <v>6</v>
      </c>
      <c r="F20" s="63" t="n">
        <f aca="false">F53</f>
        <v>7</v>
      </c>
      <c r="G20" s="33" t="n">
        <f aca="false">G53</f>
        <v>6</v>
      </c>
      <c r="H20" s="33" t="n">
        <f aca="false">H53</f>
        <v>7</v>
      </c>
      <c r="I20" s="33" t="n">
        <f aca="false">I53</f>
        <v>6</v>
      </c>
      <c r="J20" s="33" t="n">
        <f aca="false">J53</f>
        <v>7</v>
      </c>
      <c r="K20" s="33" t="n">
        <f aca="false">K53</f>
        <v>6</v>
      </c>
      <c r="L20" s="33" t="n">
        <f aca="false">L53</f>
        <v>7</v>
      </c>
      <c r="M20" s="33" t="n">
        <f aca="false">M53</f>
        <v>6</v>
      </c>
      <c r="N20" s="33" t="n">
        <f aca="false">N53</f>
        <v>7</v>
      </c>
      <c r="O20" s="33" t="n">
        <f aca="false">O53</f>
        <v>6</v>
      </c>
      <c r="P20" s="5"/>
      <c r="Q20" s="5"/>
      <c r="R20" s="5"/>
      <c r="S20" s="60" t="s">
        <v>61</v>
      </c>
      <c r="T20" s="34" t="n">
        <f aca="false">T18+T19</f>
        <v>1640104</v>
      </c>
      <c r="U20" s="64" t="n">
        <f aca="false">U18+U19</f>
        <v>1</v>
      </c>
      <c r="V20" s="2"/>
      <c r="W20" s="2"/>
      <c r="X20" s="2"/>
    </row>
    <row r="21" customFormat="false" ht="12.6" hidden="false" customHeight="true" outlineLevel="0" collapsed="false">
      <c r="A21" s="2"/>
      <c r="B21" s="17" t="s">
        <v>49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5"/>
      <c r="Q21" s="20"/>
      <c r="R21" s="20"/>
      <c r="S21" s="65"/>
      <c r="T21" s="66"/>
      <c r="U21" s="67"/>
      <c r="V21" s="2"/>
      <c r="W21" s="2"/>
      <c r="X21" s="2"/>
    </row>
    <row r="22" customFormat="false" ht="3.95" hidden="false" customHeight="true" outlineLevel="0" collapsed="false">
      <c r="A22" s="2"/>
      <c r="B22" s="2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6"/>
      <c r="T22" s="20"/>
      <c r="U22" s="5"/>
      <c r="V22" s="2"/>
      <c r="W22" s="2"/>
      <c r="X22" s="2"/>
    </row>
    <row r="23" customFormat="false" ht="12.6" hidden="false" customHeight="true" outlineLevel="0" collapsed="false">
      <c r="A23" s="2"/>
      <c r="B23" s="17" t="s">
        <v>62</v>
      </c>
      <c r="C23" s="23" t="n">
        <f aca="false">SUM(C17:C22)</f>
        <v>499743</v>
      </c>
      <c r="D23" s="23" t="n">
        <f aca="false">SUM(D17:D20)</f>
        <v>499749</v>
      </c>
      <c r="E23" s="23" t="n">
        <f aca="false">SUM(E17:E21)</f>
        <v>499755</v>
      </c>
      <c r="F23" s="23" t="n">
        <f aca="false">SUM(F17:F21)</f>
        <v>499762</v>
      </c>
      <c r="G23" s="23" t="n">
        <f aca="false">SUM(G17:G21)</f>
        <v>499768</v>
      </c>
      <c r="H23" s="23" t="n">
        <f aca="false">SUM(H17:H21)</f>
        <v>499775</v>
      </c>
      <c r="I23" s="23" t="n">
        <f aca="false">SUM(I17:I21)</f>
        <v>499781</v>
      </c>
      <c r="J23" s="23" t="n">
        <f aca="false">SUM(J17:J21)</f>
        <v>499788</v>
      </c>
      <c r="K23" s="23" t="n">
        <f aca="false">SUM(K17:K21)</f>
        <v>499794</v>
      </c>
      <c r="L23" s="23" t="n">
        <f aca="false">SUM(L17:L21)</f>
        <v>499801</v>
      </c>
      <c r="M23" s="23" t="n">
        <f aca="false">SUM(M17:M21)</f>
        <v>499807</v>
      </c>
      <c r="N23" s="23" t="n">
        <f aca="false">SUM(N17:N21)</f>
        <v>499814</v>
      </c>
      <c r="O23" s="23" t="n">
        <f aca="false">SUM(O17:O21)</f>
        <v>499820</v>
      </c>
      <c r="P23" s="5"/>
      <c r="Q23" s="20"/>
      <c r="R23" s="20"/>
      <c r="S23" s="15"/>
      <c r="T23" s="68"/>
      <c r="U23" s="5"/>
      <c r="V23" s="2"/>
      <c r="W23" s="2"/>
      <c r="X23" s="2"/>
    </row>
    <row r="24" customFormat="false" ht="8.1" hidden="false" customHeight="true" outlineLevel="0" collapsed="false">
      <c r="A24" s="2"/>
      <c r="B24" s="2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20"/>
      <c r="R24" s="20"/>
      <c r="S24" s="15"/>
      <c r="T24" s="5"/>
      <c r="U24" s="5"/>
      <c r="V24" s="2"/>
      <c r="W24" s="2"/>
      <c r="X24" s="2"/>
    </row>
    <row r="25" customFormat="false" ht="12.6" hidden="false" customHeight="true" outlineLevel="0" collapsed="false">
      <c r="A25" s="2"/>
      <c r="B25" s="17" t="s">
        <v>63</v>
      </c>
      <c r="C25" s="5"/>
      <c r="D25" s="20" t="n">
        <f aca="false">C31</f>
        <v>1116716</v>
      </c>
      <c r="E25" s="20" t="n">
        <f aca="false">D31</f>
        <v>1135057</v>
      </c>
      <c r="F25" s="20" t="n">
        <f aca="false">E31</f>
        <v>1152679</v>
      </c>
      <c r="G25" s="20" t="n">
        <f aca="false">F31</f>
        <v>1172968</v>
      </c>
      <c r="H25" s="20" t="n">
        <f aca="false">G31</f>
        <v>1171883</v>
      </c>
      <c r="I25" s="20" t="n">
        <f aca="false">H31</f>
        <v>1170787</v>
      </c>
      <c r="J25" s="20" t="n">
        <f aca="false">I31</f>
        <v>1178185</v>
      </c>
      <c r="K25" s="20" t="n">
        <f aca="false">J31</f>
        <v>1177338</v>
      </c>
      <c r="L25" s="20" t="n">
        <f aca="false">K31</f>
        <v>1177149</v>
      </c>
      <c r="M25" s="20" t="n">
        <f aca="false">L31</f>
        <v>1176892</v>
      </c>
      <c r="N25" s="20" t="n">
        <f aca="false">M31</f>
        <v>1175878</v>
      </c>
      <c r="O25" s="20" t="n">
        <f aca="false">N31</f>
        <v>1192880</v>
      </c>
      <c r="P25" s="5"/>
      <c r="Q25" s="5"/>
      <c r="R25" s="5"/>
      <c r="S25" s="2"/>
      <c r="T25" s="2"/>
      <c r="U25" s="5"/>
      <c r="V25" s="2"/>
      <c r="W25" s="2"/>
      <c r="X25" s="2"/>
    </row>
    <row r="26" customFormat="false" ht="12.6" hidden="false" customHeight="true" outlineLevel="0" collapsed="false">
      <c r="A26" s="2"/>
      <c r="B26" s="17" t="s">
        <v>64</v>
      </c>
      <c r="C26" s="5"/>
      <c r="D26" s="47" t="n">
        <v>18341</v>
      </c>
      <c r="E26" s="47" t="n">
        <v>17622</v>
      </c>
      <c r="F26" s="47" t="n">
        <v>20289</v>
      </c>
      <c r="G26" s="47" t="n">
        <v>-1085</v>
      </c>
      <c r="H26" s="47" t="n">
        <v>-1096</v>
      </c>
      <c r="I26" s="47" t="n">
        <v>7398</v>
      </c>
      <c r="J26" s="47" t="n">
        <v>-847</v>
      </c>
      <c r="K26" s="47" t="n">
        <v>-189</v>
      </c>
      <c r="L26" s="47" t="n">
        <v>-257</v>
      </c>
      <c r="M26" s="47" t="n">
        <v>-1014</v>
      </c>
      <c r="N26" s="47" t="n">
        <v>17002</v>
      </c>
      <c r="O26" s="47" t="n">
        <v>20971</v>
      </c>
      <c r="P26" s="20" t="n">
        <f aca="false">SUM(D26:O26)</f>
        <v>97135</v>
      </c>
      <c r="Q26" s="20"/>
      <c r="R26" s="20"/>
      <c r="V26" s="2"/>
      <c r="W26" s="2"/>
      <c r="X26" s="2"/>
      <c r="AB26" s="58" t="s">
        <v>57</v>
      </c>
      <c r="AC26" s="69" t="n">
        <v>600000</v>
      </c>
      <c r="AD26" s="59" t="n">
        <f aca="false">ROUND(AC26/AC29,4)</f>
        <v>0.3377</v>
      </c>
    </row>
    <row r="27" customFormat="false" ht="12.6" hidden="false" customHeight="true" outlineLevel="0" collapsed="false">
      <c r="A27" s="2"/>
      <c r="B27" s="17" t="s">
        <v>45</v>
      </c>
      <c r="C27" s="16"/>
      <c r="D27" s="47" t="n">
        <v>0</v>
      </c>
      <c r="E27" s="47" t="n">
        <v>0</v>
      </c>
      <c r="F27" s="47" t="n">
        <v>0</v>
      </c>
      <c r="G27" s="47" t="n">
        <v>0</v>
      </c>
      <c r="H27" s="47" t="n">
        <v>0</v>
      </c>
      <c r="I27" s="47" t="n">
        <v>0</v>
      </c>
      <c r="J27" s="47" t="n">
        <v>0</v>
      </c>
      <c r="K27" s="47" t="n">
        <v>0</v>
      </c>
      <c r="L27" s="47" t="n">
        <v>0</v>
      </c>
      <c r="M27" s="47" t="n">
        <v>0</v>
      </c>
      <c r="N27" s="47" t="n">
        <v>0</v>
      </c>
      <c r="O27" s="47" t="n">
        <v>0</v>
      </c>
      <c r="P27" s="20" t="n">
        <f aca="false">SUM(D27:O27)</f>
        <v>0</v>
      </c>
      <c r="Q27" s="5"/>
      <c r="R27" s="5"/>
      <c r="V27" s="2"/>
      <c r="W27" s="2"/>
      <c r="X27" s="2"/>
      <c r="AB27" s="60" t="s">
        <v>65</v>
      </c>
      <c r="AC27" s="70" t="n">
        <f aca="false">L31</f>
        <v>1176892</v>
      </c>
      <c r="AD27" s="62" t="n">
        <f aca="false">ROUND(AC27/AC29,4)</f>
        <v>0.6623</v>
      </c>
    </row>
    <row r="28" customFormat="false" ht="12.6" hidden="false" customHeight="true" outlineLevel="0" collapsed="false">
      <c r="A28" s="2"/>
      <c r="B28" s="17" t="s">
        <v>66</v>
      </c>
      <c r="C28" s="47" t="n">
        <v>36396</v>
      </c>
      <c r="D28" s="47" t="n">
        <v>0</v>
      </c>
      <c r="E28" s="47" t="n">
        <v>0</v>
      </c>
      <c r="F28" s="47" t="n">
        <v>0</v>
      </c>
      <c r="G28" s="47" t="n">
        <v>0</v>
      </c>
      <c r="H28" s="47" t="n">
        <v>0</v>
      </c>
      <c r="I28" s="47" t="n">
        <v>0</v>
      </c>
      <c r="J28" s="47" t="n">
        <v>0</v>
      </c>
      <c r="K28" s="47" t="n">
        <v>0</v>
      </c>
      <c r="L28" s="47" t="n">
        <v>0</v>
      </c>
      <c r="M28" s="47" t="n">
        <v>0</v>
      </c>
      <c r="N28" s="47" t="n">
        <v>0</v>
      </c>
      <c r="O28" s="47" t="n">
        <v>0</v>
      </c>
      <c r="P28" s="20" t="n">
        <f aca="false">SUM(D28:O28)</f>
        <v>0</v>
      </c>
      <c r="Q28" s="5"/>
      <c r="R28" s="5"/>
      <c r="V28" s="2"/>
      <c r="W28" s="2"/>
      <c r="X28" s="2"/>
      <c r="AB28" s="60"/>
      <c r="AC28" s="70"/>
      <c r="AD28" s="62"/>
    </row>
    <row r="29" customFormat="false" ht="12.6" hidden="false" customHeight="true" outlineLevel="0" collapsed="false">
      <c r="A29" s="2"/>
      <c r="B29" s="17" t="s">
        <v>67</v>
      </c>
      <c r="C29" s="16"/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0</v>
      </c>
      <c r="M29" s="22" t="n">
        <v>0</v>
      </c>
      <c r="N29" s="22" t="n">
        <v>0</v>
      </c>
      <c r="O29" s="22" t="n">
        <v>0</v>
      </c>
      <c r="P29" s="20" t="n">
        <f aca="false">SUM(D29:O29)</f>
        <v>0</v>
      </c>
      <c r="Q29" s="5"/>
      <c r="R29" s="5"/>
      <c r="V29" s="2"/>
      <c r="W29" s="2"/>
      <c r="X29" s="2"/>
      <c r="AB29" s="60" t="s">
        <v>61</v>
      </c>
      <c r="AC29" s="71" t="n">
        <f aca="false">AC26+AC27</f>
        <v>1776892</v>
      </c>
      <c r="AD29" s="64" t="n">
        <f aca="false">AD26+AD27</f>
        <v>1</v>
      </c>
    </row>
    <row r="30" customFormat="false" ht="3.95" hidden="false" customHeight="true" outlineLevel="0" collapsed="false">
      <c r="A30" s="2"/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"/>
      <c r="Q30" s="5"/>
      <c r="R30" s="5"/>
      <c r="V30" s="2"/>
      <c r="W30" s="2"/>
      <c r="X30" s="2"/>
      <c r="AB30" s="65"/>
      <c r="AC30" s="72"/>
      <c r="AD30" s="73"/>
    </row>
    <row r="31" customFormat="false" ht="12.6" hidden="false" customHeight="true" outlineLevel="0" collapsed="false">
      <c r="A31" s="2"/>
      <c r="B31" s="17" t="s">
        <v>68</v>
      </c>
      <c r="C31" s="74" t="n">
        <f aca="false">1116716-0</f>
        <v>1116716</v>
      </c>
      <c r="D31" s="23" t="n">
        <f aca="false">SUM(D25:D29)</f>
        <v>1135057</v>
      </c>
      <c r="E31" s="23" t="n">
        <f aca="false">SUM(E25:E29)</f>
        <v>1152679</v>
      </c>
      <c r="F31" s="23" t="n">
        <f aca="false">SUM(F25:F29)</f>
        <v>1172968</v>
      </c>
      <c r="G31" s="23" t="n">
        <f aca="false">SUM(G25:G29)</f>
        <v>1171883</v>
      </c>
      <c r="H31" s="23" t="n">
        <f aca="false">SUM(H25:H29)</f>
        <v>1170787</v>
      </c>
      <c r="I31" s="23" t="n">
        <f aca="false">SUM(I25:I29)</f>
        <v>1178185</v>
      </c>
      <c r="J31" s="23" t="n">
        <f aca="false">SUM(J25:J29)</f>
        <v>1177338</v>
      </c>
      <c r="K31" s="23" t="n">
        <f aca="false">SUM(K25:K29)</f>
        <v>1177149</v>
      </c>
      <c r="L31" s="23" t="n">
        <f aca="false">SUM(L25:L29)</f>
        <v>1176892</v>
      </c>
      <c r="M31" s="23" t="n">
        <f aca="false">SUM(M25:M29)</f>
        <v>1175878</v>
      </c>
      <c r="N31" s="23" t="n">
        <f aca="false">SUM(N25:N29)</f>
        <v>1192880</v>
      </c>
      <c r="O31" s="23" t="n">
        <f aca="false">SUM(O25:O29)</f>
        <v>1213851</v>
      </c>
      <c r="P31" s="20" t="n">
        <f aca="false">SUM(P26:P29)</f>
        <v>97135</v>
      </c>
      <c r="Q31" s="5"/>
      <c r="R31" s="5"/>
      <c r="S31" s="2"/>
      <c r="T31" s="2"/>
      <c r="U31" s="2"/>
      <c r="V31" s="2"/>
      <c r="W31" s="2"/>
      <c r="X31" s="2"/>
    </row>
    <row r="32" customFormat="false" ht="3.95" hidden="false" customHeight="true" outlineLevel="0" collapsed="false">
      <c r="A32" s="2"/>
      <c r="B32" s="2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2"/>
      <c r="T32" s="2"/>
      <c r="U32" s="2"/>
      <c r="V32" s="2"/>
      <c r="W32" s="2"/>
      <c r="X32" s="2"/>
    </row>
    <row r="33" customFormat="false" ht="12.6" hidden="false" customHeight="true" outlineLevel="0" collapsed="false">
      <c r="A33" s="2"/>
      <c r="B33" s="17" t="s">
        <v>61</v>
      </c>
      <c r="C33" s="34" t="n">
        <f aca="false">C15+C23+C31</f>
        <v>1286531</v>
      </c>
      <c r="D33" s="34" t="n">
        <f aca="false">D15+D23+D31</f>
        <v>1284978</v>
      </c>
      <c r="E33" s="34" t="n">
        <f aca="false">E15+E23+E31</f>
        <v>1285906</v>
      </c>
      <c r="F33" s="34" t="n">
        <f aca="false">F15+F23+F31</f>
        <v>1295802</v>
      </c>
      <c r="G33" s="34" t="n">
        <f aca="false">G15+G23+G31</f>
        <v>1260523</v>
      </c>
      <c r="H33" s="34" t="n">
        <f aca="false">H15+H23+H31</f>
        <v>1270934</v>
      </c>
      <c r="I33" s="34" t="n">
        <f aca="false">I15+I23+I31</f>
        <v>1297438</v>
      </c>
      <c r="J33" s="34" t="n">
        <f aca="false">J15+J23+J31</f>
        <v>1302898</v>
      </c>
      <c r="K33" s="34" t="n">
        <f aca="false">K15+K23+K31</f>
        <v>1308815</v>
      </c>
      <c r="L33" s="34" t="n">
        <f aca="false">L15+L23+L31</f>
        <v>1330365</v>
      </c>
      <c r="M33" s="34" t="n">
        <f aca="false">M15+M23+M31</f>
        <v>1337557</v>
      </c>
      <c r="N33" s="34" t="n">
        <f aca="false">N15+N23+N31</f>
        <v>1373766</v>
      </c>
      <c r="O33" s="34" t="n">
        <f aca="false">O15+O23+O31</f>
        <v>1395543</v>
      </c>
      <c r="P33" s="5"/>
      <c r="Q33" s="5"/>
      <c r="R33" s="5"/>
      <c r="S33" s="2"/>
      <c r="T33" s="2"/>
      <c r="U33" s="2"/>
      <c r="V33" s="2"/>
      <c r="W33" s="2"/>
      <c r="X33" s="2"/>
    </row>
    <row r="34" customFormat="false" ht="8.1" hidden="false" customHeight="true" outlineLevel="0" collapsed="false">
      <c r="A34" s="2"/>
      <c r="B34" s="2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2"/>
      <c r="T34" s="2"/>
      <c r="U34" s="2"/>
      <c r="V34" s="2"/>
      <c r="W34" s="2"/>
      <c r="X34" s="2"/>
    </row>
    <row r="35" customFormat="false" ht="6" hidden="false" customHeight="true" outlineLevel="0" collapsed="false">
      <c r="A35" s="75"/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8"/>
      <c r="Q35" s="78"/>
      <c r="R35" s="78"/>
      <c r="S35" s="78"/>
      <c r="T35" s="78"/>
      <c r="U35" s="78"/>
      <c r="V35" s="2"/>
      <c r="W35" s="2"/>
      <c r="X35" s="2"/>
    </row>
    <row r="36" customFormat="false" ht="8.1" hidden="false" customHeight="true" outlineLevel="0" collapsed="false">
      <c r="A36" s="2"/>
      <c r="B36" s="2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2"/>
      <c r="T36" s="2"/>
      <c r="U36" s="2"/>
      <c r="V36" s="2"/>
      <c r="W36" s="2"/>
      <c r="X36" s="2"/>
    </row>
    <row r="37" customFormat="false" ht="12.6" hidden="false" customHeight="true" outlineLevel="0" collapsed="false">
      <c r="A37" s="13" t="s">
        <v>69</v>
      </c>
      <c r="B37" s="2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2"/>
      <c r="W37" s="2"/>
      <c r="X37" s="2"/>
    </row>
    <row r="38" customFormat="false" ht="12.6" hidden="false" customHeight="true" outlineLevel="0" collapsed="false">
      <c r="A38" s="2"/>
      <c r="B38" s="79" t="s">
        <v>70</v>
      </c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5"/>
      <c r="Q38" s="5"/>
      <c r="R38" s="5"/>
      <c r="U38" s="2"/>
      <c r="V38" s="2"/>
      <c r="W38" s="2"/>
      <c r="X38" s="2"/>
      <c r="AB38" s="80" t="s">
        <v>71</v>
      </c>
      <c r="AC38" s="2"/>
    </row>
    <row r="39" customFormat="false" ht="12.6" hidden="false" customHeight="true" outlineLevel="0" collapsed="false">
      <c r="A39" s="2"/>
      <c r="B39" s="17" t="s">
        <v>72</v>
      </c>
      <c r="C39" s="5"/>
      <c r="D39" s="20" t="n">
        <f aca="false">+C42</f>
        <v>0</v>
      </c>
      <c r="E39" s="20" t="n">
        <f aca="false">+D42</f>
        <v>0</v>
      </c>
      <c r="F39" s="20" t="n">
        <f aca="false">+E42</f>
        <v>0</v>
      </c>
      <c r="G39" s="20" t="n">
        <f aca="false">+F42</f>
        <v>0</v>
      </c>
      <c r="H39" s="20" t="n">
        <f aca="false">+G42</f>
        <v>0</v>
      </c>
      <c r="I39" s="20" t="n">
        <f aca="false">+H42</f>
        <v>0</v>
      </c>
      <c r="J39" s="20" t="n">
        <f aca="false">+I42</f>
        <v>0</v>
      </c>
      <c r="K39" s="20" t="n">
        <f aca="false">+J42</f>
        <v>0</v>
      </c>
      <c r="L39" s="20" t="n">
        <f aca="false">+K42</f>
        <v>0</v>
      </c>
      <c r="M39" s="20" t="n">
        <f aca="false">+L42</f>
        <v>0</v>
      </c>
      <c r="N39" s="20" t="n">
        <f aca="false">+M42</f>
        <v>0</v>
      </c>
      <c r="O39" s="20" t="n">
        <f aca="false">+N42</f>
        <v>0</v>
      </c>
      <c r="P39" s="5"/>
      <c r="Q39" s="5"/>
      <c r="R39" s="5"/>
      <c r="U39" s="2"/>
      <c r="V39" s="2"/>
      <c r="W39" s="2"/>
      <c r="X39" s="2"/>
      <c r="AB39" s="31" t="s">
        <v>73</v>
      </c>
      <c r="AC39" s="33" t="n">
        <f aca="false">ROUND(5601*0.6053,0)</f>
        <v>3390</v>
      </c>
    </row>
    <row r="40" customFormat="false" ht="12.6" hidden="false" customHeight="true" outlineLevel="0" collapsed="false">
      <c r="A40" s="2"/>
      <c r="B40" s="17" t="s">
        <v>74</v>
      </c>
      <c r="C40" s="5"/>
      <c r="D40" s="20" t="n">
        <f aca="false">+C47</f>
        <v>0</v>
      </c>
      <c r="E40" s="20" t="n">
        <f aca="false">+D47</f>
        <v>0</v>
      </c>
      <c r="F40" s="20" t="n">
        <f aca="false">+E47</f>
        <v>0</v>
      </c>
      <c r="G40" s="20" t="n">
        <f aca="false">+F47</f>
        <v>0</v>
      </c>
      <c r="H40" s="20" t="n">
        <f aca="false">+G47</f>
        <v>0</v>
      </c>
      <c r="I40" s="20" t="n">
        <f aca="false">+H47</f>
        <v>0</v>
      </c>
      <c r="J40" s="20" t="n">
        <f aca="false">+I47</f>
        <v>0</v>
      </c>
      <c r="K40" s="20" t="n">
        <f aca="false">+J47</f>
        <v>0</v>
      </c>
      <c r="L40" s="20" t="n">
        <f aca="false">+K47</f>
        <v>0</v>
      </c>
      <c r="M40" s="20" t="n">
        <f aca="false">+L47</f>
        <v>0</v>
      </c>
      <c r="N40" s="20" t="n">
        <f aca="false">+M47</f>
        <v>0</v>
      </c>
      <c r="O40" s="20" t="n">
        <f aca="false">+N47</f>
        <v>0</v>
      </c>
      <c r="P40" s="20" t="n">
        <f aca="false">SUM(D40:O40)</f>
        <v>0</v>
      </c>
      <c r="Q40" s="5"/>
      <c r="R40" s="5"/>
      <c r="U40" s="2"/>
      <c r="V40" s="2"/>
      <c r="W40" s="2"/>
      <c r="X40" s="2"/>
      <c r="AB40" s="31" t="s">
        <v>75</v>
      </c>
      <c r="AC40" s="33" t="n">
        <f aca="false">-ROUND((5601-3213)*0.6053,0)</f>
        <v>-1445</v>
      </c>
    </row>
    <row r="41" customFormat="false" ht="12.6" hidden="false" customHeight="true" outlineLevel="0" collapsed="false">
      <c r="A41" s="2"/>
      <c r="B41" s="17" t="s">
        <v>76</v>
      </c>
      <c r="C41" s="5"/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0</v>
      </c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20" t="n">
        <f aca="false">SUM(D41:O41)</f>
        <v>0</v>
      </c>
      <c r="Q41" s="5"/>
      <c r="R41" s="5"/>
      <c r="U41" s="5"/>
      <c r="V41" s="5"/>
      <c r="W41" s="2"/>
      <c r="X41" s="2"/>
      <c r="AB41" s="31" t="s">
        <v>77</v>
      </c>
      <c r="AC41" s="33" t="n">
        <f aca="false">-ROUND((3213-810)*0.6053,0)</f>
        <v>-1455</v>
      </c>
    </row>
    <row r="42" customFormat="false" ht="12.6" hidden="false" customHeight="true" outlineLevel="0" collapsed="false">
      <c r="A42" s="2"/>
      <c r="B42" s="17" t="s">
        <v>78</v>
      </c>
      <c r="C42" s="21" t="n">
        <f aca="false">-91055+38836+39092+(-789-789-791)+15496</f>
        <v>0</v>
      </c>
      <c r="D42" s="23" t="n">
        <f aca="false">SUM(D39:D41)</f>
        <v>0</v>
      </c>
      <c r="E42" s="23" t="n">
        <f aca="false">SUM(E39:E41)</f>
        <v>0</v>
      </c>
      <c r="F42" s="23" t="n">
        <f aca="false">SUM(F39:F41)</f>
        <v>0</v>
      </c>
      <c r="G42" s="23" t="n">
        <f aca="false">SUM(G39:G41)</f>
        <v>0</v>
      </c>
      <c r="H42" s="23" t="n">
        <f aca="false">SUM(H39:H41)</f>
        <v>0</v>
      </c>
      <c r="I42" s="23" t="n">
        <f aca="false">SUM(I39:I41)</f>
        <v>0</v>
      </c>
      <c r="J42" s="23" t="n">
        <f aca="false">SUM(J39:J41)</f>
        <v>0</v>
      </c>
      <c r="K42" s="23" t="n">
        <f aca="false">SUM(K39:K41)</f>
        <v>0</v>
      </c>
      <c r="L42" s="23" t="n">
        <f aca="false">SUM(L39:L41)</f>
        <v>0</v>
      </c>
      <c r="M42" s="23" t="n">
        <f aca="false">SUM(M39:M41)</f>
        <v>0</v>
      </c>
      <c r="N42" s="23" t="n">
        <f aca="false">SUM(N39:N41)</f>
        <v>0</v>
      </c>
      <c r="O42" s="23" t="n">
        <f aca="false">SUM(O39:O41)</f>
        <v>0</v>
      </c>
      <c r="P42" s="20"/>
      <c r="Q42" s="5"/>
      <c r="R42" s="5"/>
      <c r="U42" s="2"/>
      <c r="V42" s="2"/>
      <c r="W42" s="2"/>
      <c r="X42" s="2"/>
      <c r="AB42" s="31" t="s">
        <v>79</v>
      </c>
      <c r="AC42" s="33" t="n">
        <f aca="false">ROUND((1650)*0.6053,0)</f>
        <v>999</v>
      </c>
    </row>
    <row r="43" customFormat="false" ht="3.95" hidden="false" customHeight="true" outlineLevel="0" collapsed="false">
      <c r="A43" s="2"/>
      <c r="B43" s="17"/>
      <c r="C43" s="1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0"/>
      <c r="Q43" s="5"/>
      <c r="R43" s="5"/>
      <c r="U43" s="2"/>
      <c r="V43" s="2"/>
      <c r="W43" s="2"/>
      <c r="X43" s="2"/>
      <c r="AB43" s="31"/>
      <c r="AC43" s="33"/>
    </row>
    <row r="44" customFormat="false" ht="12.6" hidden="false" customHeight="true" outlineLevel="0" collapsed="false">
      <c r="A44" s="2"/>
      <c r="B44" s="17" t="s">
        <v>80</v>
      </c>
      <c r="C44" s="15"/>
      <c r="D44" s="20" t="n">
        <f aca="false">ROUND((+D42),0)</f>
        <v>0</v>
      </c>
      <c r="E44" s="20" t="n">
        <f aca="false">ROUND((+E42),0)</f>
        <v>0</v>
      </c>
      <c r="F44" s="20" t="n">
        <f aca="false">ROUND((+F42),0)</f>
        <v>0</v>
      </c>
      <c r="G44" s="20" t="n">
        <f aca="false">ROUND((+G42),0)</f>
        <v>0</v>
      </c>
      <c r="H44" s="20" t="n">
        <f aca="false">ROUND((+H42),0)</f>
        <v>0</v>
      </c>
      <c r="I44" s="20" t="n">
        <f aca="false">ROUND((+I42),0)</f>
        <v>0</v>
      </c>
      <c r="J44" s="20" t="n">
        <f aca="false">ROUND((+J42),0)</f>
        <v>0</v>
      </c>
      <c r="K44" s="20" t="n">
        <f aca="false">ROUND((+K42),0)</f>
        <v>0</v>
      </c>
      <c r="L44" s="20" t="n">
        <f aca="false">ROUND((+L42),0)</f>
        <v>0</v>
      </c>
      <c r="M44" s="20" t="n">
        <f aca="false">ROUND((+M42),0)</f>
        <v>0</v>
      </c>
      <c r="N44" s="20" t="n">
        <f aca="false">ROUND((+N42),0)</f>
        <v>0</v>
      </c>
      <c r="O44" s="20" t="n">
        <f aca="false">ROUND((+O42),0)</f>
        <v>0</v>
      </c>
      <c r="P44" s="5"/>
      <c r="Q44" s="5"/>
      <c r="R44" s="5"/>
      <c r="U44" s="2"/>
      <c r="V44" s="2"/>
      <c r="W44" s="2"/>
      <c r="X44" s="2"/>
      <c r="AB44" s="31" t="s">
        <v>81</v>
      </c>
      <c r="AC44" s="33" t="n">
        <f aca="false">-ROUND((1376)*0.6053,0)</f>
        <v>-833</v>
      </c>
    </row>
    <row r="45" customFormat="false" ht="12.6" hidden="false" customHeight="true" outlineLevel="0" collapsed="false">
      <c r="A45" s="2"/>
      <c r="B45" s="17" t="s">
        <v>82</v>
      </c>
      <c r="C45" s="25" t="n">
        <v>0.06</v>
      </c>
      <c r="D45" s="25" t="n">
        <v>0.06</v>
      </c>
      <c r="E45" s="25" t="n">
        <v>0.06</v>
      </c>
      <c r="F45" s="25" t="n">
        <v>0.06</v>
      </c>
      <c r="G45" s="25" t="n">
        <v>0.06</v>
      </c>
      <c r="H45" s="25" t="n">
        <v>0.06</v>
      </c>
      <c r="I45" s="25" t="n">
        <v>0.06</v>
      </c>
      <c r="J45" s="25" t="n">
        <v>0.06</v>
      </c>
      <c r="K45" s="25" t="n">
        <v>0.06</v>
      </c>
      <c r="L45" s="25" t="n">
        <v>0.06</v>
      </c>
      <c r="M45" s="25" t="n">
        <v>0.06</v>
      </c>
      <c r="N45" s="25" t="n">
        <v>0.06</v>
      </c>
      <c r="O45" s="25" t="n">
        <v>0.06</v>
      </c>
      <c r="P45" s="5"/>
      <c r="Q45" s="5"/>
      <c r="R45" s="5"/>
      <c r="S45" s="2"/>
      <c r="T45" s="2"/>
      <c r="U45" s="2"/>
      <c r="V45" s="2"/>
      <c r="W45" s="2"/>
      <c r="X45" s="2"/>
    </row>
    <row r="46" customFormat="false" ht="3.95" hidden="false" customHeight="true" outlineLevel="0" collapsed="false">
      <c r="A46" s="2"/>
      <c r="B46" s="1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5"/>
      <c r="Q46" s="5"/>
      <c r="R46" s="5"/>
      <c r="S46" s="2"/>
      <c r="T46" s="2"/>
      <c r="U46" s="2"/>
      <c r="V46" s="2"/>
      <c r="W46" s="2"/>
      <c r="X46" s="2"/>
    </row>
    <row r="47" customFormat="false" ht="12.6" hidden="false" customHeight="true" outlineLevel="0" collapsed="false">
      <c r="A47" s="2"/>
      <c r="B47" s="17" t="s">
        <v>83</v>
      </c>
      <c r="C47" s="81" t="n">
        <f aca="false">ROUND((C42)*(C45*(30/360)),0)+11-11</f>
        <v>0</v>
      </c>
      <c r="D47" s="81" t="n">
        <f aca="false">ROUND((D44)*(D45*(30/360)),0)+12-12</f>
        <v>0</v>
      </c>
      <c r="E47" s="81" t="n">
        <f aca="false">ROUND((E44)*(E45*(30/360)),0)+13-13</f>
        <v>0</v>
      </c>
      <c r="F47" s="81" t="n">
        <f aca="false">ROUND((F44)*(F45*(30/360)),0)+12-12</f>
        <v>0</v>
      </c>
      <c r="G47" s="81" t="n">
        <f aca="false">ROUND((G44)*(G45*(30/360)),0)+13-13</f>
        <v>0</v>
      </c>
      <c r="H47" s="81" t="n">
        <f aca="false">ROUND((H44)*(H45*(30/360)),0)+13-13</f>
        <v>0</v>
      </c>
      <c r="I47" s="81" t="n">
        <f aca="false">ROUND((I44)*(I45*(30/360)),0)+13-13</f>
        <v>0</v>
      </c>
      <c r="J47" s="81" t="n">
        <f aca="false">ROUND((J44)*(J45*(30/360)),0)+14-14</f>
        <v>0</v>
      </c>
      <c r="K47" s="81" t="n">
        <f aca="false">ROUND((K44)*(K45*(30/360)),0)+14-14</f>
        <v>0</v>
      </c>
      <c r="L47" s="81" t="n">
        <f aca="false">ROUND((L44)*(L45*(30/360)),0)+14-14</f>
        <v>0</v>
      </c>
      <c r="M47" s="81" t="n">
        <f aca="false">ROUND((M44)*(M45*(30/360)),0)+15-15</f>
        <v>0</v>
      </c>
      <c r="N47" s="81" t="n">
        <f aca="false">ROUND((N44)*(N45*(30/360)),0)+15-15</f>
        <v>0</v>
      </c>
      <c r="O47" s="81" t="n">
        <f aca="false">ROUND((O44)*(O45*(30/360)),0)+15-15</f>
        <v>0</v>
      </c>
      <c r="P47" s="5"/>
      <c r="Q47" s="5"/>
      <c r="R47" s="5"/>
      <c r="S47" s="2"/>
      <c r="T47" s="2"/>
      <c r="U47" s="2"/>
      <c r="V47" s="2"/>
      <c r="W47" s="2"/>
      <c r="X47" s="2"/>
    </row>
    <row r="48" customFormat="false" ht="12.6" hidden="false" customHeight="true" outlineLevel="0" collapsed="false">
      <c r="A48" s="2"/>
      <c r="B48" s="82"/>
      <c r="C48" s="5"/>
      <c r="D48" s="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0" t="n">
        <f aca="false">U50+U51+U52+U53-P50-P51-P52-P78</f>
        <v>0</v>
      </c>
      <c r="Q48" s="5"/>
      <c r="R48" s="5"/>
      <c r="S48" s="16"/>
      <c r="T48" s="83" t="s">
        <v>84</v>
      </c>
      <c r="U48" s="83" t="s">
        <v>85</v>
      </c>
      <c r="V48" s="2"/>
      <c r="W48" s="2"/>
      <c r="X48" s="2"/>
    </row>
    <row r="49" customFormat="false" ht="12.6" hidden="false" customHeight="true" outlineLevel="0" collapsed="false">
      <c r="A49" s="2"/>
      <c r="B49" s="14" t="s">
        <v>159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"/>
      <c r="Q49" s="20"/>
      <c r="R49" s="20"/>
      <c r="S49" s="84" t="s">
        <v>87</v>
      </c>
      <c r="T49" s="85" t="s">
        <v>88</v>
      </c>
      <c r="U49" s="85" t="s">
        <v>88</v>
      </c>
      <c r="V49" s="2"/>
      <c r="W49" s="2"/>
      <c r="X49" s="2"/>
    </row>
    <row r="50" customFormat="false" ht="12.6" hidden="false" customHeight="true" outlineLevel="0" collapsed="false">
      <c r="A50" s="2"/>
      <c r="B50" s="17" t="s">
        <v>160</v>
      </c>
      <c r="C50" s="5"/>
      <c r="D50" s="20" t="n">
        <f aca="false">ROUND((+$T$50*0.0675)*(30/360),0)</f>
        <v>0</v>
      </c>
      <c r="E50" s="20" t="n">
        <f aca="false">ROUND((+$T$50*0.0675)*(30/360),0)</f>
        <v>0</v>
      </c>
      <c r="F50" s="20" t="n">
        <f aca="false">ROUND((+$T$50*0.0675)*(30/360),0)</f>
        <v>0</v>
      </c>
      <c r="G50" s="20" t="n">
        <f aca="false">ROUND((+$T$50*0.0675)*(30/360),0)</f>
        <v>0</v>
      </c>
      <c r="H50" s="20" t="n">
        <f aca="false">ROUND((+$T$50*0.0675)*(30/360),0)</f>
        <v>0</v>
      </c>
      <c r="I50" s="20" t="n">
        <f aca="false">ROUND((+$T$50*0.0675)*(30/360),0)</f>
        <v>0</v>
      </c>
      <c r="J50" s="20" t="n">
        <f aca="false">ROUND((+$T$50*0.0675)*(30/360),0)</f>
        <v>0</v>
      </c>
      <c r="K50" s="20" t="n">
        <f aca="false">ROUND((+$T$50*0.0675)*(30/360),0)</f>
        <v>0</v>
      </c>
      <c r="L50" s="20" t="n">
        <f aca="false">ROUND((+$T$50*0.0675)*(30/360),0)</f>
        <v>0</v>
      </c>
      <c r="M50" s="20" t="n">
        <f aca="false">ROUND((+$T$50*0.0675)*(30/360),0)</f>
        <v>0</v>
      </c>
      <c r="N50" s="20" t="n">
        <f aca="false">ROUND((+$T$50*0.0675)*(30/360),0)</f>
        <v>0</v>
      </c>
      <c r="O50" s="20" t="n">
        <f aca="false">ROUND((+$T$50*0.0675)*(30/360),0)</f>
        <v>0</v>
      </c>
      <c r="P50" s="20" t="n">
        <f aca="false">SUM(D50:O50)</f>
        <v>0</v>
      </c>
      <c r="Q50" s="5"/>
      <c r="R50" s="5"/>
      <c r="S50" s="86" t="s">
        <v>90</v>
      </c>
      <c r="T50" s="47" t="n">
        <v>0</v>
      </c>
      <c r="U50" s="20" t="n">
        <f aca="false">ROUND(($T50*0.08)*150/360,0)</f>
        <v>0</v>
      </c>
      <c r="V50" s="2"/>
      <c r="W50" s="2"/>
      <c r="X50" s="2"/>
    </row>
    <row r="51" customFormat="false" ht="12.6" hidden="false" customHeight="true" outlineLevel="0" collapsed="false">
      <c r="A51" s="2"/>
      <c r="B51" s="17" t="s">
        <v>91</v>
      </c>
      <c r="C51" s="5"/>
      <c r="D51" s="20" t="n">
        <f aca="false">ROUND((+$T$51*0.06875)*(30/360),0)</f>
        <v>573</v>
      </c>
      <c r="E51" s="18" t="n">
        <f aca="false">ROUND((+$T$51*0.06875)*(30/360),0)-1</f>
        <v>572</v>
      </c>
      <c r="F51" s="20" t="n">
        <f aca="false">ROUND((+$T$51*0.06875)*(30/360),0)</f>
        <v>573</v>
      </c>
      <c r="G51" s="20" t="n">
        <f aca="false">ROUND((+$T$51*0.06875)*(30/360),0)</f>
        <v>573</v>
      </c>
      <c r="H51" s="20" t="n">
        <f aca="false">ROUND((+$T$51*0.06875)*(30/360),0)</f>
        <v>573</v>
      </c>
      <c r="I51" s="20" t="n">
        <f aca="false">ROUND((+$T$51*0.06875)*(30/360),0)</f>
        <v>573</v>
      </c>
      <c r="J51" s="20" t="n">
        <f aca="false">ROUND((+$T$51*0.06875)*(30/360),0)</f>
        <v>573</v>
      </c>
      <c r="K51" s="20" t="n">
        <f aca="false">ROUND((+$T$51*0.06875)*(30/360),0)</f>
        <v>573</v>
      </c>
      <c r="L51" s="20" t="n">
        <f aca="false">ROUND((+$T$51*0.06875)*(30/360),0)</f>
        <v>573</v>
      </c>
      <c r="M51" s="20" t="n">
        <f aca="false">ROUND((+$T$51*0.06875)*(30/360),0)</f>
        <v>573</v>
      </c>
      <c r="N51" s="20" t="n">
        <f aca="false">ROUND((+$T$51*0.06875)*(30/360),0)</f>
        <v>573</v>
      </c>
      <c r="O51" s="20" t="n">
        <f aca="false">ROUND((+$T$51*0.06875)*(30/360),0)</f>
        <v>573</v>
      </c>
      <c r="P51" s="20" t="n">
        <f aca="false">SUM(D51:O51)</f>
        <v>6875</v>
      </c>
      <c r="Q51" s="5"/>
      <c r="R51" s="5"/>
      <c r="S51" s="49" t="s">
        <v>92</v>
      </c>
      <c r="T51" s="47" t="n">
        <v>100000</v>
      </c>
      <c r="U51" s="20" t="n">
        <f aca="false">ROUND($T51*0.06875,0)</f>
        <v>6875</v>
      </c>
      <c r="V51" s="2"/>
      <c r="W51" s="2"/>
      <c r="X51" s="2"/>
    </row>
    <row r="52" customFormat="false" ht="12.6" hidden="false" customHeight="true" outlineLevel="0" collapsed="false">
      <c r="A52" s="2"/>
      <c r="B52" s="17" t="s">
        <v>93</v>
      </c>
      <c r="C52" s="5"/>
      <c r="D52" s="20" t="n">
        <f aca="false">ROUND((+$T$53*0.07)*(30/360),0)</f>
        <v>1458</v>
      </c>
      <c r="E52" s="20" t="n">
        <f aca="false">ROUND((+$T$53*0.07)*(30/360),0)</f>
        <v>1458</v>
      </c>
      <c r="F52" s="18" t="n">
        <f aca="false">ROUND((+$T$53*0.07)*(30/360),0)+1</f>
        <v>1459</v>
      </c>
      <c r="G52" s="20" t="n">
        <f aca="false">ROUND((+$T$53*0.07)*(30/360),0)</f>
        <v>1458</v>
      </c>
      <c r="H52" s="20" t="n">
        <f aca="false">ROUND((+$T$53*0.07)*(30/360),0)</f>
        <v>1458</v>
      </c>
      <c r="I52" s="18" t="n">
        <f aca="false">ROUND((+$T$53*0.07)*(30/360),0)+1</f>
        <v>1459</v>
      </c>
      <c r="J52" s="20" t="n">
        <f aca="false">ROUND((+$T$53*0.07)*(30/360),0)</f>
        <v>1458</v>
      </c>
      <c r="K52" s="20" t="n">
        <f aca="false">ROUND((+$T$53*0.07)*(30/360),0)</f>
        <v>1458</v>
      </c>
      <c r="L52" s="18" t="n">
        <f aca="false">ROUND((+$T$53*0.07)*(30/360),0)+1</f>
        <v>1459</v>
      </c>
      <c r="M52" s="20" t="n">
        <f aca="false">ROUND((+$T$53*0.07)*(30/360),0)</f>
        <v>1458</v>
      </c>
      <c r="N52" s="20" t="n">
        <f aca="false">ROUND((+$T$53*0.07)*(30/360),0)</f>
        <v>1458</v>
      </c>
      <c r="O52" s="18" t="n">
        <f aca="false">ROUND((+$T$53*0.07)*(30/360),0)+1</f>
        <v>1459</v>
      </c>
      <c r="P52" s="20" t="n">
        <f aca="false">SUM(D52:O52)</f>
        <v>17500</v>
      </c>
      <c r="Q52" s="5"/>
      <c r="R52" s="5"/>
      <c r="S52" s="49" t="s">
        <v>94</v>
      </c>
      <c r="T52" s="47" t="n">
        <v>150000</v>
      </c>
      <c r="U52" s="19" t="n">
        <f aca="false">ROUND(+$T52*0.0675,0)</f>
        <v>10125</v>
      </c>
      <c r="V52" s="2"/>
      <c r="W52" s="2"/>
      <c r="X52" s="2"/>
    </row>
    <row r="53" customFormat="false" ht="12.6" hidden="false" customHeight="true" outlineLevel="0" collapsed="false">
      <c r="A53" s="2"/>
      <c r="B53" s="17" t="s">
        <v>95</v>
      </c>
      <c r="C53" s="20"/>
      <c r="D53" s="47" t="n">
        <v>6</v>
      </c>
      <c r="E53" s="47" t="n">
        <v>6</v>
      </c>
      <c r="F53" s="47" t="n">
        <v>7</v>
      </c>
      <c r="G53" s="47" t="n">
        <v>6</v>
      </c>
      <c r="H53" s="47" t="n">
        <v>7</v>
      </c>
      <c r="I53" s="47" t="n">
        <v>6</v>
      </c>
      <c r="J53" s="47" t="n">
        <v>7</v>
      </c>
      <c r="K53" s="47" t="n">
        <v>6</v>
      </c>
      <c r="L53" s="47" t="n">
        <v>7</v>
      </c>
      <c r="M53" s="47" t="n">
        <v>6</v>
      </c>
      <c r="N53" s="47" t="n">
        <v>7</v>
      </c>
      <c r="O53" s="47" t="n">
        <v>6</v>
      </c>
      <c r="P53" s="20" t="n">
        <f aca="false">SUM(D53:O53)</f>
        <v>77</v>
      </c>
      <c r="Q53" s="5"/>
      <c r="R53" s="5"/>
      <c r="S53" s="86" t="s">
        <v>96</v>
      </c>
      <c r="T53" s="47" t="n">
        <v>250000</v>
      </c>
      <c r="U53" s="20" t="n">
        <f aca="false">ROUND($T53*0.07,0)</f>
        <v>17500</v>
      </c>
      <c r="V53" s="2"/>
      <c r="W53" s="2"/>
      <c r="X53" s="2"/>
    </row>
    <row r="54" customFormat="false" ht="12.6" hidden="false" customHeight="true" outlineLevel="0" collapsed="false">
      <c r="A54" s="2"/>
      <c r="B54" s="17" t="s">
        <v>97</v>
      </c>
      <c r="C54" s="5"/>
      <c r="D54" s="47" t="n">
        <v>21</v>
      </c>
      <c r="E54" s="47" t="n">
        <v>21</v>
      </c>
      <c r="F54" s="47" t="n">
        <v>21</v>
      </c>
      <c r="G54" s="47" t="n">
        <v>20</v>
      </c>
      <c r="H54" s="47" t="n">
        <v>21</v>
      </c>
      <c r="I54" s="47" t="n">
        <v>21</v>
      </c>
      <c r="J54" s="47" t="n">
        <v>21</v>
      </c>
      <c r="K54" s="47" t="n">
        <v>20</v>
      </c>
      <c r="L54" s="47" t="n">
        <v>21</v>
      </c>
      <c r="M54" s="47" t="n">
        <v>21</v>
      </c>
      <c r="N54" s="47" t="n">
        <v>21</v>
      </c>
      <c r="O54" s="47" t="n">
        <v>20</v>
      </c>
      <c r="P54" s="20" t="n">
        <f aca="false">SUM(D54:O54)</f>
        <v>249</v>
      </c>
      <c r="Q54" s="5"/>
      <c r="R54" s="5"/>
      <c r="S54" s="49" t="s">
        <v>98</v>
      </c>
      <c r="T54" s="47" t="n">
        <v>0</v>
      </c>
      <c r="U54" s="20" t="n">
        <f aca="false">ROUND($T54*0.08,0)</f>
        <v>0</v>
      </c>
      <c r="V54" s="2"/>
      <c r="W54" s="2"/>
      <c r="X54" s="2"/>
    </row>
    <row r="55" customFormat="false" ht="12.6" hidden="false" customHeight="true" outlineLevel="0" collapsed="false">
      <c r="A55" s="2"/>
      <c r="B55" s="17" t="s">
        <v>74</v>
      </c>
      <c r="C55" s="5"/>
      <c r="D55" s="20" t="n">
        <f aca="false">D47</f>
        <v>0</v>
      </c>
      <c r="E55" s="20" t="n">
        <f aca="false">E47</f>
        <v>0</v>
      </c>
      <c r="F55" s="20" t="n">
        <f aca="false">F47</f>
        <v>0</v>
      </c>
      <c r="G55" s="20" t="n">
        <f aca="false">G47</f>
        <v>0</v>
      </c>
      <c r="H55" s="20" t="n">
        <f aca="false">H47</f>
        <v>0</v>
      </c>
      <c r="I55" s="20" t="n">
        <f aca="false">I47</f>
        <v>0</v>
      </c>
      <c r="J55" s="20" t="n">
        <f aca="false">J47</f>
        <v>0</v>
      </c>
      <c r="K55" s="20" t="n">
        <f aca="false">K47</f>
        <v>0</v>
      </c>
      <c r="L55" s="20" t="n">
        <f aca="false">L47</f>
        <v>0</v>
      </c>
      <c r="M55" s="20" t="n">
        <f aca="false">M47</f>
        <v>0</v>
      </c>
      <c r="N55" s="20" t="n">
        <f aca="false">N47</f>
        <v>0</v>
      </c>
      <c r="O55" s="20" t="n">
        <f aca="false">O47</f>
        <v>0</v>
      </c>
      <c r="P55" s="20" t="n">
        <f aca="false">SUM(D55:O55)</f>
        <v>0</v>
      </c>
      <c r="Q55" s="5"/>
      <c r="R55" s="5"/>
      <c r="S55" s="86" t="s">
        <v>99</v>
      </c>
      <c r="T55" s="47" t="n">
        <v>0</v>
      </c>
      <c r="U55" s="47" t="n">
        <v>0</v>
      </c>
      <c r="V55" s="2"/>
      <c r="W55" s="2"/>
      <c r="X55" s="2"/>
    </row>
    <row r="56" customFormat="false" ht="12.6" hidden="false" customHeight="true" outlineLevel="0" collapsed="false">
      <c r="A56" s="2"/>
      <c r="B56" s="17" t="s">
        <v>100</v>
      </c>
      <c r="C56" s="20"/>
      <c r="D56" s="47" t="n">
        <v>0</v>
      </c>
      <c r="E56" s="47" t="n">
        <v>0</v>
      </c>
      <c r="F56" s="47" t="n">
        <v>0</v>
      </c>
      <c r="G56" s="47" t="n">
        <v>0</v>
      </c>
      <c r="H56" s="47" t="n">
        <v>0</v>
      </c>
      <c r="I56" s="47" t="n">
        <v>0</v>
      </c>
      <c r="J56" s="47" t="n">
        <v>0</v>
      </c>
      <c r="K56" s="47" t="n">
        <v>0</v>
      </c>
      <c r="L56" s="47" t="n">
        <v>0</v>
      </c>
      <c r="M56" s="47" t="n">
        <v>0</v>
      </c>
      <c r="N56" s="47" t="n">
        <v>0</v>
      </c>
      <c r="O56" s="47" t="n">
        <v>0</v>
      </c>
      <c r="P56" s="20" t="n">
        <f aca="false">SUM(D56:O56)</f>
        <v>0</v>
      </c>
      <c r="Q56" s="5"/>
      <c r="R56" s="5"/>
      <c r="S56" s="86" t="s">
        <v>101</v>
      </c>
      <c r="T56" s="47" t="n">
        <v>0</v>
      </c>
      <c r="U56" s="47" t="n">
        <v>0</v>
      </c>
      <c r="V56" s="2"/>
      <c r="W56" s="2"/>
      <c r="X56" s="2"/>
    </row>
    <row r="57" customFormat="false" ht="12.6" hidden="false" customHeight="true" outlineLevel="0" collapsed="false">
      <c r="A57" s="2"/>
      <c r="B57" s="17" t="s">
        <v>102</v>
      </c>
      <c r="C57" s="16"/>
      <c r="D57" s="22" t="n">
        <v>0</v>
      </c>
      <c r="E57" s="22" t="n">
        <v>0</v>
      </c>
      <c r="F57" s="22" t="n">
        <v>0</v>
      </c>
      <c r="G57" s="22" t="n">
        <v>0</v>
      </c>
      <c r="H57" s="22" t="n">
        <v>0</v>
      </c>
      <c r="I57" s="22" t="n">
        <v>0</v>
      </c>
      <c r="J57" s="22" t="n">
        <v>0</v>
      </c>
      <c r="K57" s="22" t="n">
        <v>0</v>
      </c>
      <c r="L57" s="22" t="n">
        <v>0</v>
      </c>
      <c r="M57" s="22" t="n">
        <v>0</v>
      </c>
      <c r="N57" s="22" t="n">
        <v>0</v>
      </c>
      <c r="O57" s="22" t="n">
        <v>0</v>
      </c>
      <c r="P57" s="23" t="n">
        <f aca="false">SUM(D57:O57)</f>
        <v>0</v>
      </c>
      <c r="Q57" s="20"/>
      <c r="R57" s="20"/>
      <c r="S57" s="86" t="s">
        <v>103</v>
      </c>
      <c r="T57" s="47" t="n">
        <v>0</v>
      </c>
      <c r="U57" s="47" t="n">
        <v>0</v>
      </c>
      <c r="V57" s="2"/>
      <c r="W57" s="2"/>
      <c r="X57" s="2"/>
    </row>
    <row r="58" customFormat="false" ht="12.6" hidden="false" customHeight="true" outlineLevel="0" collapsed="false">
      <c r="A58" s="2"/>
      <c r="B58" s="17" t="s">
        <v>104</v>
      </c>
      <c r="C58" s="20"/>
      <c r="D58" s="20" t="n">
        <f aca="false">SUM(D50:D57)</f>
        <v>2058</v>
      </c>
      <c r="E58" s="20" t="n">
        <f aca="false">SUM(E50:E57)</f>
        <v>2057</v>
      </c>
      <c r="F58" s="20" t="n">
        <f aca="false">SUM(F50:F57)</f>
        <v>2060</v>
      </c>
      <c r="G58" s="20" t="n">
        <f aca="false">SUM(G50:G57)</f>
        <v>2057</v>
      </c>
      <c r="H58" s="20" t="n">
        <f aca="false">SUM(H50:H57)</f>
        <v>2059</v>
      </c>
      <c r="I58" s="20" t="n">
        <f aca="false">SUM(I50:I57)</f>
        <v>2059</v>
      </c>
      <c r="J58" s="20" t="n">
        <f aca="false">SUM(J50:J57)</f>
        <v>2059</v>
      </c>
      <c r="K58" s="20" t="n">
        <f aca="false">SUM(K50:K57)</f>
        <v>2057</v>
      </c>
      <c r="L58" s="20" t="n">
        <f aca="false">SUM(L50:L57)</f>
        <v>2060</v>
      </c>
      <c r="M58" s="20" t="n">
        <f aca="false">SUM(M50:M57)</f>
        <v>2058</v>
      </c>
      <c r="N58" s="20" t="n">
        <f aca="false">SUM(N50:N57)</f>
        <v>2059</v>
      </c>
      <c r="O58" s="20" t="n">
        <f aca="false">SUM(O50:O57)</f>
        <v>2058</v>
      </c>
      <c r="P58" s="20" t="n">
        <f aca="false">SUM(D58:O58)</f>
        <v>24701</v>
      </c>
      <c r="Q58" s="20"/>
      <c r="R58" s="20"/>
      <c r="S58" s="86" t="s">
        <v>47</v>
      </c>
      <c r="T58" s="22" t="n">
        <v>0</v>
      </c>
      <c r="U58" s="22" t="n">
        <v>0</v>
      </c>
      <c r="V58" s="2"/>
      <c r="W58" s="2"/>
      <c r="X58" s="2"/>
    </row>
    <row r="59" customFormat="false" ht="12.6" hidden="false" customHeight="true" outlineLevel="0" collapsed="false">
      <c r="A59" s="2"/>
      <c r="B59" s="17" t="s">
        <v>105</v>
      </c>
      <c r="C59" s="20"/>
      <c r="D59" s="87" t="n">
        <f aca="false">ROUND(+D58*-0.3947,0)</f>
        <v>-812</v>
      </c>
      <c r="E59" s="87" t="n">
        <f aca="false">ROUND(+E58*-0.3947,0)</f>
        <v>-812</v>
      </c>
      <c r="F59" s="87" t="n">
        <f aca="false">ROUND(+F58*-0.3947,0)</f>
        <v>-813</v>
      </c>
      <c r="G59" s="87" t="n">
        <f aca="false">ROUND(+G58*-0.3947,0)</f>
        <v>-812</v>
      </c>
      <c r="H59" s="87" t="n">
        <f aca="false">ROUND(+H58*-0.3947,0)</f>
        <v>-813</v>
      </c>
      <c r="I59" s="87" t="n">
        <f aca="false">ROUND(+I58*-0.3947,0)</f>
        <v>-813</v>
      </c>
      <c r="J59" s="87" t="n">
        <f aca="false">ROUND(+J58*-0.3947,0)</f>
        <v>-813</v>
      </c>
      <c r="K59" s="87" t="n">
        <f aca="false">ROUND(+K58*-0.3947,0)</f>
        <v>-812</v>
      </c>
      <c r="L59" s="87" t="n">
        <f aca="false">ROUND(+L58*-0.3947,0)</f>
        <v>-813</v>
      </c>
      <c r="M59" s="87" t="n">
        <f aca="false">ROUND(+M58*-0.3947,0)</f>
        <v>-812</v>
      </c>
      <c r="N59" s="87" t="n">
        <f aca="false">ROUND(+N58*-0.3947,0)</f>
        <v>-813</v>
      </c>
      <c r="O59" s="87" t="n">
        <f aca="false">ROUND(+O58*-0.3947,0)</f>
        <v>-812</v>
      </c>
      <c r="P59" s="23" t="n">
        <f aca="false">SUM(D59:O59)</f>
        <v>-9750</v>
      </c>
      <c r="Q59" s="20"/>
      <c r="R59" s="20"/>
      <c r="S59" s="49" t="s">
        <v>106</v>
      </c>
      <c r="T59" s="34"/>
      <c r="U59" s="34" t="n">
        <f aca="false">SUM(U50:U58)</f>
        <v>34500</v>
      </c>
      <c r="V59" s="2"/>
      <c r="W59" s="2"/>
      <c r="X59" s="2"/>
    </row>
    <row r="60" customFormat="false" ht="3.95" hidden="false" customHeight="true" outlineLevel="0" collapsed="false">
      <c r="A60" s="2"/>
      <c r="B60" s="26"/>
      <c r="C60" s="2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V60" s="2"/>
      <c r="W60" s="2"/>
      <c r="X60" s="2"/>
    </row>
    <row r="61" customFormat="false" ht="12.6" hidden="false" customHeight="true" outlineLevel="0" collapsed="false">
      <c r="A61" s="2"/>
      <c r="B61" s="6" t="s">
        <v>107</v>
      </c>
      <c r="C61" s="27"/>
      <c r="D61" s="32" t="n">
        <f aca="false">D58+D59</f>
        <v>1246</v>
      </c>
      <c r="E61" s="32" t="n">
        <f aca="false">E58+E59</f>
        <v>1245</v>
      </c>
      <c r="F61" s="32" t="n">
        <f aca="false">F58+F59</f>
        <v>1247</v>
      </c>
      <c r="G61" s="32" t="n">
        <f aca="false">G58+G59</f>
        <v>1245</v>
      </c>
      <c r="H61" s="32" t="n">
        <f aca="false">H58+H59</f>
        <v>1246</v>
      </c>
      <c r="I61" s="32" t="n">
        <f aca="false">I58+I59</f>
        <v>1246</v>
      </c>
      <c r="J61" s="32" t="n">
        <f aca="false">J58+J59</f>
        <v>1246</v>
      </c>
      <c r="K61" s="32" t="n">
        <f aca="false">K58+K59</f>
        <v>1245</v>
      </c>
      <c r="L61" s="32" t="n">
        <f aca="false">L58+L59</f>
        <v>1247</v>
      </c>
      <c r="M61" s="32" t="n">
        <f aca="false">M58+M59</f>
        <v>1246</v>
      </c>
      <c r="N61" s="32" t="n">
        <f aca="false">N58+N59</f>
        <v>1246</v>
      </c>
      <c r="O61" s="32" t="n">
        <f aca="false">O58+O59</f>
        <v>1246</v>
      </c>
      <c r="P61" s="32" t="n">
        <f aca="false">SUM(D61:O61)</f>
        <v>14951</v>
      </c>
      <c r="Q61" s="5"/>
      <c r="R61" s="5"/>
      <c r="V61" s="2"/>
      <c r="W61" s="2"/>
      <c r="X61" s="2"/>
    </row>
    <row r="62" customFormat="false" ht="12.6" hidden="false" customHeight="true" outlineLevel="0" collapsed="false">
      <c r="A62" s="2"/>
      <c r="C62" s="20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84" t="s">
        <v>108</v>
      </c>
      <c r="T62" s="5"/>
      <c r="U62" s="5"/>
      <c r="V62" s="2"/>
      <c r="W62" s="2"/>
      <c r="X62" s="2"/>
    </row>
    <row r="63" customFormat="false" ht="12.6" hidden="false" customHeight="true" outlineLevel="0" collapsed="false">
      <c r="A63" s="13" t="s">
        <v>109</v>
      </c>
      <c r="B63" s="14"/>
      <c r="C63" s="88"/>
      <c r="D63" s="89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"/>
      <c r="Q63" s="5"/>
      <c r="R63" s="5"/>
      <c r="S63" s="49" t="s">
        <v>110</v>
      </c>
      <c r="T63" s="2"/>
      <c r="U63" s="47" t="n">
        <v>0</v>
      </c>
      <c r="V63" s="2"/>
      <c r="W63" s="2"/>
      <c r="X63" s="2"/>
    </row>
    <row r="64" customFormat="false" ht="12.6" hidden="false" customHeight="true" outlineLevel="0" collapsed="false">
      <c r="A64" s="2"/>
      <c r="B64" s="79" t="s">
        <v>70</v>
      </c>
      <c r="C64" s="88"/>
      <c r="D64" s="89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5"/>
      <c r="Q64" s="5"/>
      <c r="R64" s="5"/>
      <c r="S64" s="49" t="s">
        <v>111</v>
      </c>
      <c r="T64" s="90"/>
      <c r="U64" s="47" t="n">
        <v>0</v>
      </c>
      <c r="V64" s="2"/>
      <c r="W64" s="2"/>
      <c r="X64" s="2"/>
    </row>
    <row r="65" customFormat="false" ht="12.6" hidden="false" customHeight="true" outlineLevel="0" collapsed="false">
      <c r="A65" s="2"/>
      <c r="B65" s="17" t="s">
        <v>112</v>
      </c>
      <c r="C65" s="88"/>
      <c r="D65" s="91" t="n">
        <f aca="false">+C8</f>
        <v>-1058805</v>
      </c>
      <c r="E65" s="20" t="n">
        <f aca="false">D65+D68</f>
        <v>-1099005</v>
      </c>
      <c r="F65" s="20" t="n">
        <f aca="false">+E65+E68</f>
        <v>-1140505</v>
      </c>
      <c r="G65" s="20" t="n">
        <f aca="false">+F65+F68</f>
        <v>-1171805</v>
      </c>
      <c r="H65" s="20" t="n">
        <f aca="false">+G65+G68</f>
        <v>-1213605</v>
      </c>
      <c r="I65" s="20" t="n">
        <f aca="false">+H65+H68</f>
        <v>-1208205</v>
      </c>
      <c r="J65" s="20" t="n">
        <f aca="false">+I65+I68</f>
        <v>-1201205</v>
      </c>
      <c r="K65" s="20" t="n">
        <f aca="false">+J65+J68</f>
        <v>-1203105</v>
      </c>
      <c r="L65" s="20" t="n">
        <f aca="false">+K65+K68</f>
        <v>-1205005</v>
      </c>
      <c r="M65" s="20" t="n">
        <f aca="false">+L65+L68</f>
        <v>-1190005</v>
      </c>
      <c r="N65" s="20" t="n">
        <f aca="false">+M65+M68</f>
        <v>-1189705</v>
      </c>
      <c r="O65" s="20" t="n">
        <f aca="false">+N65+N68</f>
        <v>-1190205</v>
      </c>
      <c r="P65" s="20"/>
      <c r="Q65" s="5"/>
      <c r="R65" s="5"/>
      <c r="S65" s="49" t="s">
        <v>113</v>
      </c>
      <c r="T65" s="2"/>
      <c r="U65" s="47" t="n">
        <v>3437</v>
      </c>
      <c r="V65" s="2"/>
      <c r="W65" s="2"/>
      <c r="X65" s="2"/>
    </row>
    <row r="66" customFormat="false" ht="12.6" hidden="false" customHeight="true" outlineLevel="0" collapsed="false">
      <c r="A66" s="2"/>
      <c r="B66" s="17" t="s">
        <v>114</v>
      </c>
      <c r="C66" s="88"/>
      <c r="D66" s="92" t="n">
        <f aca="false">+C10</f>
        <v>728877</v>
      </c>
      <c r="E66" s="23" t="n">
        <f aca="false">+D66+D10-D47</f>
        <v>749177</v>
      </c>
      <c r="F66" s="23" t="n">
        <f aca="false">+E66+E10-E47</f>
        <v>773977</v>
      </c>
      <c r="G66" s="23" t="n">
        <f aca="false">+F66+F10-F47</f>
        <v>794877</v>
      </c>
      <c r="H66" s="23" t="n">
        <f aca="false">+G66+G10-G47</f>
        <v>802477</v>
      </c>
      <c r="I66" s="23" t="n">
        <f aca="false">+H66+H10-H47</f>
        <v>808577</v>
      </c>
      <c r="J66" s="23" t="n">
        <f aca="false">+I66+I10-I47</f>
        <v>820677</v>
      </c>
      <c r="K66" s="23" t="n">
        <f aca="false">+J66+J10-J47</f>
        <v>828877</v>
      </c>
      <c r="L66" s="23" t="n">
        <f aca="false">+K66+K10-K47</f>
        <v>836877</v>
      </c>
      <c r="M66" s="23" t="n">
        <f aca="false">+L66+L10-L47</f>
        <v>843677</v>
      </c>
      <c r="N66" s="23" t="n">
        <f aca="false">+M66+M10-M47</f>
        <v>851577</v>
      </c>
      <c r="O66" s="23" t="n">
        <f aca="false">+N66+N10-N47</f>
        <v>871277</v>
      </c>
      <c r="P66" s="20"/>
      <c r="Q66" s="33" t="n">
        <f aca="false">+O66-(D66+P10-O10)+(P55-O55)</f>
        <v>0</v>
      </c>
      <c r="R66" s="33"/>
      <c r="S66" s="49" t="s">
        <v>115</v>
      </c>
      <c r="T66" s="2"/>
      <c r="U66" s="47" t="n">
        <v>3438</v>
      </c>
      <c r="V66" s="2"/>
      <c r="W66" s="2"/>
      <c r="X66" s="2"/>
    </row>
    <row r="67" customFormat="false" ht="12.6" hidden="false" customHeight="true" outlineLevel="0" collapsed="false">
      <c r="A67" s="2"/>
      <c r="B67" s="17" t="s">
        <v>116</v>
      </c>
      <c r="D67" s="20" t="n">
        <f aca="false">SUM(D65:D66)</f>
        <v>-329928</v>
      </c>
      <c r="E67" s="20" t="n">
        <f aca="false">SUM(E65:E66)</f>
        <v>-349828</v>
      </c>
      <c r="F67" s="20" t="n">
        <f aca="false">SUM(F65:F66)</f>
        <v>-366528</v>
      </c>
      <c r="G67" s="20" t="n">
        <f aca="false">SUM(G65:G66)</f>
        <v>-376928</v>
      </c>
      <c r="H67" s="20" t="n">
        <f aca="false">SUM(H65:H66)</f>
        <v>-411128</v>
      </c>
      <c r="I67" s="20" t="n">
        <f aca="false">SUM(I65:I66)</f>
        <v>-399628</v>
      </c>
      <c r="J67" s="20" t="n">
        <f aca="false">SUM(J65:J66)</f>
        <v>-380528</v>
      </c>
      <c r="K67" s="20" t="n">
        <f aca="false">SUM(K65:K66)</f>
        <v>-374228</v>
      </c>
      <c r="L67" s="20" t="n">
        <f aca="false">SUM(L65:L66)</f>
        <v>-368128</v>
      </c>
      <c r="M67" s="20" t="n">
        <f aca="false">SUM(M65:M66)</f>
        <v>-346328</v>
      </c>
      <c r="N67" s="20" t="n">
        <f aca="false">SUM(N65:N66)</f>
        <v>-338128</v>
      </c>
      <c r="O67" s="20" t="n">
        <f aca="false">SUM(O65:O66)</f>
        <v>-318928</v>
      </c>
      <c r="Q67" s="5"/>
      <c r="R67" s="5"/>
      <c r="S67" s="49" t="s">
        <v>117</v>
      </c>
      <c r="U67" s="47" t="n">
        <v>5063</v>
      </c>
      <c r="V67" s="2"/>
      <c r="W67" s="2"/>
      <c r="X67" s="2"/>
    </row>
    <row r="68" customFormat="false" ht="12.6" hidden="false" customHeight="true" outlineLevel="0" collapsed="false">
      <c r="A68" s="2"/>
      <c r="B68" s="17" t="s">
        <v>118</v>
      </c>
      <c r="C68" s="5"/>
      <c r="D68" s="19" t="n">
        <f aca="false">+D9+D11</f>
        <v>-40200</v>
      </c>
      <c r="E68" s="19" t="n">
        <f aca="false">+E9+E11</f>
        <v>-41500</v>
      </c>
      <c r="F68" s="19" t="n">
        <f aca="false">+F9+F11</f>
        <v>-31300</v>
      </c>
      <c r="G68" s="19" t="n">
        <f aca="false">+G9+G11</f>
        <v>-41800</v>
      </c>
      <c r="H68" s="19" t="n">
        <f aca="false">+H9+H11</f>
        <v>5400</v>
      </c>
      <c r="I68" s="19" t="n">
        <f aca="false">+I9+I11</f>
        <v>7000</v>
      </c>
      <c r="J68" s="19" t="n">
        <f aca="false">+J9+J11</f>
        <v>-1900</v>
      </c>
      <c r="K68" s="19" t="n">
        <f aca="false">+K9+K11</f>
        <v>-1900</v>
      </c>
      <c r="L68" s="19" t="n">
        <f aca="false">+L9+L11</f>
        <v>15000</v>
      </c>
      <c r="M68" s="19" t="n">
        <f aca="false">+M9+M11</f>
        <v>300</v>
      </c>
      <c r="N68" s="19" t="n">
        <f aca="false">+N9+N11</f>
        <v>-500</v>
      </c>
      <c r="O68" s="19" t="n">
        <f aca="false">+O9+O11</f>
        <v>-20900</v>
      </c>
      <c r="P68" s="20" t="n">
        <f aca="false">SUM(D68:O68)</f>
        <v>-152300</v>
      </c>
      <c r="Q68" s="33" t="n">
        <f aca="false">+P68+D65-O65-O68</f>
        <v>0</v>
      </c>
      <c r="R68" s="33"/>
      <c r="S68" s="49" t="s">
        <v>119</v>
      </c>
      <c r="T68" s="2"/>
      <c r="U68" s="47" t="n">
        <v>5062</v>
      </c>
      <c r="W68" s="2"/>
      <c r="X68" s="2"/>
    </row>
    <row r="69" customFormat="false" ht="12.6" hidden="false" customHeight="true" outlineLevel="0" collapsed="false">
      <c r="A69" s="2"/>
      <c r="B69" s="17" t="s">
        <v>76</v>
      </c>
      <c r="C69" s="5"/>
      <c r="D69" s="22" t="n">
        <v>0</v>
      </c>
      <c r="E69" s="22" t="n">
        <v>0</v>
      </c>
      <c r="F69" s="22" t="n">
        <v>0</v>
      </c>
      <c r="G69" s="22" t="n">
        <v>0</v>
      </c>
      <c r="H69" s="22" t="n">
        <v>0</v>
      </c>
      <c r="I69" s="22" t="n">
        <v>0</v>
      </c>
      <c r="J69" s="22" t="n">
        <v>0</v>
      </c>
      <c r="K69" s="22" t="n">
        <v>0</v>
      </c>
      <c r="L69" s="22" t="n">
        <v>0</v>
      </c>
      <c r="M69" s="22" t="n">
        <v>0</v>
      </c>
      <c r="N69" s="22" t="n">
        <v>0</v>
      </c>
      <c r="O69" s="22" t="n">
        <v>0</v>
      </c>
      <c r="P69" s="20" t="n">
        <f aca="false">SUM(D69:O69)</f>
        <v>0</v>
      </c>
      <c r="Q69" s="5"/>
      <c r="R69" s="5"/>
      <c r="S69" s="49" t="s">
        <v>120</v>
      </c>
      <c r="T69" s="2"/>
      <c r="U69" s="47" t="n">
        <v>8750</v>
      </c>
      <c r="W69" s="2"/>
      <c r="X69" s="2"/>
    </row>
    <row r="70" customFormat="false" ht="12.6" hidden="false" customHeight="true" outlineLevel="0" collapsed="false">
      <c r="A70" s="2"/>
      <c r="B70" s="17" t="s">
        <v>121</v>
      </c>
      <c r="C70" s="18"/>
      <c r="D70" s="23" t="n">
        <f aca="false">SUM(D67:D69)</f>
        <v>-370128</v>
      </c>
      <c r="E70" s="23" t="n">
        <f aca="false">SUM(E67:E69)</f>
        <v>-391328</v>
      </c>
      <c r="F70" s="23" t="n">
        <f aca="false">SUM(F67:F69)</f>
        <v>-397828</v>
      </c>
      <c r="G70" s="23" t="n">
        <f aca="false">SUM(G67:G69)</f>
        <v>-418728</v>
      </c>
      <c r="H70" s="23" t="n">
        <f aca="false">SUM(H67:H69)</f>
        <v>-405728</v>
      </c>
      <c r="I70" s="23" t="n">
        <f aca="false">SUM(I67:I69)</f>
        <v>-392628</v>
      </c>
      <c r="J70" s="23" t="n">
        <f aca="false">SUM(J67:J69)</f>
        <v>-382428</v>
      </c>
      <c r="K70" s="23" t="n">
        <f aca="false">SUM(K67:K69)</f>
        <v>-376128</v>
      </c>
      <c r="L70" s="23" t="n">
        <f aca="false">SUM(L67:L69)</f>
        <v>-353128</v>
      </c>
      <c r="M70" s="23" t="n">
        <f aca="false">SUM(M67:M69)</f>
        <v>-346028</v>
      </c>
      <c r="N70" s="23" t="n">
        <f aca="false">SUM(N67:N69)</f>
        <v>-338628</v>
      </c>
      <c r="O70" s="23" t="n">
        <f aca="false">SUM(O67:O69)</f>
        <v>-339828</v>
      </c>
      <c r="P70" s="20"/>
      <c r="Q70" s="5"/>
      <c r="R70" s="5"/>
      <c r="S70" s="49" t="s">
        <v>111</v>
      </c>
      <c r="T70" s="90"/>
      <c r="U70" s="22" t="n">
        <v>8750</v>
      </c>
      <c r="V70" s="20" t="n">
        <f aca="false">U59-SUM(U63:U70)</f>
        <v>0</v>
      </c>
      <c r="W70" s="2"/>
      <c r="X70" s="2"/>
    </row>
    <row r="71" customFormat="false" ht="3.95" hidden="false" customHeight="true" outlineLevel="0" collapsed="false">
      <c r="A71" s="2"/>
      <c r="B71" s="2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2"/>
      <c r="W71" s="2"/>
      <c r="X71" s="2"/>
    </row>
    <row r="72" customFormat="false" ht="12.6" hidden="false" customHeight="true" outlineLevel="0" collapsed="false">
      <c r="A72" s="2"/>
      <c r="B72" s="17" t="s">
        <v>80</v>
      </c>
      <c r="C72" s="15"/>
      <c r="D72" s="93" t="n">
        <f aca="false">ROUND((D67+D70)/1.95,0)</f>
        <v>-359003</v>
      </c>
      <c r="E72" s="93" t="n">
        <f aca="false">ROUND((E67+E70)/1.95,0)</f>
        <v>-380080</v>
      </c>
      <c r="F72" s="93" t="n">
        <f aca="false">ROUND((F67+F70)/1.95,0)</f>
        <v>-391977</v>
      </c>
      <c r="G72" s="93" t="n">
        <f aca="false">ROUND((G67+G70)/1.95,0)</f>
        <v>-408029</v>
      </c>
      <c r="H72" s="93" t="n">
        <f aca="false">ROUND((H67+H70)/1.95,0)</f>
        <v>-418901</v>
      </c>
      <c r="I72" s="93" t="n">
        <f aca="false">ROUND((I67+I70)/1.95,0)</f>
        <v>-406285</v>
      </c>
      <c r="J72" s="93" t="n">
        <f aca="false">ROUND((J67+J70)/1.95,0)</f>
        <v>-391259</v>
      </c>
      <c r="K72" s="93" t="n">
        <f aca="false">ROUND((K67+K70)/1.95,0)</f>
        <v>-384798</v>
      </c>
      <c r="L72" s="93" t="n">
        <f aca="false">ROUND((L67+L70)/1.95,0)</f>
        <v>-369875</v>
      </c>
      <c r="M72" s="93" t="n">
        <f aca="false">ROUND((M67+M70)/1.95,0)</f>
        <v>-355054</v>
      </c>
      <c r="N72" s="93" t="n">
        <f aca="false">ROUND((N67+N70)/1.95,0)</f>
        <v>-347054</v>
      </c>
      <c r="O72" s="93" t="n">
        <f aca="false">ROUND((O67+O70)/1.95,0)</f>
        <v>-337824</v>
      </c>
      <c r="P72" s="5"/>
      <c r="Q72" s="5"/>
      <c r="R72" s="5"/>
      <c r="S72" s="49" t="s">
        <v>122</v>
      </c>
      <c r="T72" s="5"/>
      <c r="U72" s="51" t="n">
        <f aca="false">SUM(U63:U70)</f>
        <v>34500</v>
      </c>
      <c r="V72" s="2"/>
      <c r="W72" s="2"/>
      <c r="X72" s="2"/>
    </row>
    <row r="73" customFormat="false" ht="12.6" hidden="false" customHeight="true" outlineLevel="0" collapsed="false">
      <c r="A73" s="2"/>
      <c r="B73" s="17" t="s">
        <v>123</v>
      </c>
      <c r="C73" s="25" t="n">
        <v>0.036</v>
      </c>
      <c r="D73" s="25" t="n">
        <v>0.0325</v>
      </c>
      <c r="E73" s="25" t="n">
        <v>0.0325</v>
      </c>
      <c r="F73" s="25" t="n">
        <v>0.0325</v>
      </c>
      <c r="G73" s="25" t="n">
        <v>0.0325</v>
      </c>
      <c r="H73" s="25" t="n">
        <v>0.0325</v>
      </c>
      <c r="I73" s="25" t="n">
        <v>0.0325</v>
      </c>
      <c r="J73" s="25" t="n">
        <v>0.0325</v>
      </c>
      <c r="K73" s="25" t="n">
        <v>0.0325</v>
      </c>
      <c r="L73" s="25" t="n">
        <v>0.0325</v>
      </c>
      <c r="M73" s="25" t="n">
        <v>0.0325</v>
      </c>
      <c r="N73" s="25" t="n">
        <v>0.0325</v>
      </c>
      <c r="O73" s="25" t="n">
        <v>0.0325</v>
      </c>
      <c r="P73" s="5"/>
      <c r="Q73" s="5"/>
      <c r="R73" s="5"/>
      <c r="S73" s="5"/>
      <c r="T73" s="5"/>
      <c r="U73" s="5"/>
      <c r="V73" s="2"/>
      <c r="W73" s="2"/>
      <c r="X73" s="2"/>
    </row>
    <row r="74" customFormat="false" ht="3.95" hidden="false" customHeight="true" outlineLevel="0" collapsed="false">
      <c r="A74" s="2"/>
      <c r="B74" s="26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5"/>
      <c r="Q74" s="5"/>
      <c r="R74" s="5"/>
      <c r="S74" s="20"/>
      <c r="T74" s="2"/>
      <c r="U74" s="5"/>
      <c r="V74" s="2"/>
      <c r="W74" s="2"/>
      <c r="X74" s="2"/>
    </row>
    <row r="75" customFormat="false" ht="12.6" hidden="false" customHeight="true" outlineLevel="0" collapsed="false">
      <c r="A75" s="2"/>
      <c r="B75" s="17" t="s">
        <v>124</v>
      </c>
      <c r="C75" s="20" t="n">
        <f aca="false">ROUND((C70)*(C73*(31/365)),0)</f>
        <v>0</v>
      </c>
      <c r="D75" s="20" t="n">
        <f aca="false">ROUND((D72)*(D73*(31/365)),0)</f>
        <v>-991</v>
      </c>
      <c r="E75" s="20" t="n">
        <f aca="false">ROUND((E72)*(E73*(28/365)),0)</f>
        <v>-948</v>
      </c>
      <c r="F75" s="20" t="n">
        <f aca="false">ROUND((F72)*(F73*(31/365)),0)</f>
        <v>-1082</v>
      </c>
      <c r="G75" s="20" t="n">
        <f aca="false">ROUND((G72)*(G73*(30/365)),0)</f>
        <v>-1090</v>
      </c>
      <c r="H75" s="20" t="n">
        <f aca="false">ROUND((H72)*(H73*(31/365)),0)</f>
        <v>-1156</v>
      </c>
      <c r="I75" s="20" t="n">
        <f aca="false">ROUND((I72)*(I73*(30/365)),0)</f>
        <v>-1085</v>
      </c>
      <c r="J75" s="20" t="n">
        <f aca="false">ROUND((J72)*(J73*(31/365)),0)</f>
        <v>-1080</v>
      </c>
      <c r="K75" s="20" t="n">
        <f aca="false">ROUND((K72)*(K73*(31/365)),0)</f>
        <v>-1062</v>
      </c>
      <c r="L75" s="20" t="n">
        <f aca="false">ROUND((L72)*(L73*(30/365)),0)</f>
        <v>-988</v>
      </c>
      <c r="M75" s="20" t="n">
        <f aca="false">ROUND((M72)*(M73*(31/365)),0)</f>
        <v>-980</v>
      </c>
      <c r="N75" s="20" t="n">
        <f aca="false">ROUND((N72)*(N73*(30/365)),0)</f>
        <v>-927</v>
      </c>
      <c r="O75" s="20" t="n">
        <f aca="false">ROUND((O72)*(O73*(31/365)),0)</f>
        <v>-932</v>
      </c>
      <c r="P75" s="20" t="n">
        <f aca="false">SUM(D75:O75)</f>
        <v>-12321</v>
      </c>
      <c r="Q75" s="5"/>
      <c r="R75" s="5"/>
      <c r="S75" s="5"/>
      <c r="T75" s="5"/>
      <c r="U75" s="5"/>
      <c r="V75" s="2"/>
      <c r="W75" s="2"/>
      <c r="X75" s="2"/>
    </row>
    <row r="76" customFormat="false" ht="12.6" hidden="false" customHeight="true" outlineLevel="0" collapsed="false">
      <c r="A76" s="2"/>
      <c r="B76" s="17" t="s">
        <v>125</v>
      </c>
      <c r="C76" s="34"/>
      <c r="D76" s="22" t="n">
        <v>-9</v>
      </c>
      <c r="E76" s="22" t="n">
        <v>-52</v>
      </c>
      <c r="F76" s="22" t="n">
        <v>-18</v>
      </c>
      <c r="G76" s="22" t="n">
        <v>-10</v>
      </c>
      <c r="H76" s="22" t="n">
        <v>-44</v>
      </c>
      <c r="I76" s="22" t="n">
        <v>-15</v>
      </c>
      <c r="J76" s="22" t="n">
        <v>-20</v>
      </c>
      <c r="K76" s="22" t="n">
        <v>-38</v>
      </c>
      <c r="L76" s="22" t="n">
        <v>-12</v>
      </c>
      <c r="M76" s="22" t="n">
        <v>-20</v>
      </c>
      <c r="N76" s="22" t="n">
        <v>27</v>
      </c>
      <c r="O76" s="22" t="n">
        <v>32</v>
      </c>
      <c r="P76" s="23" t="n">
        <f aca="false">SUM(D76:O76)</f>
        <v>-179</v>
      </c>
      <c r="Q76" s="5"/>
      <c r="R76" s="5"/>
      <c r="S76" s="5"/>
      <c r="T76" s="5"/>
      <c r="U76" s="5"/>
      <c r="V76" s="2"/>
      <c r="W76" s="2"/>
      <c r="X76" s="2"/>
    </row>
    <row r="77" customFormat="false" ht="12.6" hidden="false" customHeight="true" outlineLevel="0" collapsed="false">
      <c r="A77" s="2"/>
      <c r="B77" s="31" t="s">
        <v>126</v>
      </c>
      <c r="C77" s="2"/>
      <c r="D77" s="20" t="n">
        <f aca="false">SUM(D75:D76)</f>
        <v>-1000</v>
      </c>
      <c r="E77" s="20" t="n">
        <f aca="false">SUM(E75:E76)</f>
        <v>-1000</v>
      </c>
      <c r="F77" s="20" t="n">
        <f aca="false">SUM(F75:F76)</f>
        <v>-1100</v>
      </c>
      <c r="G77" s="20" t="n">
        <f aca="false">SUM(G75:G76)</f>
        <v>-1100</v>
      </c>
      <c r="H77" s="20" t="n">
        <f aca="false">SUM(H75:H76)</f>
        <v>-1200</v>
      </c>
      <c r="I77" s="20" t="n">
        <f aca="false">SUM(I75:I76)</f>
        <v>-1100</v>
      </c>
      <c r="J77" s="20" t="n">
        <f aca="false">SUM(J75:J76)</f>
        <v>-1100</v>
      </c>
      <c r="K77" s="20" t="n">
        <f aca="false">SUM(K75:K76)</f>
        <v>-1100</v>
      </c>
      <c r="L77" s="20" t="n">
        <f aca="false">SUM(L75:L76)</f>
        <v>-1000</v>
      </c>
      <c r="M77" s="20" t="n">
        <f aca="false">SUM(M75:M76)</f>
        <v>-1000</v>
      </c>
      <c r="N77" s="20" t="n">
        <f aca="false">SUM(N75:N76)</f>
        <v>-900</v>
      </c>
      <c r="O77" s="20" t="n">
        <f aca="false">SUM(O75:O76)</f>
        <v>-900</v>
      </c>
      <c r="P77" s="20" t="n">
        <f aca="false">SUM(P75:P76)</f>
        <v>-12500</v>
      </c>
      <c r="Q77" s="5"/>
      <c r="R77" s="5"/>
      <c r="S77" s="5"/>
      <c r="T77" s="5"/>
      <c r="U77" s="5"/>
      <c r="V77" s="2"/>
      <c r="W77" s="2"/>
      <c r="X77" s="2"/>
    </row>
    <row r="78" customFormat="false" ht="12.6" hidden="false" customHeight="true" outlineLevel="0" collapsed="false">
      <c r="A78" s="2"/>
      <c r="B78" s="17" t="s">
        <v>127</v>
      </c>
      <c r="C78" s="5"/>
      <c r="D78" s="19" t="n">
        <f aca="false">ROUND((+$T$52*0.0675)*(30/360),0)</f>
        <v>844</v>
      </c>
      <c r="E78" s="19" t="n">
        <f aca="false">ROUND((+$T$52*0.0675)*(30/360),0)</f>
        <v>844</v>
      </c>
      <c r="F78" s="19" t="n">
        <f aca="false">ROUND((+$T$52*0.0675)*(30/360),0)</f>
        <v>844</v>
      </c>
      <c r="G78" s="18" t="n">
        <f aca="false">ROUND((+$T$52*0.0675)*(30/360),0)-1</f>
        <v>843</v>
      </c>
      <c r="H78" s="19" t="n">
        <f aca="false">ROUND((+$T$52*0.0675)*(30/360),0)</f>
        <v>844</v>
      </c>
      <c r="I78" s="19" t="n">
        <f aca="false">ROUND((+$T$52*0.0675)*(30/360),0)</f>
        <v>844</v>
      </c>
      <c r="J78" s="19" t="n">
        <f aca="false">ROUND((+$T$52*0.0675)*(30/360),0)</f>
        <v>844</v>
      </c>
      <c r="K78" s="18" t="n">
        <f aca="false">ROUND((+$T$52*0.0675)*(30/360),0)-1</f>
        <v>843</v>
      </c>
      <c r="L78" s="19" t="n">
        <f aca="false">ROUND((+$T$52*0.0675)*(30/360),0)</f>
        <v>844</v>
      </c>
      <c r="M78" s="19" t="n">
        <f aca="false">ROUND((+$T$52*0.0675)*(30/360),0)</f>
        <v>844</v>
      </c>
      <c r="N78" s="19" t="n">
        <f aca="false">ROUND((+$T$52*0.0675)*(30/360),0)</f>
        <v>844</v>
      </c>
      <c r="O78" s="18" t="n">
        <f aca="false">ROUND((+$T$52*0.0675)*(30/360),0)-1</f>
        <v>843</v>
      </c>
      <c r="P78" s="20" t="n">
        <f aca="false">SUM(D78:O78)</f>
        <v>10125</v>
      </c>
      <c r="Q78" s="5"/>
      <c r="R78" s="5"/>
      <c r="S78" s="5"/>
      <c r="T78" s="5"/>
      <c r="U78" s="5"/>
      <c r="V78" s="2"/>
      <c r="W78" s="2"/>
      <c r="X78" s="2"/>
    </row>
    <row r="79" customFormat="false" ht="12.6" hidden="false" customHeight="true" outlineLevel="0" collapsed="false">
      <c r="A79" s="2"/>
      <c r="B79" s="17" t="s">
        <v>128</v>
      </c>
      <c r="C79" s="5"/>
      <c r="D79" s="47" t="n">
        <v>11</v>
      </c>
      <c r="E79" s="47" t="n">
        <v>11</v>
      </c>
      <c r="F79" s="47" t="n">
        <v>11</v>
      </c>
      <c r="G79" s="47" t="n">
        <v>10</v>
      </c>
      <c r="H79" s="47" t="n">
        <v>11</v>
      </c>
      <c r="I79" s="47" t="n">
        <v>11</v>
      </c>
      <c r="J79" s="47" t="n">
        <v>11</v>
      </c>
      <c r="K79" s="47" t="n">
        <v>11</v>
      </c>
      <c r="L79" s="47" t="n">
        <v>11</v>
      </c>
      <c r="M79" s="47" t="n">
        <v>10</v>
      </c>
      <c r="N79" s="47" t="n">
        <v>11</v>
      </c>
      <c r="O79" s="47" t="n">
        <v>11</v>
      </c>
      <c r="P79" s="20" t="n">
        <f aca="false">SUM(D79:O79)</f>
        <v>130</v>
      </c>
      <c r="Q79" s="5"/>
      <c r="R79" s="5"/>
      <c r="S79" s="5"/>
      <c r="T79" s="5"/>
      <c r="U79" s="5"/>
      <c r="V79" s="2"/>
      <c r="W79" s="2"/>
      <c r="X79" s="2"/>
    </row>
    <row r="80" customFormat="false" ht="12.6" hidden="false" customHeight="true" outlineLevel="0" collapsed="false">
      <c r="A80" s="2"/>
      <c r="B80" s="17" t="s">
        <v>129</v>
      </c>
      <c r="C80" s="5"/>
      <c r="D80" s="61" t="n">
        <f aca="false">ROUND((+$T$52*0.0275)*(30/360),0)-344</f>
        <v>0</v>
      </c>
      <c r="E80" s="61" t="n">
        <f aca="false">ROUND((+$T$52*0.0275)*(30/360),0)-344</f>
        <v>0</v>
      </c>
      <c r="F80" s="61" t="n">
        <f aca="false">ROUND((+$T$52*0.0275)*(30/360),0)-344</f>
        <v>0</v>
      </c>
      <c r="G80" s="61" t="n">
        <f aca="false">ROUND((+$T$52*0.0275)*(30/360),0)-344</f>
        <v>0</v>
      </c>
      <c r="H80" s="61" t="n">
        <f aca="false">ROUND((+$T$52*0.0275)*(30/360),0)-344</f>
        <v>0</v>
      </c>
      <c r="I80" s="61" t="n">
        <f aca="false">ROUND((+$T$52*0.0275)*(30/360),0)-344</f>
        <v>0</v>
      </c>
      <c r="J80" s="61" t="n">
        <f aca="false">ROUND((+$T$52*0.0275)*(30/360),0)-344</f>
        <v>0</v>
      </c>
      <c r="K80" s="61" t="n">
        <f aca="false">ROUND((+$T$52*0.0275)*(30/360),0)-344</f>
        <v>0</v>
      </c>
      <c r="L80" s="61" t="n">
        <f aca="false">ROUND((+$T$52*0.0275)*(30/360),0)-344</f>
        <v>0</v>
      </c>
      <c r="M80" s="61" t="n">
        <f aca="false">ROUND((+$T$52*0.0275)*(30/360),0)-344</f>
        <v>0</v>
      </c>
      <c r="N80" s="61" t="n">
        <f aca="false">ROUND((+$T$52*0.0275)*(30/360),0)-344</f>
        <v>0</v>
      </c>
      <c r="O80" s="61" t="n">
        <f aca="false">ROUND((+$T$52*0.0275)*(30/360),0)-344+4125-4125</f>
        <v>0</v>
      </c>
      <c r="P80" s="23" t="n">
        <f aca="false">SUM(D80:O80)</f>
        <v>0</v>
      </c>
      <c r="Q80" s="5"/>
      <c r="R80" s="5"/>
      <c r="S80" s="5"/>
      <c r="T80" s="5"/>
      <c r="U80" s="5"/>
      <c r="V80" s="2"/>
      <c r="W80" s="2"/>
      <c r="X80" s="2"/>
    </row>
    <row r="81" customFormat="false" ht="3.95" hidden="false" customHeight="true" outlineLevel="0" collapsed="false">
      <c r="A81" s="2"/>
      <c r="B81" s="17"/>
      <c r="C81" s="5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5"/>
      <c r="R81" s="5"/>
      <c r="S81" s="5"/>
      <c r="T81" s="5"/>
      <c r="U81" s="5"/>
      <c r="V81" s="2"/>
      <c r="W81" s="2"/>
      <c r="X81" s="2"/>
    </row>
    <row r="82" customFormat="false" ht="12.6" hidden="false" customHeight="true" outlineLevel="0" collapsed="false">
      <c r="A82" s="2"/>
      <c r="B82" s="30" t="s">
        <v>130</v>
      </c>
      <c r="C82" s="5"/>
      <c r="D82" s="94" t="n">
        <f aca="false">SUM(D77:D80)</f>
        <v>-145</v>
      </c>
      <c r="E82" s="94" t="n">
        <f aca="false">SUM(E77:E80)</f>
        <v>-145</v>
      </c>
      <c r="F82" s="94" t="n">
        <f aca="false">SUM(F77:F80)</f>
        <v>-245</v>
      </c>
      <c r="G82" s="94" t="n">
        <f aca="false">SUM(G77:G80)</f>
        <v>-247</v>
      </c>
      <c r="H82" s="94" t="n">
        <f aca="false">SUM(H77:H80)</f>
        <v>-345</v>
      </c>
      <c r="I82" s="94" t="n">
        <f aca="false">SUM(I77:I80)</f>
        <v>-245</v>
      </c>
      <c r="J82" s="94" t="n">
        <f aca="false">SUM(J77:J80)</f>
        <v>-245</v>
      </c>
      <c r="K82" s="94" t="n">
        <f aca="false">SUM(K77:K80)</f>
        <v>-246</v>
      </c>
      <c r="L82" s="94" t="n">
        <f aca="false">SUM(L77:L80)</f>
        <v>-145</v>
      </c>
      <c r="M82" s="94" t="n">
        <f aca="false">SUM(M77:M80)</f>
        <v>-146</v>
      </c>
      <c r="N82" s="94" t="n">
        <f aca="false">SUM(N77:N80)</f>
        <v>-45</v>
      </c>
      <c r="O82" s="94" t="n">
        <f aca="false">SUM(O77:O80)</f>
        <v>-46</v>
      </c>
      <c r="P82" s="94" t="n">
        <f aca="false">SUM(P77:P80)</f>
        <v>-2245</v>
      </c>
      <c r="Q82" s="33" t="n">
        <f aca="false">+P82-SUM(D82:O82)</f>
        <v>0</v>
      </c>
      <c r="R82" s="33"/>
      <c r="T82" s="5"/>
      <c r="U82" s="5"/>
      <c r="V82" s="2"/>
      <c r="W82" s="2"/>
      <c r="X82" s="2"/>
    </row>
    <row r="83" customFormat="false" ht="12.6" hidden="false" customHeight="true" outlineLevel="0" collapsed="false">
      <c r="A83" s="2"/>
      <c r="B83" s="17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5"/>
      <c r="Q83" s="5"/>
      <c r="R83" s="5"/>
      <c r="S83" s="5"/>
      <c r="T83" s="5"/>
      <c r="U83" s="39" t="n">
        <f aca="true">NOW()</f>
        <v>45926.9642538575</v>
      </c>
      <c r="V83" s="2"/>
      <c r="W83" s="2"/>
      <c r="X83" s="2"/>
    </row>
    <row r="84" customFormat="false" ht="12.6" hidden="false" customHeight="true" outlineLevel="0" collapsed="false">
      <c r="A84" s="95" t="str">
        <f aca="true">CELL("FILENAME")</f>
        <v>'file:///mnt/12tb/@roms/datasets/enron/EDRM Enron Email Data Set v2 XML/filtered-attachments/xls/DBTEQTY02.xls'#$NNG-Original 2002 Plan</v>
      </c>
      <c r="B84" s="41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3"/>
      <c r="R84" s="33"/>
      <c r="T84" s="5"/>
      <c r="U84" s="42" t="n">
        <f aca="true">NOW()</f>
        <v>45926.9642538576</v>
      </c>
      <c r="V84" s="2"/>
      <c r="W84" s="2"/>
      <c r="X84" s="2"/>
    </row>
    <row r="85" customFormat="false" ht="12.8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customFormat="false" ht="12.8" hidden="false" customHeight="false" outlineLevel="0" collapsed="false">
      <c r="A86" s="2"/>
      <c r="B86" s="2"/>
      <c r="C86" s="2" t="n">
        <v>34</v>
      </c>
      <c r="D86" s="96" t="n">
        <f aca="false">+C86+D79</f>
        <v>45</v>
      </c>
      <c r="E86" s="96" t="n">
        <f aca="false">+D86+E79</f>
        <v>56</v>
      </c>
      <c r="F86" s="96" t="n">
        <f aca="false">+E86+F79</f>
        <v>67</v>
      </c>
      <c r="G86" s="96" t="n">
        <f aca="false">+F86+G79</f>
        <v>77</v>
      </c>
      <c r="H86" s="96" t="n">
        <f aca="false">+G86+H79</f>
        <v>88</v>
      </c>
      <c r="I86" s="96" t="n">
        <f aca="false">+H86+I79</f>
        <v>99</v>
      </c>
      <c r="J86" s="96" t="n">
        <f aca="false">+I86+J79</f>
        <v>110</v>
      </c>
      <c r="K86" s="96" t="n">
        <f aca="false">+J86+K79</f>
        <v>121</v>
      </c>
      <c r="L86" s="96" t="n">
        <f aca="false">+K86+L79</f>
        <v>132</v>
      </c>
      <c r="M86" s="96" t="n">
        <f aca="false">+L86+M79</f>
        <v>142</v>
      </c>
      <c r="N86" s="96" t="n">
        <f aca="false">+M86+N79</f>
        <v>153</v>
      </c>
      <c r="O86" s="96" t="n">
        <f aca="false">+N86+O79</f>
        <v>164</v>
      </c>
      <c r="P86" s="2"/>
      <c r="Q86" s="2"/>
      <c r="R86" s="2"/>
      <c r="S86" s="2"/>
      <c r="T86" s="2"/>
      <c r="U86" s="2"/>
      <c r="V86" s="2"/>
      <c r="W86" s="2"/>
      <c r="X86" s="2"/>
    </row>
    <row r="87" customFormat="false" ht="12.8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25" right="0.25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87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2" ySplit="3" topLeftCell="C7" activePane="bottomRight" state="frozen"/>
      <selection pane="topLeft" activeCell="A4" activeCellId="0" sqref="A4"/>
      <selection pane="topRight" activeCell="C4" activeCellId="0" sqref="C4"/>
      <selection pane="bottomLeft" activeCell="A7" activeCellId="0" sqref="A7"/>
      <selection pane="bottomRight" activeCell="C7" activeCellId="0" sqref="C7 C7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.82"/>
    <col collapsed="false" customWidth="true" hidden="false" outlineLevel="0" max="2" min="2" style="0" width="60.82"/>
    <col collapsed="false" customWidth="true" hidden="false" outlineLevel="0" max="3" min="3" style="0" width="13.82"/>
    <col collapsed="false" customWidth="true" hidden="false" outlineLevel="0" max="15" min="4" style="0" width="12.82"/>
    <col collapsed="false" customWidth="true" hidden="false" outlineLevel="0" max="16" min="16" style="0" width="13.82"/>
    <col collapsed="false" customWidth="true" hidden="false" outlineLevel="0" max="17" min="17" style="0" width="6.82"/>
    <col collapsed="false" customWidth="true" hidden="false" outlineLevel="0" max="18" min="18" style="0" width="4.82"/>
    <col collapsed="false" customWidth="true" hidden="false" outlineLevel="0" max="19" min="19" style="0" width="45.82"/>
    <col collapsed="false" customWidth="true" hidden="false" outlineLevel="0" max="20" min="20" style="0" width="11.82"/>
    <col collapsed="false" customWidth="true" hidden="false" outlineLevel="0" max="21" min="21" style="0" width="10.82"/>
  </cols>
  <sheetData>
    <row r="1" customFormat="false" ht="12.75" hidden="false" customHeight="true" outlineLevel="0" collapsed="false">
      <c r="A1" s="1" t="s">
        <v>131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</row>
    <row r="2" customFormat="false" ht="12.75" hidden="false" customHeight="true" outlineLevel="0" collapsed="false">
      <c r="A2" s="97" t="str">
        <f aca="false">+'NNG-Original 2002 Plan'!A2</f>
        <v>2002 OPERATING PLAN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2"/>
      <c r="W2" s="2"/>
      <c r="X2" s="2"/>
    </row>
    <row r="3" customFormat="false" ht="12.75" hidden="false" customHeight="true" outlineLevel="0" collapsed="false">
      <c r="A3" s="98" t="str">
        <f aca="false">+'NNG-Original 2002 Plan'!A3</f>
        <v>INTERCOMPANY FINANCING CALCULATION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2"/>
      <c r="W3" s="2"/>
      <c r="X3" s="2"/>
    </row>
    <row r="4" customFormat="false" ht="12.6" hidden="false" customHeight="true" outlineLevel="0" collapsed="false">
      <c r="B4" s="99" t="str">
        <f aca="false">+'NNG-Original 2002 Plan'!B4</f>
        <v>  " Preliminary 2002 Operating Plan (10/24/01) "</v>
      </c>
      <c r="C4" s="100" t="str">
        <f aca="false">+'NNG-Original 2002 Plan'!C4</f>
        <v>3rd CE</v>
      </c>
      <c r="D4" s="7"/>
      <c r="E4" s="100"/>
      <c r="F4" s="2"/>
      <c r="G4" s="2"/>
      <c r="H4" s="100"/>
      <c r="J4" s="10"/>
      <c r="K4" s="100"/>
      <c r="L4" s="7"/>
      <c r="M4" s="7"/>
      <c r="N4" s="7"/>
      <c r="O4" s="7"/>
      <c r="P4" s="7"/>
      <c r="Q4" s="7"/>
      <c r="R4" s="5"/>
      <c r="S4" s="5"/>
      <c r="T4" s="16"/>
      <c r="U4" s="5"/>
      <c r="V4" s="2"/>
      <c r="W4" s="2"/>
      <c r="X4" s="2"/>
    </row>
    <row r="5" customFormat="false" ht="12.6" hidden="false" customHeight="true" outlineLevel="0" collapsed="false">
      <c r="B5" s="7"/>
      <c r="C5" s="100" t="str">
        <f aca="false">+'NNG-Original 2002 Plan'!C5</f>
        <v>YEAR END</v>
      </c>
      <c r="D5" s="100" t="str">
        <f aca="false">+'NNG-Original 2002 Plan'!D5</f>
        <v>PLAN</v>
      </c>
      <c r="E5" s="100" t="str">
        <f aca="false">+'NNG-Original 2002 Plan'!E5</f>
        <v>PLAN</v>
      </c>
      <c r="F5" s="100" t="str">
        <f aca="false">+'NNG-Original 2002 Plan'!F5</f>
        <v>PLAN</v>
      </c>
      <c r="G5" s="100" t="str">
        <f aca="false">+'NNG-Original 2002 Plan'!G5</f>
        <v>PLAN</v>
      </c>
      <c r="H5" s="100" t="str">
        <f aca="false">+'NNG-Original 2002 Plan'!H5</f>
        <v>PLAN</v>
      </c>
      <c r="I5" s="100" t="str">
        <f aca="false">+'NNG-Original 2002 Plan'!I5</f>
        <v>PLAN</v>
      </c>
      <c r="J5" s="100" t="str">
        <f aca="false">+'NNG-Original 2002 Plan'!J5</f>
        <v>PLAN</v>
      </c>
      <c r="K5" s="100" t="str">
        <f aca="false">+'NNG-Original 2002 Plan'!K5</f>
        <v>PLAN</v>
      </c>
      <c r="L5" s="100" t="str">
        <f aca="false">+'NNG-Original 2002 Plan'!L5</f>
        <v>PLAN</v>
      </c>
      <c r="M5" s="100" t="str">
        <f aca="false">+'NNG-Original 2002 Plan'!M5</f>
        <v>PLAN</v>
      </c>
      <c r="N5" s="100" t="str">
        <f aca="false">+'NNG-Original 2002 Plan'!N5</f>
        <v>PLAN</v>
      </c>
      <c r="O5" s="100" t="str">
        <f aca="false">+'NNG-Original 2002 Plan'!O5</f>
        <v>PLAN</v>
      </c>
      <c r="P5" s="100" t="str">
        <f aca="false">+'NNG-Original 2002 Plan'!P5</f>
        <v>YEAR END</v>
      </c>
      <c r="Q5" s="100"/>
      <c r="R5" s="5"/>
      <c r="S5" s="16"/>
      <c r="T5" s="16"/>
      <c r="U5" s="5"/>
      <c r="V5" s="2"/>
      <c r="W5" s="2"/>
      <c r="X5" s="2"/>
    </row>
    <row r="6" customFormat="false" ht="12.6" hidden="false" customHeight="true" outlineLevel="0" collapsed="false">
      <c r="B6" s="7"/>
      <c r="C6" s="101" t="str">
        <f aca="false">+'NNG-Original 2002 Plan'!C6</f>
        <v>12/31/01</v>
      </c>
      <c r="D6" s="101" t="str">
        <f aca="false">+'NNG-Original 2002 Plan'!D6</f>
        <v>JAN.</v>
      </c>
      <c r="E6" s="101" t="str">
        <f aca="false">+'NNG-Original 2002 Plan'!E6</f>
        <v>FEB.</v>
      </c>
      <c r="F6" s="101" t="str">
        <f aca="false">+'NNG-Original 2002 Plan'!F6</f>
        <v>MAR.</v>
      </c>
      <c r="G6" s="101" t="str">
        <f aca="false">+'NNG-Original 2002 Plan'!G6</f>
        <v>APR.</v>
      </c>
      <c r="H6" s="101" t="str">
        <f aca="false">+'NNG-Original 2002 Plan'!H6</f>
        <v>MAY</v>
      </c>
      <c r="I6" s="101" t="str">
        <f aca="false">+'NNG-Original 2002 Plan'!I6</f>
        <v>JUNE</v>
      </c>
      <c r="J6" s="101" t="str">
        <f aca="false">+'NNG-Original 2002 Plan'!J6</f>
        <v>JULY</v>
      </c>
      <c r="K6" s="101" t="str">
        <f aca="false">+'NNG-Original 2002 Plan'!K6</f>
        <v>AUG.</v>
      </c>
      <c r="L6" s="101" t="str">
        <f aca="false">+'NNG-Original 2002 Plan'!L6</f>
        <v>SEP.</v>
      </c>
      <c r="M6" s="101" t="str">
        <f aca="false">+'NNG-Original 2002 Plan'!M6</f>
        <v>OCT.</v>
      </c>
      <c r="N6" s="101" t="str">
        <f aca="false">+'NNG-Original 2002 Plan'!N6</f>
        <v>NOV.</v>
      </c>
      <c r="O6" s="101" t="str">
        <f aca="false">+'NNG-Original 2002 Plan'!O6</f>
        <v>DEC.</v>
      </c>
      <c r="P6" s="101" t="str">
        <f aca="false">+'NNG-Original 2002 Plan'!P6</f>
        <v>12/31/02</v>
      </c>
      <c r="Q6" s="101"/>
      <c r="R6" s="5"/>
      <c r="S6" s="45"/>
      <c r="T6" s="45"/>
      <c r="U6" s="5"/>
      <c r="V6" s="2"/>
      <c r="W6" s="2"/>
      <c r="X6" s="2"/>
    </row>
    <row r="7" customFormat="false" ht="12.6" hidden="false" customHeight="true" outlineLevel="0" collapsed="false">
      <c r="A7" s="102" t="e">
        <f aca="false">+</f>
        <v>#NAME?</v>
      </c>
      <c r="B7" s="7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2"/>
      <c r="R7" s="5"/>
      <c r="S7" s="45"/>
      <c r="T7" s="45"/>
      <c r="U7" s="5"/>
      <c r="V7" s="2"/>
      <c r="W7" s="2"/>
      <c r="X7" s="2"/>
    </row>
    <row r="8" customFormat="false" ht="12.6" hidden="false" customHeight="true" outlineLevel="0" collapsed="false">
      <c r="A8" s="2"/>
      <c r="B8" s="99" t="str">
        <f aca="false">+'NNG-Original 2002 Plan'!B8</f>
        <v>Payable / (Receivable) Corp. - Beg. Balance</v>
      </c>
      <c r="C8" s="46" t="n">
        <f aca="false">-524956+40885</f>
        <v>-484071</v>
      </c>
      <c r="D8" s="20" t="n">
        <f aca="false">C15</f>
        <v>-261181</v>
      </c>
      <c r="E8" s="20" t="n">
        <f aca="false">D15</f>
        <v>-259981</v>
      </c>
      <c r="F8" s="20" t="n">
        <f aca="false">E15</f>
        <v>-262081</v>
      </c>
      <c r="G8" s="20" t="n">
        <f aca="false">F15</f>
        <v>-263581</v>
      </c>
      <c r="H8" s="20" t="n">
        <f aca="false">G15</f>
        <v>-261081</v>
      </c>
      <c r="I8" s="20" t="n">
        <f aca="false">H15</f>
        <v>-261881</v>
      </c>
      <c r="J8" s="20" t="n">
        <f aca="false">I15</f>
        <v>-264181</v>
      </c>
      <c r="K8" s="20" t="n">
        <f aca="false">J15</f>
        <v>-269181</v>
      </c>
      <c r="L8" s="20" t="n">
        <f aca="false">K15</f>
        <v>-275881</v>
      </c>
      <c r="M8" s="20" t="n">
        <f aca="false">L15</f>
        <v>-282981</v>
      </c>
      <c r="N8" s="20" t="n">
        <f aca="false">M15</f>
        <v>-283281</v>
      </c>
      <c r="O8" s="20" t="n">
        <f aca="false">N15</f>
        <v>-286981</v>
      </c>
      <c r="P8" s="5"/>
      <c r="Q8" s="5"/>
      <c r="R8" s="5"/>
      <c r="S8" s="2"/>
      <c r="T8" s="2"/>
      <c r="U8" s="5"/>
      <c r="V8" s="2"/>
      <c r="W8" s="2"/>
      <c r="X8" s="2"/>
    </row>
    <row r="9" customFormat="false" ht="12.6" hidden="false" customHeight="true" outlineLevel="0" collapsed="false">
      <c r="A9" s="2"/>
      <c r="B9" s="17" t="s">
        <v>158</v>
      </c>
      <c r="C9" s="5"/>
      <c r="D9" s="47" t="n">
        <v>-3800</v>
      </c>
      <c r="E9" s="47" t="n">
        <v>-7600</v>
      </c>
      <c r="F9" s="47" t="n">
        <v>-6300</v>
      </c>
      <c r="G9" s="47" t="n">
        <v>-2200</v>
      </c>
      <c r="H9" s="47" t="n">
        <v>-5700</v>
      </c>
      <c r="I9" s="47" t="n">
        <v>-7400</v>
      </c>
      <c r="J9" s="47" t="n">
        <v>-10300</v>
      </c>
      <c r="K9" s="47" t="n">
        <v>-12000</v>
      </c>
      <c r="L9" s="47" t="n">
        <v>-11600</v>
      </c>
      <c r="M9" s="47" t="n">
        <v>-5600</v>
      </c>
      <c r="N9" s="47" t="n">
        <v>-9500</v>
      </c>
      <c r="O9" s="47" t="n">
        <v>-12800</v>
      </c>
      <c r="P9" s="20" t="n">
        <f aca="false">SUM(D9:O9)</f>
        <v>-94800</v>
      </c>
      <c r="Q9" s="20"/>
      <c r="R9" s="5"/>
      <c r="S9" s="16"/>
      <c r="T9" s="15"/>
      <c r="U9" s="5"/>
      <c r="V9" s="2"/>
      <c r="W9" s="2"/>
      <c r="X9" s="2"/>
    </row>
    <row r="10" customFormat="false" ht="12.6" hidden="false" customHeight="true" outlineLevel="0" collapsed="false">
      <c r="A10" s="2"/>
      <c r="B10" s="50" t="str">
        <f aca="false">+'NNG-Original 2002 Plan'!B10</f>
        <v>   Pay. / (Rec.) - Corp. (Co.011) / Interco.Netting (Co.827) </v>
      </c>
      <c r="C10" s="46" t="n">
        <f aca="false">146935+75955</f>
        <v>222890</v>
      </c>
      <c r="D10" s="47" t="n">
        <v>5000</v>
      </c>
      <c r="E10" s="47" t="n">
        <v>5500</v>
      </c>
      <c r="F10" s="47" t="n">
        <v>4800</v>
      </c>
      <c r="G10" s="47" t="n">
        <v>4700</v>
      </c>
      <c r="H10" s="47" t="n">
        <v>4900</v>
      </c>
      <c r="I10" s="47" t="n">
        <v>5100</v>
      </c>
      <c r="J10" s="47" t="n">
        <v>5300</v>
      </c>
      <c r="K10" s="47" t="n">
        <v>5300</v>
      </c>
      <c r="L10" s="47" t="n">
        <v>4500</v>
      </c>
      <c r="M10" s="47" t="n">
        <v>5300</v>
      </c>
      <c r="N10" s="47" t="n">
        <v>5800</v>
      </c>
      <c r="O10" s="47" t="n">
        <v>5300</v>
      </c>
      <c r="P10" s="20" t="n">
        <f aca="false">SUM(D10:O10)</f>
        <v>61500</v>
      </c>
      <c r="Q10" s="20"/>
      <c r="R10" s="5"/>
      <c r="S10" s="5"/>
      <c r="T10" s="5"/>
      <c r="U10" s="5"/>
      <c r="V10" s="2"/>
      <c r="W10" s="2"/>
      <c r="X10" s="2"/>
    </row>
    <row r="11" customFormat="false" ht="12.6" hidden="false" customHeight="true" outlineLevel="0" collapsed="false">
      <c r="A11" s="2"/>
      <c r="B11" s="50" t="str">
        <f aca="false">+'NNG-Original 2002 Plan'!B11</f>
        <v>   Dividends to EPC </v>
      </c>
      <c r="C11" s="5"/>
      <c r="D11" s="20" t="n">
        <f aca="false">-D27</f>
        <v>-0</v>
      </c>
      <c r="E11" s="20" t="n">
        <f aca="false">-E27</f>
        <v>-0</v>
      </c>
      <c r="F11" s="20" t="n">
        <f aca="false">-F27</f>
        <v>-0</v>
      </c>
      <c r="G11" s="20" t="n">
        <f aca="false">-G27</f>
        <v>-0</v>
      </c>
      <c r="H11" s="20" t="n">
        <f aca="false">-H27</f>
        <v>-0</v>
      </c>
      <c r="I11" s="20" t="n">
        <f aca="false">-I27</f>
        <v>-0</v>
      </c>
      <c r="J11" s="20" t="n">
        <f aca="false">-J27</f>
        <v>-0</v>
      </c>
      <c r="K11" s="20" t="n">
        <f aca="false">-K27</f>
        <v>-0</v>
      </c>
      <c r="L11" s="20" t="n">
        <f aca="false">-L27</f>
        <v>-0</v>
      </c>
      <c r="M11" s="20" t="n">
        <f aca="false">-M27</f>
        <v>-0</v>
      </c>
      <c r="N11" s="20" t="n">
        <f aca="false">-N27</f>
        <v>-0</v>
      </c>
      <c r="O11" s="20" t="n">
        <f aca="false">-O27</f>
        <v>-0</v>
      </c>
      <c r="P11" s="20" t="n">
        <f aca="false">SUM(D11:O11)</f>
        <v>0</v>
      </c>
      <c r="Q11" s="20"/>
      <c r="R11" s="5"/>
      <c r="S11" s="15"/>
      <c r="T11" s="15"/>
      <c r="U11" s="5"/>
      <c r="V11" s="2"/>
      <c r="W11" s="2"/>
      <c r="X11" s="2"/>
    </row>
    <row r="12" customFormat="false" ht="12.6" hidden="false" customHeight="true" outlineLevel="0" collapsed="false">
      <c r="A12" s="2"/>
      <c r="B12" s="50" t="str">
        <f aca="false">+'NNG-Original 2002 Plan'!B12</f>
        <v>   Other</v>
      </c>
      <c r="C12" s="5"/>
      <c r="D12" s="47" t="n">
        <v>0</v>
      </c>
      <c r="E12" s="47" t="n">
        <v>0</v>
      </c>
      <c r="F12" s="47" t="n">
        <v>0</v>
      </c>
      <c r="G12" s="47" t="n">
        <v>0</v>
      </c>
      <c r="H12" s="47" t="n">
        <v>0</v>
      </c>
      <c r="I12" s="47" t="n">
        <v>0</v>
      </c>
      <c r="J12" s="47" t="n">
        <v>0</v>
      </c>
      <c r="K12" s="47" t="n">
        <v>0</v>
      </c>
      <c r="L12" s="47" t="n">
        <v>0</v>
      </c>
      <c r="M12" s="47" t="n">
        <v>0</v>
      </c>
      <c r="N12" s="47" t="n">
        <v>0</v>
      </c>
      <c r="O12" s="47" t="n">
        <v>0</v>
      </c>
      <c r="P12" s="20" t="n">
        <f aca="false">SUM(D12:O12)</f>
        <v>0</v>
      </c>
      <c r="Q12" s="20"/>
      <c r="R12" s="5"/>
      <c r="S12" s="5"/>
      <c r="T12" s="5"/>
      <c r="U12" s="5"/>
      <c r="V12" s="2"/>
      <c r="W12" s="2"/>
      <c r="X12" s="2"/>
    </row>
    <row r="13" customFormat="false" ht="12.6" hidden="false" customHeight="true" outlineLevel="0" collapsed="false">
      <c r="A13" s="2"/>
      <c r="B13" s="50" t="str">
        <f aca="false">+'NNG-Original 2002 Plan'!B13</f>
        <v>   Miscellaneous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2" t="n">
        <v>0</v>
      </c>
      <c r="J13" s="22" t="n">
        <v>0</v>
      </c>
      <c r="K13" s="22" t="n">
        <v>0</v>
      </c>
      <c r="L13" s="22" t="n">
        <v>0</v>
      </c>
      <c r="M13" s="22" t="n">
        <v>0</v>
      </c>
      <c r="N13" s="22" t="n">
        <v>0</v>
      </c>
      <c r="O13" s="22" t="n">
        <v>0</v>
      </c>
      <c r="P13" s="5"/>
      <c r="Q13" s="5"/>
      <c r="R13" s="5"/>
      <c r="S13" s="5"/>
      <c r="T13" s="5"/>
      <c r="U13" s="5"/>
      <c r="V13" s="2"/>
      <c r="W13" s="2"/>
      <c r="X13" s="2"/>
    </row>
    <row r="14" customFormat="false" ht="3.95" hidden="false" customHeight="true" outlineLevel="0" collapsed="false">
      <c r="A14" s="2"/>
      <c r="B14" s="10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6"/>
      <c r="T14" s="20"/>
      <c r="U14" s="5"/>
      <c r="V14" s="2"/>
      <c r="W14" s="2"/>
      <c r="X14" s="2"/>
    </row>
    <row r="15" customFormat="false" ht="12.6" hidden="false" customHeight="true" outlineLevel="0" collapsed="false">
      <c r="A15" s="2"/>
      <c r="B15" s="50" t="str">
        <f aca="false">+'NNG-Original 2002 Plan'!B15</f>
        <v>Payable / (Receivable) Corp. - End. Balance </v>
      </c>
      <c r="C15" s="23" t="n">
        <f aca="false">SUM(C8:C14)</f>
        <v>-261181</v>
      </c>
      <c r="D15" s="23" t="n">
        <f aca="false">SUM(D8:D14)</f>
        <v>-259981</v>
      </c>
      <c r="E15" s="23" t="n">
        <f aca="false">SUM(E8:E14)</f>
        <v>-262081</v>
      </c>
      <c r="F15" s="23" t="n">
        <f aca="false">SUM(F8:F14)</f>
        <v>-263581</v>
      </c>
      <c r="G15" s="23" t="n">
        <f aca="false">SUM(G8:G14)</f>
        <v>-261081</v>
      </c>
      <c r="H15" s="23" t="n">
        <f aca="false">SUM(H8:H14)</f>
        <v>-261881</v>
      </c>
      <c r="I15" s="23" t="n">
        <f aca="false">SUM(I8:I14)</f>
        <v>-264181</v>
      </c>
      <c r="J15" s="23" t="n">
        <f aca="false">SUM(J8:J14)</f>
        <v>-269181</v>
      </c>
      <c r="K15" s="23" t="n">
        <f aca="false">SUM(K8:K14)</f>
        <v>-275881</v>
      </c>
      <c r="L15" s="23" t="n">
        <f aca="false">SUM(L8:L14)</f>
        <v>-282981</v>
      </c>
      <c r="M15" s="23" t="n">
        <f aca="false">SUM(M8:M14)</f>
        <v>-283281</v>
      </c>
      <c r="N15" s="23" t="n">
        <f aca="false">SUM(N8:N14)</f>
        <v>-286981</v>
      </c>
      <c r="O15" s="23" t="n">
        <f aca="false">SUM(O8:O14)</f>
        <v>-294481</v>
      </c>
      <c r="P15" s="5"/>
      <c r="Q15" s="5"/>
      <c r="R15" s="5"/>
      <c r="S15" s="15"/>
      <c r="T15" s="23"/>
      <c r="U15" s="5"/>
      <c r="V15" s="2"/>
      <c r="W15" s="2"/>
      <c r="X15" s="2"/>
    </row>
    <row r="16" customFormat="false" ht="8.1" hidden="false" customHeight="true" outlineLevel="0" collapsed="false">
      <c r="A16" s="2"/>
      <c r="B16" s="2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2"/>
      <c r="T16" s="53"/>
      <c r="U16" s="54"/>
      <c r="V16" s="2"/>
      <c r="W16" s="2"/>
      <c r="X16" s="2"/>
    </row>
    <row r="17" customFormat="false" ht="12.6" hidden="false" customHeight="true" outlineLevel="0" collapsed="false">
      <c r="A17" s="2"/>
      <c r="B17" s="50" t="str">
        <f aca="false">+'NNG-Original 2002 Plan'!B17</f>
        <v>Long Term Debt - Beginning Balance</v>
      </c>
      <c r="C17" s="47" t="n">
        <v>11600</v>
      </c>
      <c r="D17" s="20" t="n">
        <f aca="false">C23</f>
        <v>11600</v>
      </c>
      <c r="E17" s="20" t="n">
        <f aca="false">D23</f>
        <v>11600</v>
      </c>
      <c r="F17" s="20" t="n">
        <f aca="false">E23</f>
        <v>11600</v>
      </c>
      <c r="G17" s="20" t="n">
        <f aca="false">F23</f>
        <v>11600</v>
      </c>
      <c r="H17" s="20" t="n">
        <f aca="false">G23</f>
        <v>11600</v>
      </c>
      <c r="I17" s="20" t="n">
        <f aca="false">H23</f>
        <v>11600</v>
      </c>
      <c r="J17" s="20" t="n">
        <f aca="false">I23</f>
        <v>11600</v>
      </c>
      <c r="K17" s="20" t="n">
        <f aca="false">J23</f>
        <v>11600</v>
      </c>
      <c r="L17" s="20" t="n">
        <f aca="false">K23</f>
        <v>11600</v>
      </c>
      <c r="M17" s="20" t="n">
        <f aca="false">L23</f>
        <v>11600</v>
      </c>
      <c r="N17" s="20" t="n">
        <f aca="false">M23</f>
        <v>11600</v>
      </c>
      <c r="O17" s="20" t="n">
        <f aca="false">N23</f>
        <v>7750</v>
      </c>
      <c r="P17" s="5"/>
      <c r="Q17" s="5"/>
      <c r="R17" s="20"/>
      <c r="S17" s="55" t="s">
        <v>53</v>
      </c>
      <c r="T17" s="56" t="s">
        <v>54</v>
      </c>
      <c r="U17" s="57" t="s">
        <v>55</v>
      </c>
      <c r="V17" s="2"/>
      <c r="W17" s="2"/>
      <c r="X17" s="2"/>
    </row>
    <row r="18" customFormat="false" ht="12.6" hidden="false" customHeight="true" outlineLevel="0" collapsed="false">
      <c r="A18" s="2"/>
      <c r="B18" s="50" t="str">
        <f aca="false">+'NNG-Original 2002 Plan'!B18</f>
        <v>   Principal - External</v>
      </c>
      <c r="C18" s="16"/>
      <c r="D18" s="47" t="n">
        <v>0</v>
      </c>
      <c r="E18" s="47" t="n">
        <v>0</v>
      </c>
      <c r="F18" s="47" t="n">
        <v>0</v>
      </c>
      <c r="G18" s="47" t="n">
        <v>0</v>
      </c>
      <c r="H18" s="104" t="n">
        <v>0</v>
      </c>
      <c r="I18" s="47" t="n">
        <v>0</v>
      </c>
      <c r="J18" s="47" t="n">
        <v>0</v>
      </c>
      <c r="K18" s="47" t="n">
        <v>0</v>
      </c>
      <c r="L18" s="47" t="n">
        <v>0</v>
      </c>
      <c r="M18" s="47" t="n">
        <v>0</v>
      </c>
      <c r="N18" s="47" t="n">
        <v>-3850</v>
      </c>
      <c r="O18" s="47" t="n">
        <v>0</v>
      </c>
      <c r="P18" s="5"/>
      <c r="Q18" s="5"/>
      <c r="R18" s="5"/>
      <c r="S18" s="58" t="s">
        <v>57</v>
      </c>
      <c r="T18" s="47" t="n">
        <v>146150</v>
      </c>
      <c r="U18" s="59" t="n">
        <f aca="false">ROUND(T18/T20,4)</f>
        <v>0.1179</v>
      </c>
      <c r="V18" s="2"/>
      <c r="W18" s="2"/>
      <c r="X18" s="2"/>
    </row>
    <row r="19" customFormat="false" ht="12.6" hidden="false" customHeight="true" outlineLevel="0" collapsed="false">
      <c r="A19" s="2"/>
      <c r="B19" s="50" t="str">
        <f aca="false">+'NNG-Original 2002 Plan'!B19</f>
        <v>                 - Corporate</v>
      </c>
      <c r="C19" s="16"/>
      <c r="D19" s="47" t="n">
        <v>0</v>
      </c>
      <c r="E19" s="47" t="n">
        <v>0</v>
      </c>
      <c r="F19" s="47" t="n">
        <v>0</v>
      </c>
      <c r="G19" s="47" t="n">
        <v>0</v>
      </c>
      <c r="H19" s="47" t="n">
        <v>0</v>
      </c>
      <c r="I19" s="47" t="n">
        <v>0</v>
      </c>
      <c r="J19" s="47" t="n">
        <v>0</v>
      </c>
      <c r="K19" s="47" t="n">
        <v>0</v>
      </c>
      <c r="L19" s="47" t="n">
        <v>0</v>
      </c>
      <c r="M19" s="47" t="n">
        <v>0</v>
      </c>
      <c r="N19" s="47" t="n">
        <v>0</v>
      </c>
      <c r="O19" s="47" t="n">
        <v>0</v>
      </c>
      <c r="P19" s="5"/>
      <c r="Q19" s="5"/>
      <c r="R19" s="5"/>
      <c r="S19" s="60" t="s">
        <v>65</v>
      </c>
      <c r="T19" s="23" t="n">
        <f aca="false">L31</f>
        <v>1093441</v>
      </c>
      <c r="U19" s="62" t="n">
        <f aca="false">ROUND(T19/T20,4)</f>
        <v>0.8821</v>
      </c>
      <c r="V19" s="2"/>
      <c r="W19" s="2"/>
      <c r="X19" s="2"/>
    </row>
    <row r="20" customFormat="false" ht="12.6" hidden="false" customHeight="true" outlineLevel="0" collapsed="false">
      <c r="A20" s="2"/>
      <c r="B20" s="50" t="str">
        <f aca="false">+'NNG-Original 2002 Plan'!B20</f>
        <v>   Debt Discount</v>
      </c>
      <c r="C20" s="47" t="n">
        <v>0</v>
      </c>
      <c r="D20" s="33" t="n">
        <f aca="false">D53</f>
        <v>0</v>
      </c>
      <c r="E20" s="33" t="n">
        <f aca="false">E53</f>
        <v>0</v>
      </c>
      <c r="F20" s="33" t="n">
        <f aca="false">F53</f>
        <v>0</v>
      </c>
      <c r="G20" s="33" t="n">
        <f aca="false">G53</f>
        <v>0</v>
      </c>
      <c r="H20" s="33" t="n">
        <f aca="false">H53</f>
        <v>0</v>
      </c>
      <c r="I20" s="33" t="n">
        <f aca="false">I53</f>
        <v>0</v>
      </c>
      <c r="J20" s="33" t="n">
        <f aca="false">J53</f>
        <v>0</v>
      </c>
      <c r="K20" s="33" t="n">
        <f aca="false">K53</f>
        <v>0</v>
      </c>
      <c r="L20" s="33" t="n">
        <f aca="false">L53</f>
        <v>0</v>
      </c>
      <c r="M20" s="33" t="n">
        <f aca="false">M53</f>
        <v>0</v>
      </c>
      <c r="N20" s="33" t="n">
        <f aca="false">N53</f>
        <v>0</v>
      </c>
      <c r="O20" s="33" t="n">
        <f aca="false">O53</f>
        <v>0</v>
      </c>
      <c r="P20" s="5"/>
      <c r="Q20" s="5"/>
      <c r="R20" s="5"/>
      <c r="S20" s="60" t="s">
        <v>61</v>
      </c>
      <c r="T20" s="34" t="n">
        <f aca="false">T18+T19</f>
        <v>1239591</v>
      </c>
      <c r="U20" s="64" t="n">
        <f aca="false">U18+U19</f>
        <v>1</v>
      </c>
      <c r="V20" s="2"/>
      <c r="W20" s="2"/>
      <c r="X20" s="2"/>
    </row>
    <row r="21" customFormat="false" ht="12.6" hidden="false" customHeight="true" outlineLevel="0" collapsed="false">
      <c r="A21" s="2"/>
      <c r="B21" s="50" t="str">
        <f aca="false">+'NNG-Original 2002 Plan'!B21</f>
        <v>   Miscellaneous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5"/>
      <c r="Q21" s="5"/>
      <c r="R21" s="20"/>
      <c r="S21" s="65"/>
      <c r="T21" s="66"/>
      <c r="U21" s="67"/>
      <c r="V21" s="2"/>
      <c r="W21" s="2"/>
      <c r="X21" s="2"/>
    </row>
    <row r="22" customFormat="false" ht="3.95" hidden="false" customHeight="true" outlineLevel="0" collapsed="false">
      <c r="A22" s="2"/>
      <c r="B22" s="2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6"/>
      <c r="T22" s="20"/>
      <c r="U22" s="5"/>
      <c r="V22" s="2"/>
      <c r="W22" s="2"/>
      <c r="X22" s="2"/>
    </row>
    <row r="23" customFormat="false" ht="12.6" hidden="false" customHeight="true" outlineLevel="0" collapsed="false">
      <c r="A23" s="2"/>
      <c r="B23" s="50" t="str">
        <f aca="false">+'NNG-Original 2002 Plan'!B23</f>
        <v>Long Term Debt - Ending Balance</v>
      </c>
      <c r="C23" s="23" t="n">
        <f aca="false">SUM(C17:C22)</f>
        <v>11600</v>
      </c>
      <c r="D23" s="23" t="n">
        <f aca="false">SUM(D17:D20)</f>
        <v>11600</v>
      </c>
      <c r="E23" s="23" t="n">
        <f aca="false">SUM(E17:E21)</f>
        <v>11600</v>
      </c>
      <c r="F23" s="23" t="n">
        <f aca="false">SUM(F17:F21)</f>
        <v>11600</v>
      </c>
      <c r="G23" s="23" t="n">
        <f aca="false">SUM(G17:G21)</f>
        <v>11600</v>
      </c>
      <c r="H23" s="23" t="n">
        <f aca="false">SUM(H17:H21)</f>
        <v>11600</v>
      </c>
      <c r="I23" s="23" t="n">
        <f aca="false">SUM(I17:I21)</f>
        <v>11600</v>
      </c>
      <c r="J23" s="23" t="n">
        <f aca="false">SUM(J17:J21)</f>
        <v>11600</v>
      </c>
      <c r="K23" s="23" t="n">
        <f aca="false">SUM(K17:K21)</f>
        <v>11600</v>
      </c>
      <c r="L23" s="23" t="n">
        <f aca="false">SUM(L17:L21)</f>
        <v>11600</v>
      </c>
      <c r="M23" s="23" t="n">
        <f aca="false">SUM(M17:M21)</f>
        <v>11600</v>
      </c>
      <c r="N23" s="23" t="n">
        <f aca="false">SUM(N17:N21)</f>
        <v>7750</v>
      </c>
      <c r="O23" s="23" t="n">
        <f aca="false">SUM(O17:O21)</f>
        <v>7750</v>
      </c>
      <c r="P23" s="5"/>
      <c r="Q23" s="5"/>
      <c r="R23" s="20"/>
      <c r="S23" s="15"/>
      <c r="T23" s="68"/>
      <c r="U23" s="5"/>
      <c r="V23" s="2"/>
      <c r="W23" s="2"/>
      <c r="X23" s="2"/>
    </row>
    <row r="24" customFormat="false" ht="8.1" hidden="false" customHeight="true" outlineLevel="0" collapsed="false">
      <c r="A24" s="2"/>
      <c r="B24" s="2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0"/>
      <c r="S24" s="15"/>
      <c r="T24" s="5"/>
      <c r="U24" s="5"/>
      <c r="V24" s="2"/>
      <c r="W24" s="2"/>
      <c r="X24" s="2"/>
    </row>
    <row r="25" customFormat="false" ht="12.6" hidden="false" customHeight="true" outlineLevel="0" collapsed="false">
      <c r="A25" s="2"/>
      <c r="B25" s="50" t="str">
        <f aca="false">+'NNG-Original 2002 Plan'!B25</f>
        <v>Equity - Beginning Balance</v>
      </c>
      <c r="C25" s="5"/>
      <c r="D25" s="20" t="n">
        <f aca="false">C31</f>
        <v>1040232</v>
      </c>
      <c r="E25" s="20" t="n">
        <f aca="false">D31</f>
        <v>1046121</v>
      </c>
      <c r="F25" s="20" t="n">
        <f aca="false">E31</f>
        <v>1050909</v>
      </c>
      <c r="G25" s="20" t="n">
        <f aca="false">F31</f>
        <v>1056553</v>
      </c>
      <c r="H25" s="20" t="n">
        <f aca="false">G31</f>
        <v>1061982</v>
      </c>
      <c r="I25" s="20" t="n">
        <f aca="false">H31</f>
        <v>1067802</v>
      </c>
      <c r="J25" s="20" t="n">
        <f aca="false">I31</f>
        <v>1073969</v>
      </c>
      <c r="K25" s="20" t="n">
        <f aca="false">J31</f>
        <v>1080627</v>
      </c>
      <c r="L25" s="20" t="n">
        <f aca="false">K31</f>
        <v>1087227</v>
      </c>
      <c r="M25" s="20" t="n">
        <f aca="false">L31</f>
        <v>1093441</v>
      </c>
      <c r="N25" s="20" t="n">
        <f aca="false">M31</f>
        <v>1100014</v>
      </c>
      <c r="O25" s="20" t="n">
        <f aca="false">N31</f>
        <v>1106572</v>
      </c>
      <c r="P25" s="5"/>
      <c r="Q25" s="5"/>
      <c r="R25" s="5"/>
      <c r="S25" s="2"/>
      <c r="T25" s="2"/>
      <c r="U25" s="5"/>
      <c r="V25" s="2"/>
      <c r="W25" s="2"/>
      <c r="X25" s="2"/>
    </row>
    <row r="26" customFormat="false" ht="12.6" hidden="false" customHeight="true" outlineLevel="0" collapsed="false">
      <c r="A26" s="2"/>
      <c r="B26" s="50" t="str">
        <f aca="false">+'NNG-Original 2002 Plan'!B26</f>
        <v>   Net Income</v>
      </c>
      <c r="C26" s="5"/>
      <c r="D26" s="47" t="n">
        <v>5889</v>
      </c>
      <c r="E26" s="47" t="n">
        <v>4788</v>
      </c>
      <c r="F26" s="47" t="n">
        <v>5644</v>
      </c>
      <c r="G26" s="47" t="n">
        <v>5429</v>
      </c>
      <c r="H26" s="47" t="n">
        <v>5820</v>
      </c>
      <c r="I26" s="47" t="n">
        <v>6167</v>
      </c>
      <c r="J26" s="47" t="n">
        <v>6658</v>
      </c>
      <c r="K26" s="47" t="n">
        <v>6600</v>
      </c>
      <c r="L26" s="47" t="n">
        <v>6214</v>
      </c>
      <c r="M26" s="47" t="n">
        <v>6573</v>
      </c>
      <c r="N26" s="47" t="n">
        <v>6558</v>
      </c>
      <c r="O26" s="47" t="n">
        <v>6679</v>
      </c>
      <c r="P26" s="20" t="n">
        <f aca="false">SUM(D26:O26)</f>
        <v>73019</v>
      </c>
      <c r="Q26" s="20"/>
      <c r="R26" s="20"/>
      <c r="S26" s="105"/>
      <c r="T26" s="69"/>
      <c r="U26" s="106"/>
      <c r="V26" s="2"/>
      <c r="W26" s="2"/>
      <c r="X26" s="2"/>
    </row>
    <row r="27" customFormat="false" ht="12.6" hidden="false" customHeight="true" outlineLevel="0" collapsed="false">
      <c r="A27" s="2"/>
      <c r="B27" s="50" t="str">
        <f aca="false">+'NNG-Original 2002 Plan'!B27</f>
        <v>   Dividends to EPC </v>
      </c>
      <c r="C27" s="16"/>
      <c r="D27" s="47" t="n">
        <v>0</v>
      </c>
      <c r="E27" s="47" t="n">
        <v>0</v>
      </c>
      <c r="F27" s="47" t="n">
        <v>0</v>
      </c>
      <c r="G27" s="47" t="n">
        <v>0</v>
      </c>
      <c r="H27" s="47" t="n">
        <v>0</v>
      </c>
      <c r="I27" s="47" t="n">
        <v>0</v>
      </c>
      <c r="J27" s="47" t="n">
        <v>0</v>
      </c>
      <c r="K27" s="47" t="n">
        <v>0</v>
      </c>
      <c r="L27" s="47" t="n">
        <v>0</v>
      </c>
      <c r="M27" s="47" t="n">
        <v>0</v>
      </c>
      <c r="N27" s="47" t="n">
        <v>0</v>
      </c>
      <c r="O27" s="47" t="n">
        <v>0</v>
      </c>
      <c r="P27" s="20" t="n">
        <f aca="false">SUM(D27:O27)</f>
        <v>0</v>
      </c>
      <c r="Q27" s="20"/>
      <c r="R27" s="5"/>
      <c r="S27" s="107"/>
      <c r="T27" s="70"/>
      <c r="U27" s="108"/>
      <c r="V27" s="2"/>
      <c r="W27" s="2"/>
      <c r="X27" s="2"/>
    </row>
    <row r="28" customFormat="false" ht="12.6" hidden="false" customHeight="true" outlineLevel="0" collapsed="false">
      <c r="A28" s="2"/>
      <c r="B28" s="31" t="s">
        <v>47</v>
      </c>
      <c r="C28" s="16"/>
      <c r="D28" s="47" t="n">
        <v>0</v>
      </c>
      <c r="E28" s="47" t="n">
        <v>0</v>
      </c>
      <c r="F28" s="47" t="n">
        <v>0</v>
      </c>
      <c r="G28" s="47" t="n">
        <v>0</v>
      </c>
      <c r="H28" s="47" t="n">
        <v>0</v>
      </c>
      <c r="I28" s="47" t="n">
        <v>0</v>
      </c>
      <c r="J28" s="47" t="n">
        <v>0</v>
      </c>
      <c r="K28" s="47" t="n">
        <v>0</v>
      </c>
      <c r="L28" s="47" t="n">
        <v>0</v>
      </c>
      <c r="M28" s="47" t="n">
        <v>0</v>
      </c>
      <c r="N28" s="47" t="n">
        <v>0</v>
      </c>
      <c r="O28" s="47" t="n">
        <v>0</v>
      </c>
      <c r="P28" s="20" t="n">
        <f aca="false">SUM(D28:O28)</f>
        <v>0</v>
      </c>
      <c r="Q28" s="20"/>
      <c r="R28" s="5"/>
      <c r="S28" s="107"/>
      <c r="T28" s="70"/>
      <c r="U28" s="108"/>
      <c r="V28" s="2"/>
      <c r="W28" s="2"/>
      <c r="X28" s="2"/>
    </row>
    <row r="29" customFormat="false" ht="12.6" hidden="false" customHeight="true" outlineLevel="0" collapsed="false">
      <c r="A29" s="2"/>
      <c r="B29" s="50" t="str">
        <f aca="false">+'NNG-Original 2002 Plan'!B29</f>
        <v>   Misc. (FASB 133)</v>
      </c>
      <c r="C29" s="16"/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0</v>
      </c>
      <c r="M29" s="22" t="n">
        <v>0</v>
      </c>
      <c r="N29" s="22" t="n">
        <v>0</v>
      </c>
      <c r="O29" s="22" t="n">
        <v>0</v>
      </c>
      <c r="P29" s="20" t="n">
        <f aca="false">SUM(D29:O29)</f>
        <v>0</v>
      </c>
      <c r="Q29" s="20"/>
      <c r="R29" s="5"/>
      <c r="S29" s="107"/>
      <c r="T29" s="71"/>
      <c r="U29" s="109"/>
      <c r="V29" s="2"/>
      <c r="W29" s="2"/>
      <c r="X29" s="2"/>
    </row>
    <row r="30" customFormat="false" ht="3.95" hidden="false" customHeight="true" outlineLevel="0" collapsed="false">
      <c r="A30" s="2"/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"/>
      <c r="Q30" s="2"/>
      <c r="R30" s="5"/>
      <c r="S30" s="110"/>
      <c r="T30" s="110"/>
      <c r="U30" s="110"/>
      <c r="V30" s="2"/>
      <c r="W30" s="2"/>
      <c r="X30" s="2"/>
    </row>
    <row r="31" customFormat="false" ht="12.6" hidden="false" customHeight="true" outlineLevel="0" collapsed="false">
      <c r="A31" s="2"/>
      <c r="B31" s="50" t="str">
        <f aca="false">+'NNG-Original 2002 Plan'!B31</f>
        <v>Equity - Ending Balance</v>
      </c>
      <c r="C31" s="22" t="n">
        <v>1040232</v>
      </c>
      <c r="D31" s="23" t="n">
        <f aca="false">SUM(D25:D29)</f>
        <v>1046121</v>
      </c>
      <c r="E31" s="23" t="n">
        <f aca="false">SUM(E25:E29)</f>
        <v>1050909</v>
      </c>
      <c r="F31" s="23" t="n">
        <f aca="false">SUM(F25:F29)</f>
        <v>1056553</v>
      </c>
      <c r="G31" s="23" t="n">
        <f aca="false">SUM(G25:G29)</f>
        <v>1061982</v>
      </c>
      <c r="H31" s="23" t="n">
        <f aca="false">SUM(H25:H29)</f>
        <v>1067802</v>
      </c>
      <c r="I31" s="23" t="n">
        <f aca="false">SUM(I25:I29)</f>
        <v>1073969</v>
      </c>
      <c r="J31" s="23" t="n">
        <f aca="false">SUM(J25:J29)</f>
        <v>1080627</v>
      </c>
      <c r="K31" s="23" t="n">
        <f aca="false">SUM(K25:K29)</f>
        <v>1087227</v>
      </c>
      <c r="L31" s="23" t="n">
        <f aca="false">SUM(L25:L29)</f>
        <v>1093441</v>
      </c>
      <c r="M31" s="23" t="n">
        <f aca="false">SUM(M25:M29)</f>
        <v>1100014</v>
      </c>
      <c r="N31" s="23" t="n">
        <f aca="false">SUM(N25:N29)</f>
        <v>1106572</v>
      </c>
      <c r="O31" s="23" t="n">
        <f aca="false">SUM(O25:O29)</f>
        <v>1113251</v>
      </c>
      <c r="P31" s="20" t="n">
        <f aca="false">SUM(P26:P29)</f>
        <v>73019</v>
      </c>
      <c r="Q31" s="20"/>
      <c r="R31" s="5"/>
      <c r="S31" s="2"/>
      <c r="T31" s="2"/>
      <c r="U31" s="2"/>
      <c r="V31" s="2"/>
      <c r="W31" s="2"/>
      <c r="X31" s="2"/>
    </row>
    <row r="32" customFormat="false" ht="3.95" hidden="false" customHeight="true" outlineLevel="0" collapsed="false">
      <c r="A32" s="2"/>
      <c r="B32" s="2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2"/>
      <c r="T32" s="2"/>
      <c r="U32" s="2"/>
      <c r="V32" s="2"/>
      <c r="W32" s="2"/>
      <c r="X32" s="2"/>
    </row>
    <row r="33" customFormat="false" ht="12.6" hidden="false" customHeight="true" outlineLevel="0" collapsed="false">
      <c r="A33" s="2"/>
      <c r="B33" s="50" t="str">
        <f aca="false">+'NNG-Original 2002 Plan'!B33</f>
        <v>      Total Debt / Equity</v>
      </c>
      <c r="C33" s="34" t="n">
        <f aca="false">C15+C23+C31</f>
        <v>790651</v>
      </c>
      <c r="D33" s="34" t="n">
        <f aca="false">D15+D23+D31</f>
        <v>797740</v>
      </c>
      <c r="E33" s="34" t="n">
        <f aca="false">E15+E23+E31</f>
        <v>800428</v>
      </c>
      <c r="F33" s="34" t="n">
        <f aca="false">F15+F23+F31</f>
        <v>804572</v>
      </c>
      <c r="G33" s="34" t="n">
        <f aca="false">G15+G23+G31</f>
        <v>812501</v>
      </c>
      <c r="H33" s="34" t="n">
        <f aca="false">H15+H23+H31</f>
        <v>817521</v>
      </c>
      <c r="I33" s="34" t="n">
        <f aca="false">I15+I23+I31</f>
        <v>821388</v>
      </c>
      <c r="J33" s="34" t="n">
        <f aca="false">J15+J23+J31</f>
        <v>823046</v>
      </c>
      <c r="K33" s="34" t="n">
        <f aca="false">K15+K23+K31</f>
        <v>822946</v>
      </c>
      <c r="L33" s="34" t="n">
        <f aca="false">L15+L23+L31</f>
        <v>822060</v>
      </c>
      <c r="M33" s="34" t="n">
        <f aca="false">M15+M23+M31</f>
        <v>828333</v>
      </c>
      <c r="N33" s="34" t="n">
        <f aca="false">N15+N23+N31</f>
        <v>827341</v>
      </c>
      <c r="O33" s="34" t="n">
        <f aca="false">O15+O23+O31</f>
        <v>826520</v>
      </c>
      <c r="P33" s="5"/>
      <c r="Q33" s="5"/>
      <c r="R33" s="5"/>
      <c r="S33" s="2"/>
      <c r="T33" s="2"/>
      <c r="U33" s="2"/>
      <c r="V33" s="2"/>
      <c r="W33" s="2"/>
      <c r="X33" s="2"/>
    </row>
    <row r="34" customFormat="false" ht="8.1" hidden="false" customHeight="true" outlineLevel="0" collapsed="false">
      <c r="A34" s="2"/>
      <c r="B34" s="2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2"/>
      <c r="T34" s="2"/>
      <c r="U34" s="2"/>
      <c r="V34" s="2"/>
      <c r="W34" s="2"/>
      <c r="X34" s="2"/>
    </row>
    <row r="35" customFormat="false" ht="6" hidden="false" customHeight="true" outlineLevel="0" collapsed="false">
      <c r="A35" s="75"/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8"/>
      <c r="Q35" s="78"/>
      <c r="R35" s="78"/>
      <c r="S35" s="78"/>
      <c r="T35" s="78"/>
      <c r="U35" s="78"/>
      <c r="V35" s="2"/>
      <c r="W35" s="2"/>
      <c r="X35" s="2"/>
    </row>
    <row r="36" customFormat="false" ht="8.1" hidden="false" customHeight="true" outlineLevel="0" collapsed="false">
      <c r="B36" s="7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5"/>
      <c r="S36" s="45"/>
      <c r="T36" s="45"/>
      <c r="U36" s="5"/>
      <c r="V36" s="2"/>
      <c r="W36" s="2"/>
      <c r="X36" s="2"/>
    </row>
    <row r="37" customFormat="false" ht="12.6" hidden="false" customHeight="true" outlineLevel="0" collapsed="false">
      <c r="A37" s="102" t="str">
        <f aca="false">+'NNG-Original 2002 Plan'!A37:B37</f>
        <v>Revised Plan - Financing Costs (Below The Line)  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2"/>
      <c r="T37" s="2"/>
      <c r="U37" s="2"/>
      <c r="V37" s="2"/>
      <c r="W37" s="2"/>
      <c r="X37" s="2"/>
    </row>
    <row r="38" customFormat="false" ht="12.6" hidden="false" customHeight="true" outlineLevel="0" collapsed="false">
      <c r="A38" s="99" t="n">
        <f aca="false">+'NNG-Original 2002 Plan'!A38</f>
        <v>0</v>
      </c>
      <c r="B38" s="111" t="str">
        <f aca="false">+'NNG-Original 2002 Plan'!B38</f>
        <v>Short Term Interest Expense / (Income)  </v>
      </c>
      <c r="C38" s="11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5"/>
      <c r="Q38" s="5"/>
      <c r="R38" s="5"/>
      <c r="U38" s="2"/>
      <c r="V38" s="2"/>
      <c r="W38" s="2"/>
      <c r="X38" s="2"/>
      <c r="AB38" s="80" t="s">
        <v>71</v>
      </c>
      <c r="AC38" s="2"/>
    </row>
    <row r="39" customFormat="false" ht="12.6" hidden="false" customHeight="true" outlineLevel="0" collapsed="false">
      <c r="B39" s="50" t="str">
        <f aca="false">+'NNG-Original 2002 Plan'!B39</f>
        <v>   Payable / (Receivable) Corp. - Beg. Balance</v>
      </c>
      <c r="C39" s="5"/>
      <c r="D39" s="20" t="n">
        <f aca="false">+C42</f>
        <v>0</v>
      </c>
      <c r="E39" s="20" t="n">
        <f aca="false">+D42</f>
        <v>0</v>
      </c>
      <c r="F39" s="20" t="n">
        <f aca="false">+E42</f>
        <v>0</v>
      </c>
      <c r="G39" s="20" t="n">
        <f aca="false">+F42</f>
        <v>0</v>
      </c>
      <c r="H39" s="20" t="n">
        <f aca="false">+G42</f>
        <v>0</v>
      </c>
      <c r="I39" s="20" t="n">
        <f aca="false">+H42</f>
        <v>0</v>
      </c>
      <c r="J39" s="20" t="n">
        <f aca="false">+I42</f>
        <v>0</v>
      </c>
      <c r="K39" s="20" t="n">
        <f aca="false">+J42</f>
        <v>0</v>
      </c>
      <c r="L39" s="20" t="n">
        <f aca="false">+K42</f>
        <v>0</v>
      </c>
      <c r="M39" s="20" t="n">
        <f aca="false">+L42</f>
        <v>0</v>
      </c>
      <c r="N39" s="20" t="n">
        <f aca="false">+M42</f>
        <v>0</v>
      </c>
      <c r="O39" s="20" t="n">
        <f aca="false">+N42</f>
        <v>0</v>
      </c>
      <c r="P39" s="5"/>
      <c r="Q39" s="5"/>
      <c r="R39" s="5"/>
      <c r="U39" s="2"/>
      <c r="V39" s="2"/>
      <c r="W39" s="2"/>
      <c r="X39" s="2"/>
      <c r="AB39" s="31" t="s">
        <v>133</v>
      </c>
      <c r="AC39" s="33" t="n">
        <f aca="false">ROUND(12465*0.6112,0)</f>
        <v>7619</v>
      </c>
    </row>
    <row r="40" customFormat="false" ht="12.6" hidden="false" customHeight="true" outlineLevel="0" collapsed="false">
      <c r="B40" s="50" t="str">
        <f aca="false">+'NNG-Original 2002 Plan'!B40</f>
        <v>      Short Term Interest Expense / (Income) </v>
      </c>
      <c r="C40" s="5"/>
      <c r="D40" s="20" t="n">
        <f aca="false">+C47</f>
        <v>0</v>
      </c>
      <c r="E40" s="20" t="n">
        <f aca="false">+D47</f>
        <v>0</v>
      </c>
      <c r="F40" s="20" t="n">
        <f aca="false">+E47</f>
        <v>0</v>
      </c>
      <c r="G40" s="20" t="n">
        <f aca="false">+F47</f>
        <v>0</v>
      </c>
      <c r="H40" s="20" t="n">
        <f aca="false">+G47</f>
        <v>0</v>
      </c>
      <c r="I40" s="20" t="n">
        <f aca="false">+H47</f>
        <v>0</v>
      </c>
      <c r="J40" s="20" t="n">
        <f aca="false">+I47</f>
        <v>0</v>
      </c>
      <c r="K40" s="20" t="n">
        <f aca="false">+J47</f>
        <v>0</v>
      </c>
      <c r="L40" s="20" t="n">
        <f aca="false">+K47</f>
        <v>0</v>
      </c>
      <c r="M40" s="20" t="n">
        <f aca="false">+L47</f>
        <v>0</v>
      </c>
      <c r="N40" s="20" t="n">
        <f aca="false">+M47</f>
        <v>0</v>
      </c>
      <c r="O40" s="20" t="n">
        <f aca="false">+N47</f>
        <v>0</v>
      </c>
      <c r="P40" s="20" t="n">
        <f aca="false">SUM(D40:O40)</f>
        <v>0</v>
      </c>
      <c r="Q40" s="20"/>
      <c r="R40" s="5"/>
      <c r="U40" s="2"/>
      <c r="V40" s="2"/>
      <c r="W40" s="2"/>
      <c r="X40" s="2"/>
      <c r="AB40" s="31" t="s">
        <v>134</v>
      </c>
      <c r="AC40" s="33" t="n">
        <f aca="false">-ROUND((12465-11229)*0.6112,0)</f>
        <v>-755</v>
      </c>
    </row>
    <row r="41" customFormat="false" ht="12.6" hidden="false" customHeight="true" outlineLevel="0" collapsed="false">
      <c r="B41" s="50" t="str">
        <f aca="false">+'NNG-Original 2002 Plan'!B41</f>
        <v>      Interco. Cash Adjustment (Inc.) / Dec.</v>
      </c>
      <c r="C41" s="5"/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0</v>
      </c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20" t="n">
        <f aca="false">SUM(D41:O41)</f>
        <v>0</v>
      </c>
      <c r="Q41" s="20"/>
      <c r="R41" s="5"/>
      <c r="U41" s="5"/>
      <c r="V41" s="5"/>
      <c r="W41" s="2"/>
      <c r="X41" s="2"/>
      <c r="AB41" s="31" t="s">
        <v>135</v>
      </c>
      <c r="AC41" s="33" t="n">
        <f aca="false">-ROUND((11229-10712)*0.6112,0)</f>
        <v>-316</v>
      </c>
    </row>
    <row r="42" customFormat="false" ht="12.6" hidden="false" customHeight="true" outlineLevel="0" collapsed="false">
      <c r="B42" s="50" t="str">
        <f aca="false">+'NNG-Original 2002 Plan'!B42</f>
        <v>   Payable / (Receivable) Corp. - End. Balance</v>
      </c>
      <c r="C42" s="21" t="n">
        <f aca="false">-202572+20087+8806+(-10421-10421-10421)+204942</f>
        <v>0</v>
      </c>
      <c r="D42" s="23" t="n">
        <f aca="false">SUM(D39:D41)</f>
        <v>0</v>
      </c>
      <c r="E42" s="23" t="n">
        <f aca="false">SUM(E39:E41)</f>
        <v>0</v>
      </c>
      <c r="F42" s="23" t="n">
        <f aca="false">SUM(F39:F41)</f>
        <v>0</v>
      </c>
      <c r="G42" s="23" t="n">
        <f aca="false">SUM(G39:G41)</f>
        <v>0</v>
      </c>
      <c r="H42" s="23" t="n">
        <f aca="false">SUM(H39:H41)</f>
        <v>0</v>
      </c>
      <c r="I42" s="23" t="n">
        <f aca="false">SUM(I39:I41)</f>
        <v>0</v>
      </c>
      <c r="J42" s="23" t="n">
        <f aca="false">SUM(J39:J41)</f>
        <v>0</v>
      </c>
      <c r="K42" s="23" t="n">
        <f aca="false">SUM(K39:K41)</f>
        <v>0</v>
      </c>
      <c r="L42" s="23" t="n">
        <f aca="false">SUM(L39:L41)</f>
        <v>0</v>
      </c>
      <c r="M42" s="23" t="n">
        <f aca="false">SUM(M39:M41)</f>
        <v>0</v>
      </c>
      <c r="N42" s="23" t="n">
        <f aca="false">SUM(N39:N41)</f>
        <v>0</v>
      </c>
      <c r="O42" s="23" t="n">
        <f aca="false">SUM(O39:O41)</f>
        <v>0</v>
      </c>
      <c r="P42" s="20"/>
      <c r="Q42" s="20"/>
      <c r="R42" s="5"/>
      <c r="U42" s="2"/>
      <c r="V42" s="2"/>
      <c r="W42" s="2"/>
      <c r="X42" s="2"/>
      <c r="AB42" s="31" t="s">
        <v>136</v>
      </c>
      <c r="AC42" s="33" t="n">
        <f aca="false">ROUND((600)*0.6112,0)</f>
        <v>367</v>
      </c>
    </row>
    <row r="43" customFormat="false" ht="3.95" hidden="false" customHeight="tru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2"/>
      <c r="T43" s="2"/>
      <c r="U43" s="2"/>
      <c r="V43" s="2"/>
      <c r="W43" s="2"/>
      <c r="X43" s="2"/>
    </row>
    <row r="44" customFormat="false" ht="12.6" hidden="false" customHeight="true" outlineLevel="0" collapsed="false">
      <c r="B44" s="50" t="str">
        <f aca="false">+'NNG-Original 2002 Plan'!B44</f>
        <v>         Average Monthly Balance</v>
      </c>
      <c r="C44" s="15"/>
      <c r="D44" s="20" t="n">
        <f aca="false">ROUND((+D42),0)</f>
        <v>0</v>
      </c>
      <c r="E44" s="20" t="n">
        <f aca="false">ROUND((+E42),0)</f>
        <v>0</v>
      </c>
      <c r="F44" s="20" t="n">
        <f aca="false">ROUND((+F42),0)</f>
        <v>0</v>
      </c>
      <c r="G44" s="20" t="n">
        <f aca="false">ROUND((+G42),0)</f>
        <v>0</v>
      </c>
      <c r="H44" s="20" t="n">
        <f aca="false">ROUND((+H42),0)</f>
        <v>0</v>
      </c>
      <c r="I44" s="20" t="n">
        <f aca="false">ROUND((+I42),0)</f>
        <v>0</v>
      </c>
      <c r="J44" s="20" t="n">
        <f aca="false">ROUND((+J42),0)</f>
        <v>0</v>
      </c>
      <c r="K44" s="20" t="n">
        <f aca="false">ROUND((+K42),0)</f>
        <v>0</v>
      </c>
      <c r="L44" s="20" t="n">
        <f aca="false">ROUND((+L42),0)</f>
        <v>0</v>
      </c>
      <c r="M44" s="20" t="n">
        <f aca="false">ROUND((+M42),0)</f>
        <v>0</v>
      </c>
      <c r="N44" s="20" t="n">
        <f aca="false">ROUND((+N42),0)</f>
        <v>0</v>
      </c>
      <c r="O44" s="20" t="n">
        <f aca="false">ROUND((+O42),0)</f>
        <v>0</v>
      </c>
      <c r="P44" s="5"/>
      <c r="Q44" s="5"/>
      <c r="R44" s="5"/>
      <c r="S44" s="2"/>
      <c r="T44" s="2"/>
      <c r="U44" s="2"/>
      <c r="V44" s="2"/>
      <c r="W44" s="2"/>
      <c r="X44" s="2"/>
    </row>
    <row r="45" customFormat="false" ht="12.6" hidden="false" customHeight="true" outlineLevel="0" collapsed="false">
      <c r="B45" s="50" t="str">
        <f aca="false">+'NNG-Original 2002 Plan'!B45</f>
        <v>   Avg. Short Term Interest Rate (LIBOR-%)</v>
      </c>
      <c r="C45" s="113" t="n">
        <v>0.06</v>
      </c>
      <c r="D45" s="113" t="n">
        <v>0.06</v>
      </c>
      <c r="E45" s="113" t="n">
        <v>0.06</v>
      </c>
      <c r="F45" s="113" t="n">
        <v>0.06</v>
      </c>
      <c r="G45" s="113" t="n">
        <v>0.06</v>
      </c>
      <c r="H45" s="113" t="n">
        <v>0.06</v>
      </c>
      <c r="I45" s="113" t="n">
        <v>0.06</v>
      </c>
      <c r="J45" s="113" t="n">
        <v>0.06</v>
      </c>
      <c r="K45" s="113" t="n">
        <v>0.06</v>
      </c>
      <c r="L45" s="113" t="n">
        <v>0.06</v>
      </c>
      <c r="M45" s="113" t="n">
        <v>0.06</v>
      </c>
      <c r="N45" s="113" t="n">
        <v>0.06</v>
      </c>
      <c r="O45" s="113" t="n">
        <v>0.06</v>
      </c>
      <c r="P45" s="114"/>
      <c r="Q45" s="5"/>
      <c r="R45" s="5"/>
      <c r="S45" s="2"/>
      <c r="T45" s="2"/>
      <c r="U45" s="2"/>
      <c r="V45" s="2"/>
      <c r="W45" s="2"/>
      <c r="X45" s="2"/>
    </row>
    <row r="46" customFormat="false" ht="3.95" hidden="false" customHeight="true" outlineLevel="0" collapsed="false">
      <c r="B46" s="16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114"/>
      <c r="Q46" s="5"/>
      <c r="R46" s="5"/>
      <c r="S46" s="2"/>
      <c r="T46" s="2"/>
      <c r="U46" s="2"/>
      <c r="V46" s="2"/>
      <c r="W46" s="2"/>
      <c r="X46" s="2"/>
    </row>
    <row r="47" customFormat="false" ht="12.6" hidden="false" customHeight="true" outlineLevel="0" collapsed="false">
      <c r="B47" s="50" t="str">
        <f aca="false">+'NNG-Original 2002 Plan'!B47</f>
        <v>         Monthly Interest Expense / (Income)</v>
      </c>
      <c r="C47" s="81" t="n">
        <f aca="false">ROUND((C42)*(C45*(30/360)),0)+157-157</f>
        <v>0</v>
      </c>
      <c r="D47" s="81" t="n">
        <f aca="false">ROUND((D44)*(D45*(30/360)),0)+161-161</f>
        <v>0</v>
      </c>
      <c r="E47" s="81" t="n">
        <f aca="false">ROUND((E44)*(E45*(30/360)),0)+164-164</f>
        <v>0</v>
      </c>
      <c r="F47" s="81" t="n">
        <f aca="false">ROUND((F44)*(F45*(30/360)),0)+170-170</f>
        <v>0</v>
      </c>
      <c r="G47" s="81" t="n">
        <f aca="false">ROUND((G44)*(G45*(30/360)),0)+173-173</f>
        <v>0</v>
      </c>
      <c r="H47" s="81" t="n">
        <f aca="false">ROUND((H44)*(H45*(30/360)),0)+178-178</f>
        <v>0</v>
      </c>
      <c r="I47" s="81" t="n">
        <f aca="false">ROUND((I44)*(I45*(30/360)),0)+183-183</f>
        <v>0</v>
      </c>
      <c r="J47" s="81" t="n">
        <f aca="false">ROUND((J44)*(J45*(30/360)),0)+186-186</f>
        <v>0</v>
      </c>
      <c r="K47" s="81" t="n">
        <f aca="false">ROUND((K44)*(K45*(30/360)),0)+191-191</f>
        <v>0</v>
      </c>
      <c r="L47" s="81" t="n">
        <f aca="false">ROUND((L44)*(L45*(30/360)),0)+195-195</f>
        <v>0</v>
      </c>
      <c r="M47" s="81" t="n">
        <f aca="false">ROUND((M44)*(M45*(30/360)),0)+200-200</f>
        <v>0</v>
      </c>
      <c r="N47" s="81" t="n">
        <f aca="false">ROUND((N44)*(N45*(30/360)),0)+203-203</f>
        <v>0</v>
      </c>
      <c r="O47" s="81" t="n">
        <f aca="false">ROUND((O44)*(O45*(30/360)),0)+209-209</f>
        <v>0</v>
      </c>
      <c r="P47" s="114"/>
      <c r="Q47" s="5"/>
      <c r="R47" s="5"/>
      <c r="S47" s="2"/>
      <c r="T47" s="2"/>
      <c r="U47" s="2"/>
      <c r="V47" s="2"/>
      <c r="W47" s="2"/>
      <c r="X47" s="2"/>
    </row>
    <row r="48" customFormat="false" ht="12.6" hidden="false" customHeight="true" outlineLevel="0" collapsed="false">
      <c r="B48" s="45"/>
      <c r="C48" s="5"/>
      <c r="D48" s="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0" t="n">
        <f aca="false">U50+U51+U52+U53+U54-P50-P51-P52</f>
        <v>0</v>
      </c>
      <c r="Q48" s="20"/>
      <c r="R48" s="5"/>
      <c r="S48" s="16"/>
      <c r="T48" s="83" t="s">
        <v>84</v>
      </c>
      <c r="U48" s="83" t="s">
        <v>85</v>
      </c>
      <c r="V48" s="2"/>
      <c r="W48" s="2"/>
      <c r="X48" s="2"/>
    </row>
    <row r="49" customFormat="false" ht="12.6" hidden="false" customHeight="true" outlineLevel="0" collapsed="false">
      <c r="B49" s="111" t="str">
        <f aca="false">+'NNG-Original 2002 Plan'!B49</f>
        <v>2002 Operating Plan (Financing Costs)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"/>
      <c r="Q49" s="2"/>
      <c r="R49" s="20"/>
      <c r="S49" s="84" t="s">
        <v>87</v>
      </c>
      <c r="T49" s="85" t="s">
        <v>88</v>
      </c>
      <c r="U49" s="85" t="s">
        <v>88</v>
      </c>
      <c r="V49" s="2"/>
      <c r="W49" s="2"/>
      <c r="X49" s="2"/>
    </row>
    <row r="50" customFormat="false" ht="12.6" hidden="false" customHeight="true" outlineLevel="0" collapsed="false">
      <c r="B50" s="17" t="s">
        <v>137</v>
      </c>
      <c r="C50" s="5"/>
      <c r="D50" s="20" t="n">
        <f aca="false">ROUND(((+$T$50*0)+(+$T$54*0.074))*(30/360),0)</f>
        <v>0</v>
      </c>
      <c r="E50" s="20" t="n">
        <f aca="false">ROUND(((+$T$50*0)+(+$T$54*0.074))*(30/360),0)</f>
        <v>0</v>
      </c>
      <c r="F50" s="20" t="n">
        <f aca="false">ROUND(((+$T$50*0)+(+$T$54*0.074))*(30/360),0)</f>
        <v>0</v>
      </c>
      <c r="G50" s="20" t="n">
        <f aca="false">ROUND(((+$T$50*0.052525)+(+$T$54*0))*(30/360),0)</f>
        <v>0</v>
      </c>
      <c r="H50" s="20" t="n">
        <f aca="false">ROUND(((+$T$50*0.052525)+(+$T$54*0))*(31/360),0)</f>
        <v>0</v>
      </c>
      <c r="I50" s="20" t="n">
        <f aca="false">ROUND(((+$T$50*0.052525)+(+$T$54*0))*(28/360),0)</f>
        <v>0</v>
      </c>
      <c r="J50" s="20" t="n">
        <f aca="false">ROUND(((+$T$50*0)+(+$T$54*0))*(31/360),0)</f>
        <v>0</v>
      </c>
      <c r="K50" s="20" t="n">
        <f aca="false">ROUND(((+$T$50*0)+(+$T$54*0))*(31/360),0)</f>
        <v>0</v>
      </c>
      <c r="L50" s="20" t="n">
        <f aca="false">ROUND(((+$T$50*0)+(+$T$54*0))*(30/360),0)</f>
        <v>0</v>
      </c>
      <c r="M50" s="20" t="n">
        <f aca="false">ROUND(((+$T$50*0)+(+$T$54*0))*(31/360),0)</f>
        <v>0</v>
      </c>
      <c r="N50" s="20" t="n">
        <f aca="false">ROUND(((+$T$50*0)+(+$T$54*0))*(30/360),0)</f>
        <v>0</v>
      </c>
      <c r="O50" s="20" t="n">
        <f aca="false">ROUND(((+$T$50*0)+(+$T$54*0))*(31/360),0)</f>
        <v>0</v>
      </c>
      <c r="P50" s="20" t="n">
        <f aca="false">SUM(D50:O50)</f>
        <v>0</v>
      </c>
      <c r="Q50" s="20"/>
      <c r="R50" s="5"/>
      <c r="S50" s="86" t="s">
        <v>161</v>
      </c>
      <c r="T50" s="47" t="n">
        <v>0</v>
      </c>
      <c r="U50" s="20" t="n">
        <f aca="false">ROUND(($T50*0.052525)*89/360,0)</f>
        <v>0</v>
      </c>
      <c r="V50" s="2"/>
      <c r="W50" s="2"/>
      <c r="X50" s="2"/>
    </row>
    <row r="51" customFormat="false" ht="12.6" hidden="false" customHeight="true" outlineLevel="0" collapsed="false">
      <c r="B51" s="50" t="str">
        <f aca="false">+'NNG-Original 2002 Plan'!B51</f>
        <v>                    - Interest Expense (External - Note #2) </v>
      </c>
      <c r="C51" s="5"/>
      <c r="D51" s="20" t="n">
        <f aca="false">ROUND((+$T$51*0.091)*(30/360),0)</f>
        <v>0</v>
      </c>
      <c r="E51" s="20" t="n">
        <f aca="false">ROUND((+$T$51*0.091)*(30/360),0)</f>
        <v>0</v>
      </c>
      <c r="F51" s="20" t="n">
        <f aca="false">ROUND((+$T$51*0.091)*(30/360),0)</f>
        <v>0</v>
      </c>
      <c r="G51" s="20" t="n">
        <f aca="false">ROUND((+$T$51*0.091)*(30/360),0)</f>
        <v>0</v>
      </c>
      <c r="H51" s="20" t="n">
        <f aca="false">ROUND((+$T$51*0.091)*(0/360),0)</f>
        <v>0</v>
      </c>
      <c r="I51" s="20" t="n">
        <f aca="false">ROUND((+$T$51*0.091)*(0/360),0)</f>
        <v>0</v>
      </c>
      <c r="J51" s="20" t="n">
        <f aca="false">ROUND((+$T$51*0.091)*(0/360),0)</f>
        <v>0</v>
      </c>
      <c r="K51" s="20" t="n">
        <f aca="false">ROUND((+$T$51*0.091)*(0/360),0)</f>
        <v>0</v>
      </c>
      <c r="L51" s="20" t="n">
        <f aca="false">ROUND((+$T$51*0.091)*(0/360),0)</f>
        <v>0</v>
      </c>
      <c r="M51" s="20" t="n">
        <f aca="false">ROUND((+$T$51*0.091)*(0/360),0)</f>
        <v>0</v>
      </c>
      <c r="N51" s="20" t="n">
        <f aca="false">ROUND((+$T$51*0.091)*(0/360),0)</f>
        <v>0</v>
      </c>
      <c r="O51" s="20" t="n">
        <f aca="false">ROUND((+$T$51*0.091)*(0/360),0)</f>
        <v>0</v>
      </c>
      <c r="P51" s="20" t="n">
        <f aca="false">SUM(D51:O51)</f>
        <v>0</v>
      </c>
      <c r="Q51" s="20"/>
      <c r="R51" s="5"/>
      <c r="S51" s="49" t="s">
        <v>139</v>
      </c>
      <c r="T51" s="47" t="n">
        <v>0</v>
      </c>
      <c r="U51" s="20" t="n">
        <f aca="false">ROUND(($T51*0.091)*120/360,0)</f>
        <v>0</v>
      </c>
      <c r="V51" s="2"/>
      <c r="W51" s="2"/>
      <c r="X51" s="2"/>
    </row>
    <row r="52" customFormat="false" ht="12.6" hidden="false" customHeight="true" outlineLevel="0" collapsed="false">
      <c r="B52" s="17" t="s">
        <v>140</v>
      </c>
      <c r="C52" s="5"/>
      <c r="D52" s="20" t="n">
        <f aca="false">ROUND(((+$T$52*0.092)+(+$T$53*0.092))*(30/360),0)</f>
        <v>89</v>
      </c>
      <c r="E52" s="20" t="n">
        <f aca="false">ROUND(((+$T$52*0.092)+(+$T$53*0.092))*(30/360),0)</f>
        <v>89</v>
      </c>
      <c r="F52" s="20" t="n">
        <f aca="false">ROUND(((+$T$52*0.092)+(+$T$53*0.092))*(30/360),0)</f>
        <v>89</v>
      </c>
      <c r="G52" s="18" t="n">
        <f aca="false">ROUND(((+$T$52*0.092)+(+$T$53*0.092))*(30/360),0)-1</f>
        <v>88</v>
      </c>
      <c r="H52" s="20" t="n">
        <f aca="false">ROUND(((+$T$52*0.092)+(+$T$53*0.092))*(30/360),0)</f>
        <v>89</v>
      </c>
      <c r="I52" s="20" t="n">
        <f aca="false">ROUND(((+$T$52*0.092)+(+$T$53*0.092))*(30/360),0)</f>
        <v>89</v>
      </c>
      <c r="J52" s="20" t="n">
        <f aca="false">ROUND(((+$T$52*0.092)+(+$T$53*0.092))*(30/360),0)</f>
        <v>89</v>
      </c>
      <c r="K52" s="20" t="n">
        <f aca="false">ROUND(((+$T$52*0.092)+(+$T$53*0.092))*(30/360),0)</f>
        <v>89</v>
      </c>
      <c r="L52" s="20" t="n">
        <f aca="false">ROUND(((+$T$52*0.092)+(+$T$53*0.092))*(30/360),0)</f>
        <v>89</v>
      </c>
      <c r="M52" s="18" t="n">
        <f aca="false">ROUND(((+$T$52*0.092)+(+$T$53*0.092))*(30/360),0)-1</f>
        <v>88</v>
      </c>
      <c r="N52" s="20" t="n">
        <f aca="false">ROUND((+$T$52*0.092)*(30/360),0)</f>
        <v>59</v>
      </c>
      <c r="O52" s="20" t="n">
        <f aca="false">ROUND((+$T$52*0.092)*(30/360),0)</f>
        <v>59</v>
      </c>
      <c r="P52" s="20" t="n">
        <f aca="false">SUM(D52:O52)</f>
        <v>1006</v>
      </c>
      <c r="Q52" s="20"/>
      <c r="R52" s="5"/>
      <c r="S52" s="49" t="s">
        <v>141</v>
      </c>
      <c r="T52" s="47" t="n">
        <f aca="false">27000-3857-3857-3857-3857-3857</f>
        <v>7715</v>
      </c>
      <c r="U52" s="20" t="n">
        <f aca="false">ROUND($T52*0.092,0)</f>
        <v>710</v>
      </c>
      <c r="V52" s="2"/>
      <c r="W52" s="2"/>
      <c r="X52" s="2"/>
    </row>
    <row r="53" customFormat="false" ht="12.6" hidden="false" customHeight="true" outlineLevel="0" collapsed="false">
      <c r="B53" s="50" t="str">
        <f aca="false">+'NNG-Original 2002 Plan'!B53</f>
        <v>                    - Unamortized Debt Discount</v>
      </c>
      <c r="C53" s="20"/>
      <c r="D53" s="47" t="n">
        <v>0</v>
      </c>
      <c r="E53" s="47" t="n">
        <v>0</v>
      </c>
      <c r="F53" s="47" t="n">
        <v>0</v>
      </c>
      <c r="G53" s="47" t="n">
        <v>0</v>
      </c>
      <c r="H53" s="47" t="n">
        <v>0</v>
      </c>
      <c r="I53" s="47" t="n">
        <v>0</v>
      </c>
      <c r="J53" s="47" t="n">
        <v>0</v>
      </c>
      <c r="K53" s="47" t="n">
        <v>0</v>
      </c>
      <c r="L53" s="47" t="n">
        <v>0</v>
      </c>
      <c r="M53" s="47" t="n">
        <v>0</v>
      </c>
      <c r="N53" s="47" t="n">
        <v>0</v>
      </c>
      <c r="O53" s="47" t="n">
        <v>0</v>
      </c>
      <c r="P53" s="20" t="n">
        <f aca="false">SUM(D53:O53)</f>
        <v>0</v>
      </c>
      <c r="Q53" s="20"/>
      <c r="R53" s="5"/>
      <c r="S53" s="49" t="s">
        <v>162</v>
      </c>
      <c r="T53" s="47" t="n">
        <v>3857</v>
      </c>
      <c r="U53" s="21" t="n">
        <f aca="false">ROUND((+$T53*0.092)*(300/360),0)</f>
        <v>296</v>
      </c>
      <c r="V53" s="2"/>
      <c r="W53" s="2"/>
      <c r="X53" s="2"/>
    </row>
    <row r="54" customFormat="false" ht="12.6" hidden="false" customHeight="true" outlineLevel="0" collapsed="false">
      <c r="B54" s="50" t="str">
        <f aca="false">+'NNG-Original 2002 Plan'!B54</f>
        <v>                    - Unamortized Debt Expense </v>
      </c>
      <c r="C54" s="5"/>
      <c r="D54" s="47" t="n">
        <v>1</v>
      </c>
      <c r="E54" s="47" t="n">
        <v>1</v>
      </c>
      <c r="F54" s="47" t="n">
        <v>0</v>
      </c>
      <c r="G54" s="47" t="n">
        <v>1</v>
      </c>
      <c r="H54" s="47" t="n">
        <v>1</v>
      </c>
      <c r="I54" s="47" t="n">
        <v>1</v>
      </c>
      <c r="J54" s="47" t="n">
        <v>1</v>
      </c>
      <c r="K54" s="47" t="n">
        <v>1</v>
      </c>
      <c r="L54" s="47" t="n">
        <v>1</v>
      </c>
      <c r="M54" s="47" t="n">
        <v>1</v>
      </c>
      <c r="N54" s="47" t="n">
        <v>1</v>
      </c>
      <c r="O54" s="47" t="n">
        <v>1</v>
      </c>
      <c r="P54" s="20" t="n">
        <f aca="false">SUM(D54:O54)</f>
        <v>11</v>
      </c>
      <c r="Q54" s="20"/>
      <c r="R54" s="5"/>
      <c r="S54" s="86" t="s">
        <v>163</v>
      </c>
      <c r="T54" s="47" t="n">
        <v>0</v>
      </c>
      <c r="U54" s="20" t="n">
        <f aca="false">ROUND(($T54*0.074)*(90/360),0)</f>
        <v>0</v>
      </c>
      <c r="V54" s="2"/>
      <c r="W54" s="2"/>
      <c r="X54" s="2"/>
    </row>
    <row r="55" customFormat="false" ht="12.6" hidden="false" customHeight="true" outlineLevel="0" collapsed="false">
      <c r="B55" s="50" t="str">
        <f aca="false">+'NNG-Original 2002 Plan'!B55</f>
        <v>      Short Term Interest Expense / (Income) </v>
      </c>
      <c r="C55" s="5"/>
      <c r="D55" s="20" t="n">
        <f aca="false">D47</f>
        <v>0</v>
      </c>
      <c r="E55" s="20" t="n">
        <f aca="false">E47</f>
        <v>0</v>
      </c>
      <c r="F55" s="20" t="n">
        <f aca="false">F47</f>
        <v>0</v>
      </c>
      <c r="G55" s="20" t="n">
        <f aca="false">G47</f>
        <v>0</v>
      </c>
      <c r="H55" s="20" t="n">
        <f aca="false">H47</f>
        <v>0</v>
      </c>
      <c r="I55" s="20" t="n">
        <f aca="false">I47</f>
        <v>0</v>
      </c>
      <c r="J55" s="20" t="n">
        <f aca="false">J47</f>
        <v>0</v>
      </c>
      <c r="K55" s="20" t="n">
        <f aca="false">K47</f>
        <v>0</v>
      </c>
      <c r="L55" s="20" t="n">
        <f aca="false">L47</f>
        <v>0</v>
      </c>
      <c r="M55" s="20" t="n">
        <f aca="false">M47</f>
        <v>0</v>
      </c>
      <c r="N55" s="20" t="n">
        <f aca="false">N47</f>
        <v>0</v>
      </c>
      <c r="O55" s="20" t="n">
        <f aca="false">O47</f>
        <v>0</v>
      </c>
      <c r="P55" s="20" t="n">
        <f aca="false">SUM(D55:O55)</f>
        <v>0</v>
      </c>
      <c r="Q55" s="20"/>
      <c r="R55" s="5"/>
      <c r="S55" s="86" t="s">
        <v>99</v>
      </c>
      <c r="T55" s="47" t="n">
        <v>0</v>
      </c>
      <c r="U55" s="47" t="n">
        <v>0</v>
      </c>
      <c r="V55" s="2"/>
      <c r="W55" s="2"/>
      <c r="X55" s="2"/>
    </row>
    <row r="56" customFormat="false" ht="12.6" hidden="false" customHeight="true" outlineLevel="0" collapsed="false">
      <c r="B56" s="50" t="str">
        <f aca="false">+'NNG-Original 2002 Plan'!B56</f>
        <v>                    - Corporate Tie-In Amount (Actual) </v>
      </c>
      <c r="C56" s="20"/>
      <c r="D56" s="47" t="n">
        <v>0</v>
      </c>
      <c r="E56" s="47" t="n">
        <v>0</v>
      </c>
      <c r="F56" s="47" t="n">
        <v>0</v>
      </c>
      <c r="G56" s="47" t="n">
        <v>0</v>
      </c>
      <c r="H56" s="47" t="n">
        <v>0</v>
      </c>
      <c r="I56" s="47" t="n">
        <v>0</v>
      </c>
      <c r="J56" s="47" t="n">
        <v>0</v>
      </c>
      <c r="K56" s="47" t="n">
        <v>0</v>
      </c>
      <c r="L56" s="47" t="n">
        <v>0</v>
      </c>
      <c r="M56" s="47" t="n">
        <v>0</v>
      </c>
      <c r="N56" s="47" t="n">
        <v>0</v>
      </c>
      <c r="O56" s="47" t="n">
        <v>0</v>
      </c>
      <c r="P56" s="20" t="n">
        <f aca="false">SUM(D56:O56)</f>
        <v>0</v>
      </c>
      <c r="Q56" s="20"/>
      <c r="R56" s="5"/>
      <c r="S56" s="86" t="s">
        <v>101</v>
      </c>
      <c r="T56" s="47" t="n">
        <v>0</v>
      </c>
      <c r="U56" s="47" t="n">
        <v>0</v>
      </c>
      <c r="V56" s="2"/>
      <c r="W56" s="2"/>
      <c r="X56" s="2"/>
    </row>
    <row r="57" customFormat="false" ht="12.6" hidden="false" customHeight="true" outlineLevel="0" collapsed="false">
      <c r="B57" s="50" t="str">
        <f aca="false">+'NNG-Original 2002 Plan'!B57</f>
        <v>      Assigned Receivables / Other</v>
      </c>
      <c r="C57" s="16"/>
      <c r="D57" s="22" t="n">
        <v>0</v>
      </c>
      <c r="E57" s="22" t="n">
        <v>0</v>
      </c>
      <c r="F57" s="22" t="n">
        <v>0</v>
      </c>
      <c r="G57" s="22" t="n">
        <v>0</v>
      </c>
      <c r="H57" s="22" t="n">
        <v>0</v>
      </c>
      <c r="I57" s="22" t="n">
        <v>0</v>
      </c>
      <c r="J57" s="22" t="n">
        <v>0</v>
      </c>
      <c r="K57" s="22" t="n">
        <v>0</v>
      </c>
      <c r="L57" s="22" t="n">
        <v>0</v>
      </c>
      <c r="M57" s="22" t="n">
        <v>0</v>
      </c>
      <c r="N57" s="22" t="n">
        <v>0</v>
      </c>
      <c r="O57" s="22" t="n">
        <v>0</v>
      </c>
      <c r="P57" s="23" t="n">
        <f aca="false">SUM(D57:O57)</f>
        <v>0</v>
      </c>
      <c r="Q57" s="23"/>
      <c r="R57" s="20"/>
      <c r="S57" s="86" t="s">
        <v>103</v>
      </c>
      <c r="T57" s="47" t="n">
        <v>0</v>
      </c>
      <c r="U57" s="47" t="n">
        <v>0</v>
      </c>
      <c r="V57" s="2"/>
      <c r="W57" s="2"/>
      <c r="X57" s="2"/>
    </row>
    <row r="58" customFormat="false" ht="12.6" hidden="false" customHeight="true" outlineLevel="0" collapsed="false">
      <c r="B58" s="50" t="str">
        <f aca="false">+'NNG-Original 2002 Plan'!B58</f>
        <v>         Total Intercompany Impact (Net)</v>
      </c>
      <c r="C58" s="20"/>
      <c r="D58" s="20" t="n">
        <f aca="false">SUM(D50:D57)</f>
        <v>90</v>
      </c>
      <c r="E58" s="20" t="n">
        <f aca="false">SUM(E50:E57)</f>
        <v>90</v>
      </c>
      <c r="F58" s="20" t="n">
        <f aca="false">SUM(F50:F57)</f>
        <v>89</v>
      </c>
      <c r="G58" s="20" t="n">
        <f aca="false">SUM(G50:G57)</f>
        <v>89</v>
      </c>
      <c r="H58" s="20" t="n">
        <f aca="false">SUM(H50:H57)</f>
        <v>90</v>
      </c>
      <c r="I58" s="20" t="n">
        <f aca="false">SUM(I50:I57)</f>
        <v>90</v>
      </c>
      <c r="J58" s="20" t="n">
        <f aca="false">SUM(J50:J57)</f>
        <v>90</v>
      </c>
      <c r="K58" s="20" t="n">
        <f aca="false">SUM(K50:K57)</f>
        <v>90</v>
      </c>
      <c r="L58" s="20" t="n">
        <f aca="false">SUM(L50:L57)</f>
        <v>90</v>
      </c>
      <c r="M58" s="20" t="n">
        <f aca="false">SUM(M50:M57)</f>
        <v>89</v>
      </c>
      <c r="N58" s="20" t="n">
        <f aca="false">SUM(N50:N57)</f>
        <v>60</v>
      </c>
      <c r="O58" s="20" t="n">
        <f aca="false">SUM(O50:O57)</f>
        <v>60</v>
      </c>
      <c r="P58" s="20" t="n">
        <f aca="false">SUM(D58:O58)</f>
        <v>1017</v>
      </c>
      <c r="Q58" s="20"/>
      <c r="R58" s="20"/>
      <c r="S58" s="86" t="s">
        <v>47</v>
      </c>
      <c r="T58" s="22" t="n">
        <v>0</v>
      </c>
      <c r="U58" s="22" t="n">
        <v>0</v>
      </c>
      <c r="V58" s="2"/>
      <c r="W58" s="2"/>
      <c r="X58" s="2"/>
    </row>
    <row r="59" customFormat="false" ht="12.6" hidden="false" customHeight="true" outlineLevel="0" collapsed="false">
      <c r="B59" s="50" t="str">
        <f aca="false">+'NNG-Original 2002 Plan'!B59</f>
        <v>         Composite F.I.T. &amp; S.I.T. Tax Impact</v>
      </c>
      <c r="C59" s="20"/>
      <c r="D59" s="28" t="n">
        <f aca="false">ROUND(+D58*-0.3888,0)</f>
        <v>-35</v>
      </c>
      <c r="E59" s="28" t="n">
        <f aca="false">ROUND(+E58*-0.3888,0)</f>
        <v>-35</v>
      </c>
      <c r="F59" s="28" t="n">
        <f aca="false">ROUND(+F58*-0.3888,0)</f>
        <v>-35</v>
      </c>
      <c r="G59" s="28" t="n">
        <f aca="false">ROUND(+G58*-0.3888,0)</f>
        <v>-35</v>
      </c>
      <c r="H59" s="28" t="n">
        <f aca="false">ROUND(+H58*-0.3888,0)</f>
        <v>-35</v>
      </c>
      <c r="I59" s="28" t="n">
        <f aca="false">ROUND(+I58*-0.3888,0)</f>
        <v>-35</v>
      </c>
      <c r="J59" s="28" t="n">
        <f aca="false">ROUND(+J58*-0.3888,0)</f>
        <v>-35</v>
      </c>
      <c r="K59" s="28" t="n">
        <f aca="false">ROUND(+K58*-0.3888,0)</f>
        <v>-35</v>
      </c>
      <c r="L59" s="28" t="n">
        <f aca="false">ROUND(+L58*-0.3888,0)</f>
        <v>-35</v>
      </c>
      <c r="M59" s="28" t="n">
        <f aca="false">ROUND(+M58*-0.3888,0)</f>
        <v>-35</v>
      </c>
      <c r="N59" s="28" t="n">
        <f aca="false">ROUND(+N58*-0.3888,0)</f>
        <v>-23</v>
      </c>
      <c r="O59" s="28" t="n">
        <f aca="false">ROUND(+O58*-0.3888,0)</f>
        <v>-23</v>
      </c>
      <c r="P59" s="23" t="n">
        <f aca="false">SUM(D59:O59)</f>
        <v>-396</v>
      </c>
      <c r="Q59" s="23"/>
      <c r="R59" s="20"/>
      <c r="S59" s="49" t="s">
        <v>144</v>
      </c>
      <c r="T59" s="34"/>
      <c r="U59" s="34" t="n">
        <f aca="false">SUM(U50:U58)</f>
        <v>1006</v>
      </c>
      <c r="V59" s="2"/>
      <c r="W59" s="2"/>
      <c r="X59" s="2"/>
    </row>
    <row r="60" customFormat="false" ht="3.95" hidden="false" customHeight="true" outlineLevel="0" collapsed="false">
      <c r="B60" s="16"/>
      <c r="C60" s="2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V60" s="2"/>
      <c r="W60" s="2"/>
      <c r="X60" s="2"/>
    </row>
    <row r="61" customFormat="false" ht="12.6" hidden="false" customHeight="true" outlineLevel="0" collapsed="false">
      <c r="B61" s="115" t="str">
        <f aca="false">+'NNG-Original 2002 Plan'!B61</f>
        <v>            Updated Net Financing Costs</v>
      </c>
      <c r="C61" s="27"/>
      <c r="D61" s="32" t="n">
        <f aca="false">D58+D59</f>
        <v>55</v>
      </c>
      <c r="E61" s="32" t="n">
        <f aca="false">E58+E59</f>
        <v>55</v>
      </c>
      <c r="F61" s="32" t="n">
        <f aca="false">F58+F59</f>
        <v>54</v>
      </c>
      <c r="G61" s="32" t="n">
        <f aca="false">G58+G59</f>
        <v>54</v>
      </c>
      <c r="H61" s="32" t="n">
        <f aca="false">H58+H59</f>
        <v>55</v>
      </c>
      <c r="I61" s="32" t="n">
        <f aca="false">I58+I59</f>
        <v>55</v>
      </c>
      <c r="J61" s="32" t="n">
        <f aca="false">J58+J59</f>
        <v>55</v>
      </c>
      <c r="K61" s="32" t="n">
        <f aca="false">K58+K59</f>
        <v>55</v>
      </c>
      <c r="L61" s="32" t="n">
        <f aca="false">L58+L59</f>
        <v>55</v>
      </c>
      <c r="M61" s="32" t="n">
        <f aca="false">M58+M59</f>
        <v>54</v>
      </c>
      <c r="N61" s="32" t="n">
        <f aca="false">N58+N59</f>
        <v>37</v>
      </c>
      <c r="O61" s="32" t="n">
        <f aca="false">O58+O59</f>
        <v>37</v>
      </c>
      <c r="P61" s="32" t="n">
        <f aca="false">SUM(D61:O61)</f>
        <v>621</v>
      </c>
      <c r="Q61" s="32"/>
      <c r="R61" s="5"/>
      <c r="V61" s="2"/>
      <c r="W61" s="2"/>
      <c r="X61" s="2"/>
    </row>
    <row r="62" customFormat="false" ht="12.6" hidden="false" customHeight="true" outlineLevel="0" collapsed="false">
      <c r="A62" s="102" t="e">
        <f aca="false">+</f>
        <v>#NAME?</v>
      </c>
      <c r="B62" s="111"/>
      <c r="C62" s="5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5"/>
      <c r="Q62" s="5"/>
      <c r="R62" s="5"/>
      <c r="W62" s="2"/>
      <c r="X62" s="2"/>
    </row>
    <row r="63" customFormat="false" ht="12.6" hidden="false" customHeight="true" outlineLevel="0" collapsed="false">
      <c r="A63" s="102" t="str">
        <f aca="false">+'NNG-Original 2002 Plan'!A63:B63</f>
        <v>Revised Plan - Financing Costs (Above The Line)  </v>
      </c>
      <c r="B63" s="50"/>
      <c r="C63" s="88"/>
      <c r="D63" s="89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5"/>
      <c r="Q63" s="5"/>
      <c r="R63" s="5"/>
      <c r="S63" s="84" t="s">
        <v>108</v>
      </c>
      <c r="T63" s="5"/>
      <c r="U63" s="5"/>
      <c r="V63" s="2"/>
      <c r="W63" s="2"/>
      <c r="X63" s="2"/>
    </row>
    <row r="64" customFormat="false" ht="12.6" hidden="false" customHeight="true" outlineLevel="0" collapsed="false">
      <c r="A64" s="2"/>
      <c r="B64" s="111" t="str">
        <f aca="false">+'NNG-Original 2002 Plan'!B64</f>
        <v>Short Term Interest Expense / (Income)  </v>
      </c>
      <c r="C64" s="88"/>
      <c r="D64" s="89"/>
      <c r="R64" s="5"/>
      <c r="S64" s="49" t="s">
        <v>164</v>
      </c>
      <c r="T64" s="2"/>
      <c r="U64" s="47" t="n">
        <v>0</v>
      </c>
      <c r="V64" s="2"/>
      <c r="W64" s="2"/>
      <c r="X64" s="2"/>
    </row>
    <row r="65" customFormat="false" ht="12.6" hidden="false" customHeight="true" outlineLevel="0" collapsed="false">
      <c r="A65" s="2"/>
      <c r="B65" s="50" t="str">
        <f aca="false">+'NNG-Original 2002 Plan'!B65</f>
        <v>   Beg. Balance - Corp. (Rec.) + Check Book Activity</v>
      </c>
      <c r="C65" s="88"/>
      <c r="D65" s="91" t="n">
        <f aca="false">+C8</f>
        <v>-484071</v>
      </c>
      <c r="E65" s="20" t="n">
        <f aca="false">+D65+D68</f>
        <v>-487871</v>
      </c>
      <c r="F65" s="20" t="n">
        <f aca="false">+E65+E68</f>
        <v>-495471</v>
      </c>
      <c r="G65" s="20" t="n">
        <f aca="false">+F65+F68</f>
        <v>-501771</v>
      </c>
      <c r="H65" s="20" t="n">
        <f aca="false">+G65+G68</f>
        <v>-503971</v>
      </c>
      <c r="I65" s="20" t="n">
        <f aca="false">+H65+H68</f>
        <v>-509671</v>
      </c>
      <c r="J65" s="20" t="n">
        <f aca="false">+I65+I68</f>
        <v>-517071</v>
      </c>
      <c r="K65" s="20" t="n">
        <f aca="false">+J65+J68</f>
        <v>-527371</v>
      </c>
      <c r="L65" s="20" t="n">
        <f aca="false">+K65+K68</f>
        <v>-539371</v>
      </c>
      <c r="M65" s="20" t="n">
        <f aca="false">+L65+L68</f>
        <v>-550971</v>
      </c>
      <c r="N65" s="20" t="n">
        <f aca="false">+M65+M68</f>
        <v>-556571</v>
      </c>
      <c r="O65" s="20" t="n">
        <f aca="false">+N65+N68</f>
        <v>-566071</v>
      </c>
      <c r="P65" s="20"/>
      <c r="Q65" s="5"/>
      <c r="R65" s="5"/>
      <c r="S65" s="49" t="s">
        <v>165</v>
      </c>
      <c r="T65" s="90"/>
      <c r="U65" s="47" t="n">
        <v>0</v>
      </c>
      <c r="V65" s="2"/>
      <c r="W65" s="2"/>
      <c r="X65" s="2"/>
    </row>
    <row r="66" customFormat="false" ht="12.6" hidden="false" customHeight="true" outlineLevel="0" collapsed="false">
      <c r="A66" s="2"/>
      <c r="B66" s="50" t="str">
        <f aca="false">+'NNG-Original 2002 Plan'!B66</f>
        <v>      - Corp. Pay.+ Co.011 / Netting Co.827 (1 Mo. Lag)</v>
      </c>
      <c r="C66" s="88"/>
      <c r="D66" s="92" t="n">
        <f aca="false">+C10</f>
        <v>222890</v>
      </c>
      <c r="E66" s="23" t="n">
        <f aca="false">+D66+D10-D47</f>
        <v>227890</v>
      </c>
      <c r="F66" s="23" t="n">
        <f aca="false">+E66+E10-E47</f>
        <v>233390</v>
      </c>
      <c r="G66" s="23" t="n">
        <f aca="false">+F66+F10-F47</f>
        <v>238190</v>
      </c>
      <c r="H66" s="23" t="n">
        <f aca="false">+G66+G10-G47</f>
        <v>242890</v>
      </c>
      <c r="I66" s="23" t="n">
        <f aca="false">+H66+H10-H47</f>
        <v>247790</v>
      </c>
      <c r="J66" s="23" t="n">
        <f aca="false">+I66+I10-I47</f>
        <v>252890</v>
      </c>
      <c r="K66" s="23" t="n">
        <f aca="false">+J66+J10-J47</f>
        <v>258190</v>
      </c>
      <c r="L66" s="23" t="n">
        <f aca="false">+K66+K10-K47</f>
        <v>263490</v>
      </c>
      <c r="M66" s="23" t="n">
        <f aca="false">+L66+L10-L47</f>
        <v>267990</v>
      </c>
      <c r="N66" s="23" t="n">
        <f aca="false">+M66+M10-M47</f>
        <v>273290</v>
      </c>
      <c r="O66" s="23" t="n">
        <f aca="false">+N66+N10-N47</f>
        <v>279090</v>
      </c>
      <c r="P66" s="20"/>
      <c r="Q66" s="33" t="n">
        <f aca="false">+O66-(D66+P10-O10)+(P55-O55)</f>
        <v>0</v>
      </c>
      <c r="R66" s="5"/>
      <c r="S66" s="49" t="s">
        <v>165</v>
      </c>
      <c r="T66" s="2"/>
      <c r="U66" s="47" t="n">
        <v>0</v>
      </c>
      <c r="V66" s="2"/>
      <c r="W66" s="2"/>
      <c r="X66" s="2"/>
    </row>
    <row r="67" customFormat="false" ht="12.6" hidden="false" customHeight="true" outlineLevel="0" collapsed="false">
      <c r="A67" s="2"/>
      <c r="B67" s="50" t="str">
        <f aca="false">+'NNG-Original 2002 Plan'!B67</f>
        <v>   Adjusted Beginning Balance</v>
      </c>
      <c r="D67" s="20" t="n">
        <f aca="false">SUM(D65:D66)</f>
        <v>-261181</v>
      </c>
      <c r="E67" s="20" t="n">
        <f aca="false">SUM(E65:E66)</f>
        <v>-259981</v>
      </c>
      <c r="F67" s="20" t="n">
        <f aca="false">SUM(F65:F66)</f>
        <v>-262081</v>
      </c>
      <c r="G67" s="20" t="n">
        <f aca="false">SUM(G65:G66)</f>
        <v>-263581</v>
      </c>
      <c r="H67" s="20" t="n">
        <f aca="false">SUM(H65:H66)</f>
        <v>-261081</v>
      </c>
      <c r="I67" s="20" t="n">
        <f aca="false">SUM(I65:I66)</f>
        <v>-261881</v>
      </c>
      <c r="J67" s="20" t="n">
        <f aca="false">SUM(J65:J66)</f>
        <v>-264181</v>
      </c>
      <c r="K67" s="20" t="n">
        <f aca="false">SUM(K65:K66)</f>
        <v>-269181</v>
      </c>
      <c r="L67" s="20" t="n">
        <f aca="false">SUM(L65:L66)</f>
        <v>-275881</v>
      </c>
      <c r="M67" s="20" t="n">
        <f aca="false">SUM(M65:M66)</f>
        <v>-282981</v>
      </c>
      <c r="N67" s="20" t="n">
        <f aca="false">SUM(N65:N66)</f>
        <v>-283281</v>
      </c>
      <c r="O67" s="20" t="n">
        <f aca="false">SUM(O65:O66)</f>
        <v>-286981</v>
      </c>
      <c r="Q67" s="5"/>
      <c r="R67" s="5"/>
      <c r="S67" s="49" t="s">
        <v>148</v>
      </c>
      <c r="T67" s="2"/>
      <c r="U67" s="47" t="n">
        <v>533</v>
      </c>
      <c r="W67" s="2"/>
      <c r="X67" s="2"/>
    </row>
    <row r="68" customFormat="false" ht="12.6" hidden="false" customHeight="true" outlineLevel="0" collapsed="false">
      <c r="A68" s="2"/>
      <c r="B68" s="50" t="str">
        <f aca="false">+'NNG-Original 2002 Plan'!B68</f>
        <v>      (Inc.) / Dec. in Check Book Cash (Current Month) </v>
      </c>
      <c r="C68" s="5"/>
      <c r="D68" s="19" t="n">
        <f aca="false">+D9</f>
        <v>-3800</v>
      </c>
      <c r="E68" s="19" t="n">
        <f aca="false">+E9</f>
        <v>-7600</v>
      </c>
      <c r="F68" s="19" t="n">
        <f aca="false">+F9</f>
        <v>-6300</v>
      </c>
      <c r="G68" s="19" t="n">
        <f aca="false">+G9</f>
        <v>-2200</v>
      </c>
      <c r="H68" s="19" t="n">
        <f aca="false">+H9</f>
        <v>-5700</v>
      </c>
      <c r="I68" s="19" t="n">
        <f aca="false">+I9</f>
        <v>-7400</v>
      </c>
      <c r="J68" s="19" t="n">
        <f aca="false">+J9</f>
        <v>-10300</v>
      </c>
      <c r="K68" s="19" t="n">
        <f aca="false">+K9</f>
        <v>-12000</v>
      </c>
      <c r="L68" s="19" t="n">
        <f aca="false">+L9</f>
        <v>-11600</v>
      </c>
      <c r="M68" s="19" t="n">
        <f aca="false">+M9</f>
        <v>-5600</v>
      </c>
      <c r="N68" s="19" t="n">
        <f aca="false">+N9</f>
        <v>-9500</v>
      </c>
      <c r="O68" s="19" t="n">
        <f aca="false">+O9</f>
        <v>-12800</v>
      </c>
      <c r="P68" s="20" t="n">
        <f aca="false">SUM(D68:O68)</f>
        <v>-94800</v>
      </c>
      <c r="Q68" s="33" t="n">
        <f aca="false">+P68+D65-O65-O68</f>
        <v>0</v>
      </c>
      <c r="R68" s="5"/>
      <c r="S68" s="49" t="s">
        <v>115</v>
      </c>
      <c r="T68" s="90"/>
      <c r="U68" s="47" t="n">
        <v>533</v>
      </c>
      <c r="W68" s="2"/>
      <c r="X68" s="2"/>
    </row>
    <row r="69" customFormat="false" ht="12.6" hidden="false" customHeight="true" outlineLevel="0" collapsed="false">
      <c r="A69" s="2"/>
      <c r="B69" s="50" t="str">
        <f aca="false">+'NNG-Original 2002 Plan'!B69</f>
        <v>      Interco. Cash Adjustment (Inc.) / Dec.</v>
      </c>
      <c r="C69" s="18" t="n">
        <v>0</v>
      </c>
      <c r="D69" s="22" t="n">
        <v>0</v>
      </c>
      <c r="E69" s="22" t="n">
        <v>0</v>
      </c>
      <c r="F69" s="22" t="n">
        <v>0</v>
      </c>
      <c r="G69" s="22" t="n">
        <v>0</v>
      </c>
      <c r="H69" s="22" t="n">
        <v>0</v>
      </c>
      <c r="I69" s="22" t="n">
        <v>0</v>
      </c>
      <c r="J69" s="22" t="n">
        <v>0</v>
      </c>
      <c r="K69" s="22" t="n">
        <v>0</v>
      </c>
      <c r="L69" s="22" t="n">
        <v>0</v>
      </c>
      <c r="M69" s="22" t="n">
        <v>0</v>
      </c>
      <c r="N69" s="22" t="n">
        <v>0</v>
      </c>
      <c r="O69" s="22" t="n">
        <v>0</v>
      </c>
      <c r="P69" s="20" t="n">
        <f aca="false">SUM(D69:O69)</f>
        <v>0</v>
      </c>
      <c r="Q69" s="5"/>
      <c r="R69" s="5"/>
      <c r="S69" s="49" t="s">
        <v>166</v>
      </c>
      <c r="T69" s="2"/>
      <c r="U69" s="47" t="n">
        <v>0</v>
      </c>
      <c r="W69" s="2"/>
      <c r="X69" s="2"/>
    </row>
    <row r="70" customFormat="false" ht="12.6" hidden="false" customHeight="true" outlineLevel="0" collapsed="false">
      <c r="A70" s="2"/>
      <c r="B70" s="50" t="str">
        <f aca="false">+'NNG-Original 2002 Plan'!B70</f>
        <v>   Ending Balance</v>
      </c>
      <c r="C70" s="15"/>
      <c r="D70" s="23" t="n">
        <f aca="false">SUM(D67:D69)</f>
        <v>-264981</v>
      </c>
      <c r="E70" s="23" t="n">
        <f aca="false">SUM(E67:E69)</f>
        <v>-267581</v>
      </c>
      <c r="F70" s="23" t="n">
        <f aca="false">SUM(F67:F69)</f>
        <v>-268381</v>
      </c>
      <c r="G70" s="23" t="n">
        <f aca="false">SUM(G67:G69)</f>
        <v>-265781</v>
      </c>
      <c r="H70" s="23" t="n">
        <f aca="false">SUM(H67:H69)</f>
        <v>-266781</v>
      </c>
      <c r="I70" s="23" t="n">
        <f aca="false">SUM(I67:I69)</f>
        <v>-269281</v>
      </c>
      <c r="J70" s="23" t="n">
        <f aca="false">SUM(J67:J69)</f>
        <v>-274481</v>
      </c>
      <c r="K70" s="23" t="n">
        <f aca="false">SUM(K67:K69)</f>
        <v>-281181</v>
      </c>
      <c r="L70" s="23" t="n">
        <f aca="false">SUM(L67:L69)</f>
        <v>-287481</v>
      </c>
      <c r="M70" s="23" t="n">
        <f aca="false">SUM(M67:M69)</f>
        <v>-288581</v>
      </c>
      <c r="N70" s="23" t="n">
        <f aca="false">SUM(N67:N69)</f>
        <v>-292781</v>
      </c>
      <c r="O70" s="23" t="n">
        <f aca="false">SUM(O67:O69)</f>
        <v>-299781</v>
      </c>
      <c r="P70" s="20"/>
      <c r="Q70" s="5"/>
      <c r="R70" s="5"/>
      <c r="S70" s="49" t="s">
        <v>165</v>
      </c>
      <c r="T70" s="90"/>
      <c r="U70" s="22" t="n">
        <v>0</v>
      </c>
      <c r="V70" s="20" t="n">
        <f aca="false">U59-SUM(U64:U70)</f>
        <v>-60</v>
      </c>
      <c r="W70" s="2"/>
      <c r="X70" s="2"/>
    </row>
    <row r="71" customFormat="false" ht="3.95" hidden="false" customHeight="true" outlineLevel="0" collapsed="false">
      <c r="A71" s="2"/>
      <c r="B71" s="50"/>
      <c r="C71" s="15"/>
      <c r="P71" s="5"/>
      <c r="Q71" s="5"/>
      <c r="R71" s="5"/>
      <c r="V71" s="2"/>
      <c r="W71" s="2"/>
      <c r="X71" s="2"/>
    </row>
    <row r="72" customFormat="false" ht="12.6" hidden="false" customHeight="true" outlineLevel="0" collapsed="false">
      <c r="A72" s="2"/>
      <c r="B72" s="50" t="str">
        <f aca="false">+'NNG-Original 2002 Plan'!B72</f>
        <v>         Average Monthly Balance</v>
      </c>
      <c r="D72" s="93" t="n">
        <f aca="false">ROUND((D67+D70)/2.01,0)</f>
        <v>-261772</v>
      </c>
      <c r="E72" s="93" t="n">
        <f aca="false">ROUND((E67+E70)/2.01,0)</f>
        <v>-262469</v>
      </c>
      <c r="F72" s="93" t="n">
        <f aca="false">ROUND((F67+F70)/2.01,0)</f>
        <v>-263911</v>
      </c>
      <c r="G72" s="93" t="n">
        <f aca="false">ROUND((G67+G70)/2.01,0)</f>
        <v>-263364</v>
      </c>
      <c r="H72" s="93" t="n">
        <f aca="false">ROUND((H67+H70)/2.01,0)</f>
        <v>-262618</v>
      </c>
      <c r="I72" s="93" t="n">
        <f aca="false">ROUND((I67+I70)/2.01,0)</f>
        <v>-264260</v>
      </c>
      <c r="J72" s="93" t="n">
        <f aca="false">ROUND((J67+J70)/2.01,0)</f>
        <v>-267991</v>
      </c>
      <c r="K72" s="93" t="n">
        <f aca="false">ROUND((K67+K70)/2.01,0)</f>
        <v>-273812</v>
      </c>
      <c r="L72" s="93" t="n">
        <f aca="false">ROUND((L67+L70)/2.01,0)</f>
        <v>-280280</v>
      </c>
      <c r="M72" s="93" t="n">
        <f aca="false">ROUND((M67+M70)/2.01,0)</f>
        <v>-284359</v>
      </c>
      <c r="N72" s="93" t="n">
        <f aca="false">ROUND((N67+N70)/2.01,0)</f>
        <v>-286598</v>
      </c>
      <c r="O72" s="93" t="n">
        <f aca="false">ROUND((O67+O70)/2.01,0)</f>
        <v>-291921</v>
      </c>
      <c r="P72" s="5"/>
      <c r="Q72" s="5"/>
      <c r="R72" s="5"/>
      <c r="S72" s="49" t="s">
        <v>122</v>
      </c>
      <c r="T72" s="5"/>
      <c r="U72" s="51" t="n">
        <f aca="false">SUM(U64:U70)</f>
        <v>1066</v>
      </c>
      <c r="V72" s="2"/>
      <c r="W72" s="2"/>
      <c r="X72" s="2"/>
    </row>
    <row r="73" customFormat="false" ht="12.75" hidden="false" customHeight="true" outlineLevel="0" collapsed="false">
      <c r="A73" s="2"/>
      <c r="B73" s="50" t="str">
        <f aca="false">+'NNG-Original 2002 Plan'!B73</f>
        <v>   Average Short Term Interest Rate (Corp.-%)</v>
      </c>
      <c r="C73" s="116" t="n">
        <f aca="false">+'NNG-Original 2002 Plan'!C73</f>
        <v>0.036</v>
      </c>
      <c r="D73" s="116" t="n">
        <f aca="false">+'NNG-Original 2002 Plan'!D73</f>
        <v>0.0325</v>
      </c>
      <c r="E73" s="116" t="n">
        <f aca="false">+'NNG-Original 2002 Plan'!E73</f>
        <v>0.0325</v>
      </c>
      <c r="F73" s="116" t="n">
        <f aca="false">+'NNG-Original 2002 Plan'!F73</f>
        <v>0.0325</v>
      </c>
      <c r="G73" s="116" t="n">
        <f aca="false">+'NNG-Original 2002 Plan'!G73</f>
        <v>0.0325</v>
      </c>
      <c r="H73" s="116" t="n">
        <f aca="false">+'NNG-Original 2002 Plan'!H73</f>
        <v>0.0325</v>
      </c>
      <c r="I73" s="116" t="n">
        <f aca="false">+'NNG-Original 2002 Plan'!I73</f>
        <v>0.0325</v>
      </c>
      <c r="J73" s="116" t="n">
        <f aca="false">+'NNG-Original 2002 Plan'!J73</f>
        <v>0.0325</v>
      </c>
      <c r="K73" s="116" t="n">
        <f aca="false">+'NNG-Original 2002 Plan'!K73</f>
        <v>0.0325</v>
      </c>
      <c r="L73" s="116" t="n">
        <f aca="false">+'NNG-Original 2002 Plan'!L73</f>
        <v>0.0325</v>
      </c>
      <c r="M73" s="116" t="n">
        <f aca="false">+'NNG-Original 2002 Plan'!M73</f>
        <v>0.0325</v>
      </c>
      <c r="N73" s="116" t="n">
        <f aca="false">+'NNG-Original 2002 Plan'!N73</f>
        <v>0.0325</v>
      </c>
      <c r="O73" s="116" t="n">
        <f aca="false">+'NNG-Original 2002 Plan'!O73</f>
        <v>0.0325</v>
      </c>
      <c r="P73" s="5"/>
      <c r="Q73" s="5"/>
      <c r="R73" s="5"/>
      <c r="S73" s="5"/>
      <c r="T73" s="5"/>
      <c r="U73" s="5"/>
      <c r="V73" s="2"/>
      <c r="W73" s="2"/>
      <c r="X73" s="2"/>
    </row>
    <row r="74" customFormat="false" ht="3.95" hidden="false" customHeight="true" outlineLevel="0" collapsed="false">
      <c r="A74" s="2"/>
      <c r="B74" s="5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5"/>
      <c r="Q74" s="5"/>
      <c r="R74" s="5"/>
      <c r="S74" s="5"/>
      <c r="T74" s="5"/>
      <c r="U74" s="5"/>
      <c r="V74" s="2"/>
      <c r="W74" s="2"/>
      <c r="X74" s="2"/>
    </row>
    <row r="75" customFormat="false" ht="12.6" hidden="false" customHeight="true" outlineLevel="0" collapsed="false">
      <c r="A75" s="2"/>
      <c r="B75" s="50" t="str">
        <f aca="false">+'NNG-Original 2002 Plan'!B75</f>
        <v>      Short Term Interest (Inc.) / Exp. Calculation </v>
      </c>
      <c r="C75" s="20" t="n">
        <f aca="false">ROUND((C69)*(C73*(31/365)),0)</f>
        <v>0</v>
      </c>
      <c r="D75" s="20" t="n">
        <f aca="false">ROUND((D72)*(D73*(31/365)),0)</f>
        <v>-723</v>
      </c>
      <c r="E75" s="20" t="n">
        <f aca="false">ROUND((E72)*(E73*(28/365)),0)</f>
        <v>-654</v>
      </c>
      <c r="F75" s="20" t="n">
        <f aca="false">ROUND((F72)*(F73*(31/365)),0)</f>
        <v>-728</v>
      </c>
      <c r="G75" s="20" t="n">
        <f aca="false">ROUND((G72)*(G73*(30/365)),0)</f>
        <v>-704</v>
      </c>
      <c r="H75" s="20" t="n">
        <f aca="false">ROUND((H72)*(H73*(31/365)),0)</f>
        <v>-725</v>
      </c>
      <c r="I75" s="20" t="n">
        <f aca="false">ROUND((I72)*(I73*(30/365)),0)</f>
        <v>-706</v>
      </c>
      <c r="J75" s="20" t="n">
        <f aca="false">ROUND((J72)*(J73*(31/365)),0)</f>
        <v>-740</v>
      </c>
      <c r="K75" s="20" t="n">
        <f aca="false">ROUND((K72)*(K73*(31/365)),0)</f>
        <v>-756</v>
      </c>
      <c r="L75" s="20" t="n">
        <f aca="false">ROUND((L72)*(L73*(30/365)),0)</f>
        <v>-749</v>
      </c>
      <c r="M75" s="20" t="n">
        <f aca="false">ROUND((M72)*(M73*(31/365)),0)</f>
        <v>-785</v>
      </c>
      <c r="N75" s="20" t="n">
        <f aca="false">ROUND((N72)*(N73*(30/365)),0)</f>
        <v>-766</v>
      </c>
      <c r="O75" s="20" t="n">
        <f aca="false">ROUND((O72)*(O73*(31/365)),0)</f>
        <v>-806</v>
      </c>
      <c r="P75" s="20" t="n">
        <f aca="false">SUM(D75:O75)</f>
        <v>-8842</v>
      </c>
      <c r="Q75" s="5"/>
      <c r="R75" s="5"/>
      <c r="S75" s="2"/>
      <c r="T75" s="2"/>
      <c r="U75" s="2"/>
      <c r="V75" s="2"/>
      <c r="W75" s="2"/>
      <c r="X75" s="2"/>
    </row>
    <row r="76" customFormat="false" ht="12.6" hidden="false" customHeight="true" outlineLevel="0" collapsed="false">
      <c r="A76" s="2"/>
      <c r="B76" s="50" t="str">
        <f aca="false">+'NNG-Original 2002 Plan'!B76</f>
        <v>         Corporate Tie-In Amount (Act. / Est. Adjust.) </v>
      </c>
      <c r="C76" s="34"/>
      <c r="D76" s="22" t="n">
        <v>23</v>
      </c>
      <c r="E76" s="22" t="n">
        <v>-46</v>
      </c>
      <c r="F76" s="22" t="n">
        <v>28</v>
      </c>
      <c r="G76" s="22" t="n">
        <v>4</v>
      </c>
      <c r="H76" s="22" t="n">
        <v>25</v>
      </c>
      <c r="I76" s="22" t="n">
        <v>6</v>
      </c>
      <c r="J76" s="22" t="n">
        <v>40</v>
      </c>
      <c r="K76" s="22" t="n">
        <v>-44</v>
      </c>
      <c r="L76" s="22" t="n">
        <v>49</v>
      </c>
      <c r="M76" s="22" t="n">
        <v>-15</v>
      </c>
      <c r="N76" s="22" t="n">
        <v>-34</v>
      </c>
      <c r="O76" s="22" t="n">
        <v>6</v>
      </c>
      <c r="P76" s="23" t="n">
        <f aca="false">SUM(D76:O76)</f>
        <v>42</v>
      </c>
      <c r="Q76" s="5"/>
      <c r="R76" s="5"/>
      <c r="S76" s="2"/>
      <c r="T76" s="2"/>
      <c r="U76" s="2"/>
      <c r="V76" s="2"/>
      <c r="W76" s="2"/>
      <c r="X76" s="2"/>
    </row>
    <row r="77" customFormat="false" ht="12.6" hidden="false" customHeight="true" outlineLevel="0" collapsed="false">
      <c r="A77" s="2"/>
      <c r="B77" s="50" t="str">
        <f aca="false">+'NNG-Original 2002 Plan'!B77</f>
        <v>            Total Short Term Interest (Inc.) / Exp. </v>
      </c>
      <c r="C77" s="2"/>
      <c r="D77" s="20" t="n">
        <f aca="false">SUM(D75:D76)</f>
        <v>-700</v>
      </c>
      <c r="E77" s="20" t="n">
        <f aca="false">SUM(E75:E76)</f>
        <v>-700</v>
      </c>
      <c r="F77" s="20" t="n">
        <f aca="false">SUM(F75:F76)</f>
        <v>-700</v>
      </c>
      <c r="G77" s="20" t="n">
        <f aca="false">SUM(G75:G76)</f>
        <v>-700</v>
      </c>
      <c r="H77" s="20" t="n">
        <f aca="false">SUM(H75:H76)</f>
        <v>-700</v>
      </c>
      <c r="I77" s="20" t="n">
        <f aca="false">SUM(I75:I76)</f>
        <v>-700</v>
      </c>
      <c r="J77" s="20" t="n">
        <f aca="false">SUM(J75:J76)</f>
        <v>-700</v>
      </c>
      <c r="K77" s="20" t="n">
        <f aca="false">SUM(K75:K76)</f>
        <v>-800</v>
      </c>
      <c r="L77" s="20" t="n">
        <f aca="false">SUM(L75:L76)</f>
        <v>-700</v>
      </c>
      <c r="M77" s="20" t="n">
        <f aca="false">SUM(M75:M76)</f>
        <v>-800</v>
      </c>
      <c r="N77" s="20" t="n">
        <f aca="false">SUM(N75:N76)</f>
        <v>-800</v>
      </c>
      <c r="O77" s="20" t="n">
        <f aca="false">SUM(O75:O76)</f>
        <v>-800</v>
      </c>
      <c r="P77" s="20" t="n">
        <f aca="false">SUM(P75:P76)</f>
        <v>-8800</v>
      </c>
      <c r="Q77" s="5"/>
      <c r="R77" s="5"/>
      <c r="S77" s="2"/>
      <c r="T77" s="2"/>
      <c r="U77" s="2"/>
      <c r="V77" s="2"/>
      <c r="W77" s="2"/>
      <c r="X77" s="2"/>
    </row>
    <row r="78" customFormat="false" ht="12.6" hidden="false" customHeight="true" outlineLevel="0" collapsed="false">
      <c r="A78" s="2"/>
      <c r="B78" s="17" t="s">
        <v>151</v>
      </c>
      <c r="C78" s="5"/>
      <c r="D78" s="47" t="n">
        <v>0</v>
      </c>
      <c r="E78" s="47" t="n">
        <v>0</v>
      </c>
      <c r="F78" s="47" t="n">
        <v>0</v>
      </c>
      <c r="G78" s="47" t="n">
        <v>0</v>
      </c>
      <c r="H78" s="47" t="n">
        <v>0</v>
      </c>
      <c r="I78" s="47" t="n">
        <v>0</v>
      </c>
      <c r="J78" s="47" t="n">
        <v>0</v>
      </c>
      <c r="K78" s="47" t="n">
        <v>0</v>
      </c>
      <c r="L78" s="47" t="n">
        <v>0</v>
      </c>
      <c r="M78" s="47" t="n">
        <v>0</v>
      </c>
      <c r="N78" s="47" t="n">
        <v>0</v>
      </c>
      <c r="O78" s="47" t="n">
        <v>0</v>
      </c>
      <c r="P78" s="20" t="n">
        <f aca="false">SUM(D78:O78)</f>
        <v>0</v>
      </c>
      <c r="Q78" s="5"/>
      <c r="R78" s="5"/>
      <c r="S78" s="2"/>
      <c r="T78" s="2"/>
      <c r="U78" s="2"/>
      <c r="V78" s="2"/>
      <c r="W78" s="2"/>
      <c r="X78" s="2"/>
    </row>
    <row r="79" customFormat="false" ht="12.6" hidden="false" customHeight="true" outlineLevel="0" collapsed="false">
      <c r="A79" s="2"/>
      <c r="B79" s="50" t="str">
        <f aca="false">+'NNG-Original 2002 Plan'!B79</f>
        <v>         Unamortized Debt Expense</v>
      </c>
      <c r="C79" s="5"/>
      <c r="D79" s="47" t="n">
        <v>0</v>
      </c>
      <c r="E79" s="47" t="n">
        <v>0</v>
      </c>
      <c r="F79" s="47" t="n">
        <v>0</v>
      </c>
      <c r="G79" s="47" t="n">
        <v>0</v>
      </c>
      <c r="H79" s="47" t="n">
        <v>0</v>
      </c>
      <c r="I79" s="47" t="n">
        <v>0</v>
      </c>
      <c r="J79" s="47" t="n">
        <v>0</v>
      </c>
      <c r="K79" s="47" t="n">
        <v>0</v>
      </c>
      <c r="L79" s="47" t="n">
        <v>0</v>
      </c>
      <c r="M79" s="47" t="n">
        <v>0</v>
      </c>
      <c r="N79" s="47" t="n">
        <v>0</v>
      </c>
      <c r="O79" s="47" t="n">
        <v>0</v>
      </c>
      <c r="P79" s="20" t="n">
        <f aca="false">SUM(D79:O79)</f>
        <v>0</v>
      </c>
      <c r="Q79" s="5"/>
      <c r="R79" s="5"/>
      <c r="S79" s="2"/>
      <c r="T79" s="2"/>
      <c r="U79" s="2"/>
      <c r="V79" s="2"/>
      <c r="W79" s="2"/>
      <c r="X79" s="2"/>
    </row>
    <row r="80" customFormat="false" ht="12.75" hidden="false" customHeight="true" outlineLevel="0" collapsed="false">
      <c r="A80" s="2"/>
      <c r="B80" s="17" t="s">
        <v>152</v>
      </c>
      <c r="C80" s="5"/>
      <c r="D80" s="22" t="n">
        <v>0</v>
      </c>
      <c r="E80" s="22" t="n">
        <v>0</v>
      </c>
      <c r="F80" s="22" t="n">
        <v>0</v>
      </c>
      <c r="G80" s="22" t="n">
        <v>0</v>
      </c>
      <c r="H80" s="22" t="n">
        <v>0</v>
      </c>
      <c r="I80" s="22" t="n">
        <v>0</v>
      </c>
      <c r="J80" s="22" t="n">
        <v>0</v>
      </c>
      <c r="K80" s="22" t="n">
        <v>0</v>
      </c>
      <c r="L80" s="22" t="n">
        <v>0</v>
      </c>
      <c r="M80" s="22" t="n">
        <v>0</v>
      </c>
      <c r="N80" s="22" t="n">
        <v>0</v>
      </c>
      <c r="O80" s="22" t="n">
        <v>0</v>
      </c>
      <c r="P80" s="23" t="n">
        <f aca="false">SUM(D80:O80)</f>
        <v>0</v>
      </c>
      <c r="Q80" s="5"/>
      <c r="R80" s="5"/>
      <c r="S80" s="2"/>
      <c r="T80" s="2"/>
      <c r="U80" s="2"/>
      <c r="V80" s="2"/>
      <c r="W80" s="2"/>
      <c r="X80" s="2"/>
    </row>
    <row r="81" customFormat="false" ht="3.95" hidden="false" customHeight="true" outlineLevel="0" collapsed="false">
      <c r="A81" s="2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5"/>
      <c r="Q81" s="5"/>
      <c r="R81" s="5"/>
      <c r="S81" s="2"/>
      <c r="T81" s="2"/>
      <c r="U81" s="2"/>
      <c r="V81" s="2"/>
      <c r="W81" s="2"/>
      <c r="X81" s="2"/>
    </row>
    <row r="82" customFormat="false" ht="12.6" hidden="false" customHeight="true" outlineLevel="0" collapsed="false">
      <c r="A82" s="2"/>
      <c r="B82" s="99"/>
      <c r="C82" s="34"/>
      <c r="D82" s="94" t="n">
        <f aca="false">SUM(D77:D80)</f>
        <v>-700</v>
      </c>
      <c r="E82" s="94" t="n">
        <f aca="false">SUM(E77:E80)</f>
        <v>-700</v>
      </c>
      <c r="F82" s="94" t="n">
        <f aca="false">SUM(F77:F80)</f>
        <v>-700</v>
      </c>
      <c r="G82" s="94" t="n">
        <f aca="false">SUM(G77:G80)</f>
        <v>-700</v>
      </c>
      <c r="H82" s="94" t="n">
        <f aca="false">SUM(H77:H80)</f>
        <v>-700</v>
      </c>
      <c r="I82" s="94" t="n">
        <f aca="false">SUM(I77:I80)</f>
        <v>-700</v>
      </c>
      <c r="J82" s="94" t="n">
        <f aca="false">SUM(J77:J80)</f>
        <v>-700</v>
      </c>
      <c r="K82" s="94" t="n">
        <f aca="false">SUM(K77:K80)</f>
        <v>-800</v>
      </c>
      <c r="L82" s="94" t="n">
        <f aca="false">SUM(L77:L80)</f>
        <v>-700</v>
      </c>
      <c r="M82" s="94" t="n">
        <f aca="false">SUM(M77:M80)</f>
        <v>-800</v>
      </c>
      <c r="N82" s="94" t="n">
        <f aca="false">SUM(N77:N80)</f>
        <v>-800</v>
      </c>
      <c r="O82" s="94" t="n">
        <f aca="false">SUM(O77:O80)</f>
        <v>-800</v>
      </c>
      <c r="P82" s="94" t="n">
        <f aca="false">SUM(P77:P80)</f>
        <v>-8800</v>
      </c>
      <c r="Q82" s="33" t="n">
        <f aca="false">+P82-SUM(D82:O82)</f>
        <v>0</v>
      </c>
      <c r="R82" s="33"/>
      <c r="S82" s="2"/>
      <c r="T82" s="2"/>
      <c r="U82" s="117" t="n">
        <f aca="true">NOW()</f>
        <v>45926.9642538879</v>
      </c>
      <c r="V82" s="2"/>
      <c r="W82" s="2"/>
      <c r="X82" s="2"/>
    </row>
    <row r="83" customFormat="false" ht="12.6" hidden="false" customHeight="true" outlineLevel="0" collapsed="false">
      <c r="A83" s="2"/>
      <c r="B83" s="99"/>
      <c r="C83" s="3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33"/>
      <c r="R83" s="33"/>
      <c r="S83" s="2"/>
      <c r="T83" s="2"/>
      <c r="U83" s="117"/>
      <c r="V83" s="2"/>
      <c r="W83" s="2"/>
      <c r="X83" s="2"/>
    </row>
    <row r="84" customFormat="false" ht="12.6" hidden="false" customHeight="true" outlineLevel="0" collapsed="false">
      <c r="A84" s="118" t="str">
        <f aca="true">CELL("FILENAME")</f>
        <v>'file:///mnt/12tb/@roms/datasets/enron/EDRM Enron Email Data Set v2 XML/filtered-attachments/xls/DBTEQTY02.xls'#$TW-Original 2002 Plan</v>
      </c>
      <c r="B84" s="99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3"/>
      <c r="S84" s="2"/>
      <c r="T84" s="2"/>
      <c r="U84" s="42" t="n">
        <f aca="true">NOW()</f>
        <v>45926.9642538881</v>
      </c>
      <c r="V84" s="2"/>
      <c r="W84" s="2"/>
      <c r="X84" s="2"/>
    </row>
    <row r="85" customFormat="false" ht="12.8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customFormat="false" ht="12.8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customFormat="false" ht="12.8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25" right="0.25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28515625" defaultRowHeight="12.8" customHeight="true" zeroHeight="false" outlineLevelRow="0" outlineLevelCol="0"/>
  <sheetData>
    <row r="1" customFormat="false" ht="17" hidden="false" customHeight="false" outlineLevel="0" collapsed="false"/>
    <row r="2" customFormat="false" ht="17" hidden="false" customHeight="false" outlineLevel="0" collapsed="false"/>
    <row r="3" customFormat="false" ht="17" hidden="false" customHeight="false" outlineLevel="0" collapsed="false"/>
    <row r="4" customFormat="false" ht="14.65" hidden="false" customHeight="false" outlineLevel="0" collapsed="false"/>
    <row r="5" customFormat="false" ht="14.65" hidden="false" customHeight="false" outlineLevel="0" collapsed="false"/>
    <row r="6" customFormat="false" ht="14.65" hidden="false" customHeight="false" outlineLevel="0" collapsed="false"/>
    <row r="7" customFormat="false" ht="14.65" hidden="false" customHeight="false" outlineLevel="0" collapsed="false"/>
    <row r="8" customFormat="false" ht="14.65" hidden="false" customHeight="false" outlineLevel="0" collapsed="false"/>
    <row r="9" customFormat="false" ht="14.65" hidden="false" customHeight="false" outlineLevel="0" collapsed="false"/>
    <row r="10" customFormat="false" ht="14.65" hidden="false" customHeight="false" outlineLevel="0" collapsed="false"/>
    <row r="11" customFormat="false" ht="14.65" hidden="false" customHeight="false" outlineLevel="0" collapsed="false"/>
    <row r="12" customFormat="false" ht="14.65" hidden="false" customHeight="false" outlineLevel="0" collapsed="false"/>
    <row r="13" customFormat="false" ht="14.65" hidden="false" customHeight="false" outlineLevel="0" collapsed="false"/>
    <row r="14" customFormat="false" ht="14.65" hidden="false" customHeight="false" outlineLevel="0" collapsed="false"/>
    <row r="15" customFormat="false" ht="14.65" hidden="false" customHeight="false" outlineLevel="0" collapsed="false"/>
    <row r="16" customFormat="false" ht="14.65" hidden="false" customHeight="false" outlineLevel="0" collapsed="false"/>
    <row r="17" customFormat="false" ht="14.65" hidden="false" customHeight="false" outlineLevel="0" collapsed="false"/>
    <row r="18" customFormat="false" ht="14.65" hidden="false" customHeight="false" outlineLevel="0" collapsed="false"/>
    <row r="19" customFormat="false" ht="14.65" hidden="false" customHeight="false" outlineLevel="0" collapsed="false"/>
    <row r="20" customFormat="false" ht="14.65" hidden="false" customHeight="false" outlineLevel="0" collapsed="false"/>
    <row r="21" customFormat="false" ht="14.65" hidden="false" customHeight="false" outlineLevel="0" collapsed="false"/>
    <row r="22" customFormat="false" ht="14.65" hidden="false" customHeight="false" outlineLevel="0" collapsed="false"/>
    <row r="23" customFormat="false" ht="14.65" hidden="false" customHeight="false" outlineLevel="0" collapsed="false"/>
    <row r="24" customFormat="false" ht="14.65" hidden="false" customHeight="false" outlineLevel="0" collapsed="false"/>
    <row r="25" customFormat="false" ht="14.65" hidden="false" customHeight="false" outlineLevel="0" collapsed="false"/>
    <row r="26" customFormat="false" ht="14.65" hidden="false" customHeight="false" outlineLevel="0" collapsed="false"/>
    <row r="27" customFormat="false" ht="14.65" hidden="false" customHeight="false" outlineLevel="0" collapsed="false"/>
    <row r="28" customFormat="false" ht="14.65" hidden="false" customHeight="false" outlineLevel="0" collapsed="false"/>
    <row r="29" customFormat="false" ht="14.65" hidden="false" customHeight="false" outlineLevel="0" collapsed="false"/>
    <row r="30" customFormat="false" ht="14.65" hidden="false" customHeight="false" outlineLevel="0" collapsed="false"/>
    <row r="31" customFormat="false" ht="14.65" hidden="false" customHeight="false" outlineLevel="0" collapsed="false"/>
    <row r="32" customFormat="false" ht="14.65" hidden="false" customHeight="false" outlineLevel="0" collapsed="false"/>
    <row r="33" customFormat="false" ht="14.65" hidden="false" customHeight="false" outlineLevel="0" collapsed="false"/>
    <row r="34" customFormat="false" ht="14.65" hidden="false" customHeight="false" outlineLevel="0" collapsed="false"/>
    <row r="35" customFormat="false" ht="14.65" hidden="false" customHeight="false" outlineLevel="0" collapsed="false"/>
    <row r="36" customFormat="false" ht="14.65" hidden="false" customHeight="false" outlineLevel="0" collapsed="false"/>
    <row r="37" customFormat="false" ht="14.65" hidden="false" customHeight="false" outlineLevel="0" collapsed="false"/>
    <row r="38" customFormat="false" ht="14.65" hidden="false" customHeight="false" outlineLevel="0" collapsed="false"/>
    <row r="39" customFormat="false" ht="14.65" hidden="false" customHeight="false" outlineLevel="0" collapsed="false"/>
    <row r="40" customFormat="false" ht="14.65" hidden="false" customHeight="false" outlineLevel="0" collapsed="false"/>
    <row r="41" customFormat="false" ht="14.65" hidden="false" customHeight="false" outlineLevel="0" collapsed="false"/>
    <row r="42" customFormat="false" ht="14.65" hidden="false" customHeight="false" outlineLevel="0" collapsed="false"/>
    <row r="43" customFormat="false" ht="14.65" hidden="false" customHeight="false" outlineLevel="0" collapsed="false"/>
    <row r="44" customFormat="false" ht="14.65" hidden="false" customHeight="false" outlineLevel="0" collapsed="false"/>
    <row r="45" customFormat="false" ht="14.65" hidden="false" customHeight="false" outlineLevel="0" collapsed="false"/>
    <row r="46" customFormat="false" ht="14.65" hidden="false" customHeight="false" outlineLevel="0" collapsed="false"/>
    <row r="47" customFormat="false" ht="14.65" hidden="false" customHeight="false" outlineLevel="0" collapsed="false"/>
    <row r="48" customFormat="false" ht="14.65" hidden="false" customHeight="false" outlineLevel="0" collapsed="false"/>
    <row r="49" customFormat="false" ht="14.65" hidden="false" customHeight="false" outlineLevel="0" collapsed="false"/>
    <row r="50" customFormat="false" ht="14.65" hidden="false" customHeight="false" outlineLevel="0" collapsed="false"/>
    <row r="51" customFormat="false" ht="14.65" hidden="false" customHeight="false" outlineLevel="0" collapsed="false"/>
    <row r="52" customFormat="false" ht="14.65" hidden="false" customHeight="false" outlineLevel="0" collapsed="false"/>
    <row r="53" customFormat="false" ht="14.65" hidden="false" customHeight="false" outlineLevel="0" collapsed="false"/>
    <row r="54" customFormat="false" ht="14.65" hidden="false" customHeight="false" outlineLevel="0" collapsed="false"/>
    <row r="55" customFormat="false" ht="14.65" hidden="false" customHeight="false" outlineLevel="0" collapsed="false"/>
    <row r="56" customFormat="false" ht="14.65" hidden="false" customHeight="false" outlineLevel="0" collapsed="false"/>
    <row r="57" customFormat="false" ht="14.65" hidden="false" customHeight="false" outlineLevel="0" collapsed="false"/>
    <row r="58" customFormat="false" ht="14.65" hidden="false" customHeight="false" outlineLevel="0" collapsed="false"/>
    <row r="59" customFormat="false" ht="14.65" hidden="false" customHeight="false" outlineLevel="0" collapsed="false"/>
    <row r="60" customFormat="false" ht="14.65" hidden="false" customHeight="false" outlineLevel="0" collapsed="false"/>
    <row r="61" customFormat="false" ht="14.65" hidden="false" customHeight="false" outlineLevel="0" collapsed="false"/>
    <row r="62" customFormat="false" ht="14.65" hidden="false" customHeight="false" outlineLevel="0" collapsed="false"/>
    <row r="63" customFormat="false" ht="14.65" hidden="false" customHeight="false" outlineLevel="0" collapsed="false"/>
    <row r="64" customFormat="false" ht="14.65" hidden="false" customHeight="false" outlineLevel="0" collapsed="false"/>
    <row r="65" customFormat="false" ht="14.65" hidden="false" customHeight="false" outlineLevel="0" collapsed="false"/>
    <row r="66" customFormat="false" ht="14.65" hidden="false" customHeight="false" outlineLevel="0" collapsed="false"/>
    <row r="67" customFormat="false" ht="14.65" hidden="false" customHeight="false" outlineLevel="0" collapsed="false"/>
    <row r="68" customFormat="false" ht="14.65" hidden="false" customHeight="false" outlineLevel="0" collapsed="false"/>
    <row r="69" customFormat="false" ht="14.65" hidden="false" customHeight="false" outlineLevel="0" collapsed="false"/>
    <row r="70" customFormat="false" ht="14.65" hidden="false" customHeight="false" outlineLevel="0" collapsed="false"/>
    <row r="71" customFormat="false" ht="14.65" hidden="false" customHeight="false" outlineLevel="0" collapsed="false"/>
    <row r="72" customFormat="false" ht="14.65" hidden="false" customHeight="false" outlineLevel="0" collapsed="false"/>
    <row r="73" customFormat="false" ht="14.65" hidden="false" customHeight="false" outlineLevel="0" collapsed="false"/>
    <row r="74" customFormat="false" ht="14.65" hidden="false" customHeight="false" outlineLevel="0" collapsed="false"/>
    <row r="75" customFormat="false" ht="14.65" hidden="false" customHeight="false" outlineLevel="0" collapsed="false"/>
    <row r="76" customFormat="false" ht="14.65" hidden="false" customHeight="false" outlineLevel="0" collapsed="false"/>
    <row r="77" customFormat="false" ht="14.65" hidden="false" customHeight="false" outlineLevel="0" collapsed="false"/>
    <row r="78" customFormat="false" ht="14.65" hidden="false" customHeight="false" outlineLevel="0" collapsed="false"/>
    <row r="79" customFormat="false" ht="14.65" hidden="false" customHeight="false" outlineLevel="0" collapsed="false"/>
    <row r="80" customFormat="false" ht="14.65" hidden="false" customHeight="false" outlineLevel="0" collapsed="false"/>
    <row r="81" customFormat="false" ht="14.65" hidden="false" customHeight="false" outlineLevel="0" collapsed="false"/>
    <row r="82" customFormat="false" ht="14.65" hidden="false" customHeight="false" outlineLevel="0" collapsed="false"/>
    <row r="83" customFormat="false" ht="14.65" hidden="false" customHeight="false" outlineLevel="0" collapsed="false"/>
    <row r="84" customFormat="false" ht="14.6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