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<sst xmlns="http://schemas.openxmlformats.org/spreadsheetml/2006/main" count="155" uniqueCount="103">
  <si>
    <t xml:space="preserve">ELBA ISLAND LNG TERMINAL - COST OF SERVICE</t>
  </si>
  <si>
    <t xml:space="preserve">Cost of Service</t>
  </si>
  <si>
    <t xml:space="preserve">Test</t>
  </si>
  <si>
    <t xml:space="preserve">FERC Environmental Compliance Costs</t>
  </si>
  <si>
    <t xml:space="preserve">$10MM Vaporizer Improvement Cap</t>
  </si>
  <si>
    <t xml:space="preserve">Standby Tugs at Dock - 7/24</t>
  </si>
  <si>
    <t xml:space="preserve">Stripping Alternative</t>
  </si>
  <si>
    <t xml:space="preserve">(November 22, 2000)</t>
  </si>
  <si>
    <t xml:space="preserve">CAPITAL COSTS</t>
  </si>
  <si>
    <t xml:space="preserve">Date</t>
  </si>
  <si>
    <t xml:space="preserve">July 1999</t>
  </si>
  <si>
    <t xml:space="preserve">October 1999</t>
  </si>
  <si>
    <t xml:space="preserve">April 3, 2000</t>
  </si>
  <si>
    <t xml:space="preserve">August 2000</t>
  </si>
  <si>
    <t xml:space="preserve">November 2000</t>
  </si>
  <si>
    <t xml:space="preserve">February 2001</t>
  </si>
  <si>
    <t xml:space="preserve">Throughput (Bcf)</t>
  </si>
  <si>
    <t xml:space="preserve">Estimate</t>
  </si>
  <si>
    <t xml:space="preserve">Capex Estimate </t>
  </si>
  <si>
    <t xml:space="preserve">- July 1999 FERC Application</t>
  </si>
  <si>
    <t xml:space="preserve">Berth Dredging</t>
  </si>
  <si>
    <t xml:space="preserve">- Vaporizer Replacement</t>
  </si>
  <si>
    <t xml:space="preserve">Channel Dredging</t>
  </si>
  <si>
    <t xml:space="preserve">New Turning Basin Dredging</t>
  </si>
  <si>
    <t xml:space="preserve">- Vaporizer Addition</t>
  </si>
  <si>
    <t xml:space="preserve">Surveillance</t>
  </si>
  <si>
    <t xml:space="preserve">New Turning Basin Dykes</t>
  </si>
  <si>
    <t xml:space="preserve">- BACT Compliance, Cool-down</t>
  </si>
  <si>
    <t xml:space="preserve">Ship Dock to Starbd</t>
  </si>
  <si>
    <r>
      <rPr>
        <sz val="10"/>
        <rFont val="Arial"/>
        <family val="0"/>
      </rPr>
      <t xml:space="preserve">- Stabilization (Air or N</t>
    </r>
    <r>
      <rPr>
        <vertAlign val="subscript"/>
        <sz val="10"/>
        <rFont val="Arial"/>
        <family val="2"/>
      </rPr>
      <t xml:space="preserve">2</t>
    </r>
    <r>
      <rPr>
        <sz val="10"/>
        <rFont val="Arial"/>
        <family val="0"/>
      </rPr>
      <t xml:space="preserve">)</t>
    </r>
  </si>
  <si>
    <r>
      <rPr>
        <sz val="10"/>
        <rFont val="Arial"/>
        <family val="0"/>
      </rPr>
      <t xml:space="preserve">N</t>
    </r>
    <r>
      <rPr>
        <vertAlign val="subscript"/>
        <sz val="10"/>
        <rFont val="Arial"/>
        <family val="2"/>
      </rPr>
      <t xml:space="preserve">2</t>
    </r>
    <r>
      <rPr>
        <sz val="10"/>
        <rFont val="Arial"/>
        <family val="0"/>
      </rPr>
      <t xml:space="preserve"> Snuffing</t>
    </r>
  </si>
  <si>
    <t xml:space="preserve">No Stabilization</t>
  </si>
  <si>
    <t xml:space="preserve">Chicksan Arms</t>
  </si>
  <si>
    <t xml:space="preserve">FERC Reporting</t>
  </si>
  <si>
    <t xml:space="preserve">- FERC Compliance</t>
  </si>
  <si>
    <t xml:space="preserve">(3.8% Air Injection)</t>
  </si>
  <si>
    <r>
      <rPr>
        <b val="true"/>
        <i val="true"/>
        <sz val="10"/>
        <rFont val="Arial"/>
        <family val="2"/>
      </rPr>
      <t xml:space="preserve">(2.0% N</t>
    </r>
    <r>
      <rPr>
        <b val="true"/>
        <i val="true"/>
        <vertAlign val="subscript"/>
        <sz val="10"/>
        <rFont val="Arial"/>
        <family val="2"/>
      </rPr>
      <t xml:space="preserve">2</t>
    </r>
    <r>
      <rPr>
        <b val="true"/>
        <i val="true"/>
        <sz val="10"/>
        <rFont val="Arial"/>
        <family val="2"/>
      </rPr>
      <t xml:space="preserve"> Injection)</t>
    </r>
  </si>
  <si>
    <t xml:space="preserve">Total Capex Estimate</t>
  </si>
  <si>
    <t xml:space="preserve">Working Capital, Spare Parts</t>
  </si>
  <si>
    <t xml:space="preserve">Subtotal</t>
  </si>
  <si>
    <t xml:space="preserve">Contingency @</t>
  </si>
  <si>
    <t xml:space="preserve">Total before AFUDC</t>
  </si>
  <si>
    <t xml:space="preserve">AFUDC</t>
  </si>
  <si>
    <t xml:space="preserve">Total Capex with AFUDC</t>
  </si>
  <si>
    <t xml:space="preserve">Less: WC, Spare Parts</t>
  </si>
  <si>
    <t xml:space="preserve">Startup Capex</t>
  </si>
  <si>
    <t xml:space="preserve">Existing Plant - Dec. 31, 1999</t>
  </si>
  <si>
    <t xml:space="preserve">LNG Terminal @ Startup</t>
  </si>
  <si>
    <t xml:space="preserve">Land</t>
  </si>
  <si>
    <t xml:space="preserve">Depreciable Facilities</t>
  </si>
  <si>
    <t xml:space="preserve">Net Plant in Service</t>
  </si>
  <si>
    <t xml:space="preserve">Deferred Taxes</t>
  </si>
  <si>
    <t xml:space="preserve">Working Capital</t>
  </si>
  <si>
    <t xml:space="preserve">Rate Base</t>
  </si>
  <si>
    <t xml:space="preserve">(vs 213,453,665)</t>
  </si>
  <si>
    <t xml:space="preserve">(vs 222952531)</t>
  </si>
  <si>
    <t xml:space="preserve">(vs 194,932,259)</t>
  </si>
  <si>
    <t xml:space="preserve">COST OF SERVICE</t>
  </si>
  <si>
    <t xml:space="preserve">Depreciation @</t>
  </si>
  <si>
    <t xml:space="preserve">Return on Debt</t>
  </si>
  <si>
    <t xml:space="preserve">Return on Equity</t>
  </si>
  <si>
    <t xml:space="preserve">AFUDC Equity Addback</t>
  </si>
  <si>
    <t xml:space="preserve">Income Taxes</t>
  </si>
  <si>
    <t xml:space="preserve">Other Taxes</t>
  </si>
  <si>
    <t xml:space="preserve">Fixed O&amp;M</t>
  </si>
  <si>
    <t xml:space="preserve">Total</t>
  </si>
  <si>
    <t xml:space="preserve">FIXED COS</t>
  </si>
  <si>
    <t xml:space="preserve">VARIABLE O&amp;M</t>
  </si>
  <si>
    <t xml:space="preserve">VAR. ELECTRIC POWER</t>
  </si>
  <si>
    <t xml:space="preserve">BILLING DETERMINANTS - STORAGE CAPACITY</t>
  </si>
  <si>
    <t xml:space="preserve">Storage Capacity</t>
  </si>
  <si>
    <t xml:space="preserve">Mcf</t>
  </si>
  <si>
    <t xml:space="preserve">Storage Period</t>
  </si>
  <si>
    <t xml:space="preserve">Months</t>
  </si>
  <si>
    <t xml:space="preserve">Base GHV</t>
  </si>
  <si>
    <t xml:space="preserve">Dth per Mcf</t>
  </si>
  <si>
    <t xml:space="preserve">Annual Billing Determinant</t>
  </si>
  <si>
    <t xml:space="preserve">MONTHLY RESERVATION CHARGE</t>
  </si>
  <si>
    <t xml:space="preserve">$ per Decatherm</t>
  </si>
  <si>
    <t xml:space="preserve">BILLING DETERMINANTS - THROUGHPUT</t>
  </si>
  <si>
    <t xml:space="preserve">Firm Throughput</t>
  </si>
  <si>
    <t xml:space="preserve">Mcf per year</t>
  </si>
  <si>
    <t xml:space="preserve">Net Sales</t>
  </si>
  <si>
    <t xml:space="preserve">Dth</t>
  </si>
  <si>
    <t xml:space="preserve">RESERVATION CHARGE</t>
  </si>
  <si>
    <t xml:space="preserve">$ per Month</t>
  </si>
  <si>
    <t xml:space="preserve">COMMODITY RATE - VARIABLE O&amp;M</t>
  </si>
  <si>
    <t xml:space="preserve">$ per Decatherm of Deliveries</t>
  </si>
  <si>
    <t xml:space="preserve">COMMODITY RATE -ELECTRIC POWER</t>
  </si>
  <si>
    <t xml:space="preserve">ENRON COST OF SERVICE</t>
  </si>
  <si>
    <t xml:space="preserve">ENRON ALTERNATIVE NO. 1</t>
  </si>
  <si>
    <t xml:space="preserve">Enron Share</t>
  </si>
  <si>
    <t xml:space="preserve">Percentage</t>
  </si>
  <si>
    <t xml:space="preserve">Annual COS excl. Treating</t>
  </si>
  <si>
    <t xml:space="preserve">Treating COS - 100%</t>
  </si>
  <si>
    <t xml:space="preserve"> Total COS</t>
  </si>
  <si>
    <t xml:space="preserve">Enron Throughput</t>
  </si>
  <si>
    <t xml:space="preserve">Fuel Deduction</t>
  </si>
  <si>
    <t xml:space="preserve">Enron GHV</t>
  </si>
  <si>
    <t xml:space="preserve">$ per Decatherm of Net Sales</t>
  </si>
  <si>
    <t xml:space="preserve">(costs for treating not included)</t>
  </si>
  <si>
    <t xml:space="preserve">(costs for compliance not included)</t>
  </si>
  <si>
    <t xml:space="preserve">ENRON ALTERNATIVE NO. 2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</si>
</sst>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mm\-yy"/>
    <numFmt numFmtId="166" formatCode="[$-409]#,##0_);\(#,##0\)"/>
    <numFmt numFmtId="167" formatCode="0%"/>
    <numFmt numFmtId="168" formatCode="0.00%"/>
    <numFmt numFmtId="169" formatCode="0.0%"/>
    <numFmt numFmtId="170" formatCode="#,##0"/>
    <numFmt numFmtId="171" formatCode="0"/>
    <numFmt numFmtId="172" formatCode="#,##0.0000_);\(#,##0.0000\)"/>
    <numFmt numFmtId="173" formatCode="[$-409]#,##0_);[RED]\(#,##0\)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8"/>
      <name val="Arial"/>
      <family val="2"/>
    </font>
    <font>
      <i val="true"/>
      <sz val="10"/>
      <name val="Arial"/>
      <family val="2"/>
    </font>
    <font>
      <vertAlign val="subscript"/>
      <sz val="10"/>
      <name val="Arial"/>
      <family val="2"/>
    </font>
    <font>
      <b val="true"/>
      <i val="true"/>
      <vertAlign val="subscript"/>
      <sz val="10"/>
      <name val="Arial"/>
      <family val="2"/>
    </font>
    <font>
      <u val="single"/>
      <sz val="10"/>
      <name val="Arial"/>
      <family val="2"/>
    </font>
    <font>
      <i val="true"/>
      <u val="single"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i val="true"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CC99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CC99FF"/>
        <bgColor rgb="FF9999FF"/>
      </patternFill>
    </fill>
    <fill>
      <patternFill patternType="solid">
        <fgColor rgb="FF99CCFF"/>
        <bgColor rgb="FFCCCCFF"/>
      </patternFill>
    </fill>
    <fill>
      <patternFill patternType="solid">
        <fgColor rgb="FF99CC00"/>
        <bgColor rgb="FFFFCC00"/>
      </patternFill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  <fill>
      <patternFill patternType="solid">
        <fgColor rgb="FFFFFFFF"/>
        <bgColor rgb="FFFFFFCC"/>
      </patternFill>
    </fill>
    <fill>
      <patternFill patternType="solid">
        <fgColor rgb="FF33CCCC"/>
        <bgColor rgb="FF00CC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1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8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8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5" fillId="8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8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85"/>
    <col collapsed="false" customWidth="true" hidden="false" outlineLevel="0" max="2" min="2" style="0" width="6.99"/>
    <col collapsed="false" customWidth="true" hidden="false" outlineLevel="0" max="5" min="3" style="0" width="15.7"/>
    <col collapsed="false" customWidth="true" hidden="false" outlineLevel="0" max="9" min="6" style="0" width="18.85"/>
    <col collapsed="false" customWidth="true" hidden="false" outlineLevel="0" max="16" min="10" style="0" width="15.7"/>
    <col collapsed="false" customWidth="true" hidden="false" outlineLevel="0" max="17" min="17" style="0" width="4.28"/>
    <col collapsed="false" customWidth="true" hidden="false" outlineLevel="0" max="18" min="18" style="0" width="14.28"/>
    <col collapsed="false" customWidth="true" hidden="false" outlineLevel="0" max="19" min="19" style="0" width="20.13"/>
    <col collapsed="false" customWidth="true" hidden="false" outlineLevel="0" max="20" min="20" style="0" width="5.41"/>
    <col collapsed="false" customWidth="true" hidden="false" outlineLevel="0" max="21" min="21" style="0" width="17.14"/>
    <col collapsed="false" customWidth="true" hidden="false" outlineLevel="0" max="22" min="22" style="0" width="17.85"/>
    <col collapsed="false" customWidth="true" hidden="false" outlineLevel="0" max="23" min="23" style="0" width="6.7"/>
    <col collapsed="false" customWidth="true" hidden="false" outlineLevel="0" max="24" min="24" style="0" width="17.28"/>
    <col collapsed="false" customWidth="true" hidden="false" outlineLevel="0" max="25" min="25" style="0" width="4.41"/>
    <col collapsed="false" customWidth="true" hidden="false" outlineLevel="0" max="26" min="26" style="0" width="19.99"/>
    <col collapsed="false" customWidth="true" hidden="false" outlineLevel="0" max="27" min="27" style="0" width="5.28"/>
    <col collapsed="false" customWidth="true" hidden="false" outlineLevel="0" max="28" min="28" style="0" width="17.85"/>
    <col collapsed="false" customWidth="true" hidden="false" outlineLevel="0" max="29" min="29" style="0" width="15.13"/>
    <col collapsed="false" customWidth="true" hidden="false" outlineLevel="0" max="31" min="31" style="0" width="17.85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</row>
    <row r="2" customFormat="false" ht="51" hidden="false" customHeight="false" outlineLevel="0" collapsed="false">
      <c r="E2" s="3" t="s">
        <v>1</v>
      </c>
      <c r="F2" s="4" t="s">
        <v>2</v>
      </c>
      <c r="G2" s="4"/>
      <c r="H2" s="4"/>
      <c r="I2" s="4"/>
      <c r="R2" s="5" t="s">
        <v>3</v>
      </c>
      <c r="Z2" s="5" t="s">
        <v>4</v>
      </c>
      <c r="AB2" s="5" t="s">
        <v>3</v>
      </c>
      <c r="AC2" s="5" t="s">
        <v>5</v>
      </c>
      <c r="AE2" s="5" t="s">
        <v>6</v>
      </c>
    </row>
    <row r="3" customFormat="false" ht="13.5" hidden="false" customHeight="false" outlineLevel="0" collapsed="false">
      <c r="V3" s="6"/>
      <c r="Z3" s="6"/>
      <c r="AB3" s="6"/>
      <c r="AE3" s="0" t="s">
        <v>7</v>
      </c>
    </row>
    <row r="4" customFormat="false" ht="13.5" hidden="false" customHeight="false" outlineLevel="0" collapsed="false">
      <c r="A4" s="7" t="s">
        <v>8</v>
      </c>
      <c r="B4" s="8"/>
      <c r="C4" s="9" t="s">
        <v>9</v>
      </c>
      <c r="D4" s="10" t="s">
        <v>10</v>
      </c>
      <c r="E4" s="10"/>
      <c r="F4" s="10"/>
      <c r="G4" s="10"/>
      <c r="H4" s="10"/>
      <c r="I4" s="10"/>
      <c r="J4" s="11" t="s">
        <v>11</v>
      </c>
      <c r="K4" s="12" t="s">
        <v>11</v>
      </c>
      <c r="L4" s="10"/>
      <c r="M4" s="13" t="s">
        <v>12</v>
      </c>
      <c r="N4" s="13"/>
      <c r="O4" s="13"/>
      <c r="P4" s="13"/>
      <c r="Q4" s="13"/>
      <c r="R4" s="13"/>
      <c r="U4" s="14" t="s">
        <v>13</v>
      </c>
      <c r="V4" s="14" t="s">
        <v>13</v>
      </c>
      <c r="X4" s="15" t="s">
        <v>14</v>
      </c>
      <c r="Z4" s="15" t="s">
        <v>14</v>
      </c>
      <c r="AB4" s="16" t="s">
        <v>15</v>
      </c>
      <c r="AE4" s="16" t="s">
        <v>15</v>
      </c>
    </row>
    <row r="5" customFormat="false" ht="12.75" hidden="false" customHeight="false" outlineLevel="0" collapsed="false">
      <c r="A5" s="17"/>
      <c r="B5" s="17"/>
      <c r="C5" s="9" t="s">
        <v>16</v>
      </c>
      <c r="D5" s="18" t="n">
        <v>85</v>
      </c>
      <c r="E5" s="18"/>
      <c r="F5" s="18"/>
      <c r="G5" s="18"/>
      <c r="H5" s="18"/>
      <c r="I5" s="18"/>
      <c r="J5" s="18" t="n">
        <v>120</v>
      </c>
      <c r="K5" s="18" t="n">
        <v>140</v>
      </c>
      <c r="L5" s="18"/>
      <c r="M5" s="19" t="n">
        <v>160</v>
      </c>
      <c r="N5" s="19"/>
      <c r="O5" s="19"/>
      <c r="P5" s="19"/>
      <c r="Q5" s="19"/>
      <c r="R5" s="19"/>
      <c r="U5" s="18" t="n">
        <v>160</v>
      </c>
      <c r="V5" s="18" t="n">
        <v>160</v>
      </c>
      <c r="X5" s="18" t="n">
        <v>160</v>
      </c>
      <c r="Z5" s="18" t="n">
        <v>160</v>
      </c>
      <c r="AB5" s="18" t="n">
        <v>160</v>
      </c>
      <c r="AE5" s="18" t="n">
        <v>160</v>
      </c>
    </row>
    <row r="6" customFormat="false" ht="12.75" hidden="false" customHeight="false" outlineLevel="0" collapsed="false">
      <c r="R6" s="6" t="s">
        <v>17</v>
      </c>
      <c r="V6" s="6" t="s">
        <v>17</v>
      </c>
      <c r="Z6" s="6" t="s">
        <v>17</v>
      </c>
      <c r="AB6" s="6" t="s">
        <v>17</v>
      </c>
      <c r="AC6" s="6" t="s">
        <v>17</v>
      </c>
      <c r="AE6" s="6" t="s">
        <v>17</v>
      </c>
    </row>
    <row r="7" customFormat="false" ht="12.75" hidden="false" customHeight="false" outlineLevel="0" collapsed="false">
      <c r="A7" s="17" t="s">
        <v>18</v>
      </c>
      <c r="B7" s="17"/>
      <c r="C7" s="0" t="s">
        <v>19</v>
      </c>
      <c r="D7" s="20" t="n">
        <v>20173489</v>
      </c>
      <c r="E7" s="20" t="n">
        <f aca="false">+D7</f>
        <v>20173489</v>
      </c>
      <c r="F7" s="20" t="n">
        <v>25000000</v>
      </c>
      <c r="G7" s="21"/>
      <c r="H7" s="21"/>
      <c r="I7" s="21"/>
      <c r="J7" s="21" t="n">
        <v>20173489</v>
      </c>
      <c r="K7" s="21" t="n">
        <v>20173489</v>
      </c>
      <c r="L7" s="21"/>
      <c r="M7" s="21" t="n">
        <f aca="false">D7</f>
        <v>20173489</v>
      </c>
      <c r="N7" s="21" t="n">
        <f aca="false">D7</f>
        <v>20173489</v>
      </c>
      <c r="O7" s="21" t="n">
        <f aca="false">D7</f>
        <v>20173489</v>
      </c>
      <c r="P7" s="21" t="n">
        <f aca="false">D7</f>
        <v>20173489</v>
      </c>
      <c r="Q7" s="21"/>
      <c r="R7" s="22" t="n">
        <v>287500</v>
      </c>
      <c r="S7" s="0" t="s">
        <v>20</v>
      </c>
      <c r="U7" s="21" t="n">
        <f aca="false">X7</f>
        <v>20173489</v>
      </c>
      <c r="V7" s="23" t="n">
        <f aca="false">M7</f>
        <v>20173489</v>
      </c>
      <c r="X7" s="21" t="n">
        <f aca="false">D7</f>
        <v>20173489</v>
      </c>
      <c r="Z7" s="23" t="n">
        <f aca="false">N7</f>
        <v>20173489</v>
      </c>
      <c r="AA7" s="24"/>
      <c r="AB7" s="22" t="n">
        <f aca="false">535000*1.25</f>
        <v>668750</v>
      </c>
      <c r="AC7" s="0" t="s">
        <v>20</v>
      </c>
      <c r="AE7" s="22"/>
    </row>
    <row r="8" customFormat="false" ht="12.75" hidden="false" customHeight="false" outlineLevel="0" collapsed="false">
      <c r="C8" s="0" t="s">
        <v>21</v>
      </c>
      <c r="D8" s="20"/>
      <c r="E8" s="20"/>
      <c r="F8" s="20"/>
      <c r="G8" s="21"/>
      <c r="H8" s="21"/>
      <c r="I8" s="21"/>
      <c r="J8" s="21"/>
      <c r="K8" s="21"/>
      <c r="L8" s="21"/>
      <c r="M8" s="21" t="n">
        <f aca="false">8000000</f>
        <v>8000000</v>
      </c>
      <c r="N8" s="21" t="n">
        <f aca="false">M8</f>
        <v>8000000</v>
      </c>
      <c r="O8" s="21" t="n">
        <f aca="false">M8</f>
        <v>8000000</v>
      </c>
      <c r="P8" s="21" t="n">
        <f aca="false">M8</f>
        <v>8000000</v>
      </c>
      <c r="Q8" s="21"/>
      <c r="R8" s="25" t="n">
        <v>168750</v>
      </c>
      <c r="S8" s="0" t="s">
        <v>22</v>
      </c>
      <c r="U8" s="26" t="n">
        <v>11096000</v>
      </c>
      <c r="V8" s="27" t="n">
        <v>11096000</v>
      </c>
      <c r="X8" s="26" t="n">
        <v>11096000</v>
      </c>
      <c r="Z8" s="28" t="n">
        <v>6000000</v>
      </c>
      <c r="AA8" s="24"/>
      <c r="AB8" s="25" t="n">
        <f aca="false">4400000*1.25</f>
        <v>5500000</v>
      </c>
      <c r="AC8" s="0" t="s">
        <v>23</v>
      </c>
      <c r="AE8" s="25"/>
    </row>
    <row r="9" customFormat="false" ht="12.75" hidden="false" customHeight="false" outlineLevel="0" collapsed="false">
      <c r="C9" s="0" t="s">
        <v>24</v>
      </c>
      <c r="D9" s="20"/>
      <c r="E9" s="20"/>
      <c r="F9" s="20"/>
      <c r="G9" s="21"/>
      <c r="H9" s="21"/>
      <c r="I9" s="21"/>
      <c r="J9" s="21"/>
      <c r="K9" s="21"/>
      <c r="L9" s="21"/>
      <c r="M9" s="21"/>
      <c r="N9" s="21" t="n">
        <v>3500000</v>
      </c>
      <c r="O9" s="21" t="n">
        <f aca="false">N9</f>
        <v>3500000</v>
      </c>
      <c r="P9" s="21" t="n">
        <f aca="false">N9</f>
        <v>3500000</v>
      </c>
      <c r="Q9" s="21"/>
      <c r="R9" s="25" t="n">
        <v>281000</v>
      </c>
      <c r="S9" s="0" t="s">
        <v>25</v>
      </c>
      <c r="U9" s="29"/>
      <c r="V9" s="30"/>
      <c r="X9" s="29"/>
      <c r="Z9" s="31" t="n">
        <v>1900000</v>
      </c>
      <c r="AA9" s="24"/>
      <c r="AB9" s="25" t="n">
        <v>3000000</v>
      </c>
      <c r="AC9" s="0" t="s">
        <v>26</v>
      </c>
      <c r="AE9" s="25"/>
    </row>
    <row r="10" customFormat="false" ht="12.75" hidden="false" customHeight="false" outlineLevel="0" collapsed="false">
      <c r="C10" s="0" t="s">
        <v>27</v>
      </c>
      <c r="D10" s="20"/>
      <c r="E10" s="20"/>
      <c r="F10" s="20"/>
      <c r="G10" s="21"/>
      <c r="H10" s="21"/>
      <c r="I10" s="21"/>
      <c r="J10" s="21"/>
      <c r="K10" s="21"/>
      <c r="L10" s="21"/>
      <c r="M10" s="21"/>
      <c r="N10" s="21"/>
      <c r="O10" s="21" t="n">
        <v>3000000</v>
      </c>
      <c r="P10" s="21" t="n">
        <f aca="false">O10</f>
        <v>3000000</v>
      </c>
      <c r="Q10" s="21"/>
      <c r="R10" s="25" t="n">
        <v>1314000</v>
      </c>
      <c r="S10" s="0" t="s">
        <v>28</v>
      </c>
      <c r="U10" s="21"/>
      <c r="V10" s="23"/>
      <c r="X10" s="21"/>
      <c r="Z10" s="23"/>
      <c r="AA10" s="24"/>
      <c r="AB10" s="25" t="n">
        <v>281000</v>
      </c>
      <c r="AC10" s="0" t="s">
        <v>25</v>
      </c>
      <c r="AE10" s="22"/>
    </row>
    <row r="11" customFormat="false" ht="15.75" hidden="false" customHeight="false" outlineLevel="0" collapsed="false">
      <c r="C11" s="0" t="s">
        <v>29</v>
      </c>
      <c r="D11" s="20"/>
      <c r="E11" s="20"/>
      <c r="F11" s="20"/>
      <c r="G11" s="21"/>
      <c r="H11" s="21"/>
      <c r="I11" s="21"/>
      <c r="J11" s="21"/>
      <c r="K11" s="21"/>
      <c r="L11" s="21"/>
      <c r="M11" s="21"/>
      <c r="N11" s="21"/>
      <c r="O11" s="21"/>
      <c r="P11" s="32" t="n">
        <v>9739130</v>
      </c>
      <c r="Q11" s="21"/>
      <c r="R11" s="22" t="n">
        <v>195000</v>
      </c>
      <c r="S11" s="0" t="s">
        <v>30</v>
      </c>
      <c r="U11" s="21" t="n">
        <v>14581000</v>
      </c>
      <c r="V11" s="23" t="n">
        <v>22059000</v>
      </c>
      <c r="X11" s="33" t="s">
        <v>31</v>
      </c>
      <c r="Z11" s="34" t="s">
        <v>31</v>
      </c>
      <c r="AA11" s="24"/>
      <c r="AB11" s="22" t="n">
        <v>195000</v>
      </c>
      <c r="AC11" s="0" t="s">
        <v>30</v>
      </c>
      <c r="AE11" s="23" t="n">
        <f aca="false">29597300+(2327000/1.4)</f>
        <v>31259442.8571429</v>
      </c>
    </row>
    <row r="12" customFormat="false" ht="12.75" hidden="false" customHeight="false" outlineLevel="0" collapsed="false">
      <c r="D12" s="20"/>
      <c r="E12" s="20"/>
      <c r="F12" s="20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2" t="n">
        <v>1255000</v>
      </c>
      <c r="S12" s="0" t="s">
        <v>32</v>
      </c>
      <c r="U12" s="21"/>
      <c r="V12" s="23"/>
      <c r="X12" s="35"/>
      <c r="Z12" s="36"/>
      <c r="AA12" s="24"/>
      <c r="AB12" s="22" t="n">
        <v>30000</v>
      </c>
      <c r="AC12" s="0" t="s">
        <v>33</v>
      </c>
      <c r="AE12" s="23"/>
    </row>
    <row r="13" customFormat="false" ht="12.75" hidden="false" customHeight="false" outlineLevel="0" collapsed="false">
      <c r="D13" s="20"/>
      <c r="E13" s="20"/>
      <c r="F13" s="20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2" t="n">
        <v>30000</v>
      </c>
      <c r="S13" s="0" t="s">
        <v>33</v>
      </c>
      <c r="U13" s="21"/>
      <c r="V13" s="23"/>
      <c r="X13" s="35"/>
      <c r="Z13" s="36"/>
      <c r="AA13" s="24"/>
      <c r="AE13" s="23"/>
    </row>
    <row r="14" customFormat="false" ht="14.25" hidden="false" customHeight="false" outlineLevel="0" collapsed="false">
      <c r="C14" s="0" t="s">
        <v>34</v>
      </c>
      <c r="D14" s="20"/>
      <c r="E14" s="20"/>
      <c r="F14" s="20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3" t="n">
        <f aca="false">SUM(R7:R13)</f>
        <v>3531250</v>
      </c>
      <c r="U14" s="37" t="s">
        <v>35</v>
      </c>
      <c r="V14" s="37" t="s">
        <v>36</v>
      </c>
      <c r="X14" s="21"/>
      <c r="Z14" s="23"/>
      <c r="AA14" s="24"/>
      <c r="AB14" s="23" t="n">
        <f aca="false">SUM(AB7:AB12)</f>
        <v>9674750</v>
      </c>
      <c r="AE14" s="23"/>
    </row>
    <row r="15" customFormat="false" ht="12.75" hidden="false" customHeight="false" outlineLevel="0" collapsed="false">
      <c r="D15" s="20"/>
      <c r="E15" s="20"/>
      <c r="F15" s="20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3"/>
      <c r="S15" s="21"/>
      <c r="T15" s="21"/>
      <c r="U15" s="21"/>
      <c r="V15" s="23"/>
      <c r="X15" s="21"/>
      <c r="Z15" s="23"/>
      <c r="AA15" s="24"/>
      <c r="AB15" s="23"/>
      <c r="AE15" s="23"/>
    </row>
    <row r="16" customFormat="false" ht="12.75" hidden="false" customHeight="false" outlineLevel="0" collapsed="false">
      <c r="C16" s="0" t="s">
        <v>37</v>
      </c>
      <c r="D16" s="21" t="n">
        <f aca="false">SUM(D7:D14)</f>
        <v>20173489</v>
      </c>
      <c r="E16" s="21" t="n">
        <f aca="false">SUM(E7:E15)</f>
        <v>20173489</v>
      </c>
      <c r="F16" s="21" t="n">
        <f aca="false">SUM(F7:F15)</f>
        <v>25000000</v>
      </c>
      <c r="G16" s="21"/>
      <c r="H16" s="21"/>
      <c r="I16" s="21"/>
      <c r="J16" s="21" t="n">
        <f aca="false">SUM(J7:J14)</f>
        <v>20173489</v>
      </c>
      <c r="K16" s="21" t="n">
        <f aca="false">SUM(K7:K14)</f>
        <v>20173489</v>
      </c>
      <c r="L16" s="21"/>
      <c r="M16" s="21" t="n">
        <f aca="false">SUM(M7:M14)</f>
        <v>28173489</v>
      </c>
      <c r="N16" s="21" t="n">
        <f aca="false">SUM(N7:N14)</f>
        <v>31673489</v>
      </c>
      <c r="O16" s="21" t="n">
        <f aca="false">SUM(O7:O14)</f>
        <v>34673489</v>
      </c>
      <c r="P16" s="21" t="n">
        <f aca="false">SUM(P7:P14)</f>
        <v>44412619</v>
      </c>
      <c r="Q16" s="21"/>
      <c r="R16" s="23" t="n">
        <f aca="false">R14</f>
        <v>3531250</v>
      </c>
      <c r="S16" s="21"/>
      <c r="T16" s="21"/>
      <c r="U16" s="21" t="n">
        <f aca="false">SUM(U7:U14)</f>
        <v>45850489</v>
      </c>
      <c r="V16" s="23" t="n">
        <f aca="false">SUM(V7:V14)</f>
        <v>53328489</v>
      </c>
      <c r="X16" s="21" t="n">
        <f aca="false">SUM(X7:X14)</f>
        <v>31269489</v>
      </c>
      <c r="Z16" s="23" t="n">
        <f aca="false">SUM(Z7:Z14)</f>
        <v>28073489</v>
      </c>
      <c r="AA16" s="24"/>
      <c r="AB16" s="23" t="n">
        <f aca="false">AB14</f>
        <v>9674750</v>
      </c>
      <c r="AE16" s="23" t="n">
        <f aca="false">AE11</f>
        <v>31259442.8571429</v>
      </c>
    </row>
    <row r="17" customFormat="false" ht="25.5" hidden="false" customHeight="false" outlineLevel="0" collapsed="false">
      <c r="A17" s="38" t="s">
        <v>38</v>
      </c>
      <c r="B17" s="38"/>
      <c r="D17" s="39" t="n">
        <v>550000</v>
      </c>
      <c r="E17" s="39" t="n">
        <f aca="false">+D17</f>
        <v>550000</v>
      </c>
      <c r="F17" s="39" t="n">
        <f aca="false">+E17</f>
        <v>550000</v>
      </c>
      <c r="G17" s="40"/>
      <c r="H17" s="40"/>
      <c r="I17" s="40"/>
      <c r="J17" s="21" t="n">
        <v>550000</v>
      </c>
      <c r="K17" s="21" t="n">
        <v>550000</v>
      </c>
      <c r="L17" s="21"/>
      <c r="M17" s="21" t="n">
        <f aca="false">D17</f>
        <v>550000</v>
      </c>
      <c r="N17" s="21" t="n">
        <f aca="false">D17</f>
        <v>550000</v>
      </c>
      <c r="O17" s="21" t="n">
        <f aca="false">D17</f>
        <v>550000</v>
      </c>
      <c r="P17" s="21" t="n">
        <f aca="false">D17</f>
        <v>550000</v>
      </c>
      <c r="Q17" s="21"/>
      <c r="R17" s="23" t="n">
        <v>0</v>
      </c>
      <c r="S17" s="21"/>
      <c r="T17" s="21"/>
      <c r="U17" s="21" t="n">
        <f aca="false">N17</f>
        <v>550000</v>
      </c>
      <c r="V17" s="23" t="n">
        <f aca="false">U17</f>
        <v>550000</v>
      </c>
      <c r="X17" s="21" t="n">
        <f aca="false">D17</f>
        <v>550000</v>
      </c>
      <c r="Z17" s="23" t="n">
        <f aca="false">N17</f>
        <v>550000</v>
      </c>
      <c r="AA17" s="24"/>
      <c r="AB17" s="23" t="n">
        <v>0</v>
      </c>
      <c r="AE17" s="23" t="n">
        <v>0</v>
      </c>
    </row>
    <row r="18" customFormat="false" ht="12.75" hidden="false" customHeight="false" outlineLevel="0" collapsed="false">
      <c r="C18" s="0" t="s">
        <v>39</v>
      </c>
      <c r="D18" s="21" t="n">
        <f aca="false">D16+D17</f>
        <v>20723489</v>
      </c>
      <c r="E18" s="21" t="n">
        <f aca="false">+E16+E17</f>
        <v>20723489</v>
      </c>
      <c r="F18" s="21" t="n">
        <f aca="false">+F16+F17</f>
        <v>25550000</v>
      </c>
      <c r="G18" s="21"/>
      <c r="H18" s="21"/>
      <c r="I18" s="21"/>
      <c r="J18" s="21" t="n">
        <f aca="false">J16+J17</f>
        <v>20723489</v>
      </c>
      <c r="K18" s="21" t="n">
        <f aca="false">K16+K17</f>
        <v>20723489</v>
      </c>
      <c r="L18" s="21"/>
      <c r="M18" s="21" t="n">
        <f aca="false">M16+M17</f>
        <v>28723489</v>
      </c>
      <c r="N18" s="21" t="n">
        <f aca="false">N16+N17</f>
        <v>32223489</v>
      </c>
      <c r="O18" s="21" t="n">
        <f aca="false">O16+O17</f>
        <v>35223489</v>
      </c>
      <c r="P18" s="21" t="n">
        <f aca="false">P16+P17</f>
        <v>44962619</v>
      </c>
      <c r="Q18" s="21"/>
      <c r="R18" s="23" t="n">
        <f aca="false">R16+R17</f>
        <v>3531250</v>
      </c>
      <c r="S18" s="21"/>
      <c r="T18" s="21"/>
      <c r="U18" s="21" t="n">
        <f aca="false">U16+U17</f>
        <v>46400489</v>
      </c>
      <c r="V18" s="23" t="n">
        <f aca="false">V16+V17</f>
        <v>53878489</v>
      </c>
      <c r="X18" s="21" t="n">
        <f aca="false">X16+X17</f>
        <v>31819489</v>
      </c>
      <c r="Z18" s="23" t="n">
        <f aca="false">Z16+Z17</f>
        <v>28623489</v>
      </c>
      <c r="AA18" s="24"/>
      <c r="AB18" s="23" t="n">
        <f aca="false">AB16+AB17</f>
        <v>9674750</v>
      </c>
      <c r="AE18" s="23" t="n">
        <f aca="false">AE16+AE17</f>
        <v>31259442.8571429</v>
      </c>
    </row>
    <row r="19" customFormat="false" ht="12.75" hidden="false" customHeight="false" outlineLevel="0" collapsed="false">
      <c r="A19" s="17" t="s">
        <v>40</v>
      </c>
      <c r="B19" s="17"/>
      <c r="C19" s="41" t="n">
        <v>0.15</v>
      </c>
      <c r="D19" s="40" t="n">
        <f aca="false">D18*$C$19</f>
        <v>3108523.35</v>
      </c>
      <c r="E19" s="40" t="n">
        <f aca="false">+E18*$C$19</f>
        <v>3108523.35</v>
      </c>
      <c r="F19" s="40" t="n">
        <f aca="false">+F18*$C$19</f>
        <v>3832500</v>
      </c>
      <c r="G19" s="40"/>
      <c r="H19" s="40"/>
      <c r="I19" s="40"/>
      <c r="J19" s="21" t="n">
        <f aca="false">J18*$C$19</f>
        <v>3108523.35</v>
      </c>
      <c r="K19" s="21" t="n">
        <f aca="false">K18*$C$19</f>
        <v>3108523.35</v>
      </c>
      <c r="L19" s="21"/>
      <c r="M19" s="21" t="n">
        <f aca="false">D19+1200000</f>
        <v>4308523.35</v>
      </c>
      <c r="N19" s="21" t="n">
        <f aca="false">O19-450000</f>
        <v>4833523.35</v>
      </c>
      <c r="O19" s="21" t="n">
        <f aca="false">O18*$C$19</f>
        <v>5283523.35</v>
      </c>
      <c r="P19" s="21" t="n">
        <f aca="false">P18*$C$19</f>
        <v>6744392.85</v>
      </c>
      <c r="Q19" s="21"/>
      <c r="R19" s="42" t="n">
        <v>328750</v>
      </c>
      <c r="S19" s="21"/>
      <c r="T19" s="21"/>
      <c r="U19" s="43" t="n">
        <f aca="false">X19+874860+463676</f>
        <v>5465672.35</v>
      </c>
      <c r="V19" s="42" t="n">
        <f aca="false">X19+1323540+701476</f>
        <v>6152152.35</v>
      </c>
      <c r="X19" s="43" t="n">
        <f aca="false">D19+665760+352853</f>
        <v>4127136.35</v>
      </c>
      <c r="Z19" s="42" t="n">
        <f aca="false">D19+725220</f>
        <v>3833743.35</v>
      </c>
      <c r="AA19" s="24"/>
      <c r="AB19" s="42" t="n">
        <f aca="false">AB18*C19</f>
        <v>1451212.5</v>
      </c>
      <c r="AE19" s="42" t="n">
        <f aca="false">5920000+1480000+4440000+(2327000-2327000/1.4)</f>
        <v>12504857.1428571</v>
      </c>
    </row>
    <row r="20" customFormat="false" ht="12.75" hidden="false" customHeight="false" outlineLevel="0" collapsed="false">
      <c r="C20" s="0" t="s">
        <v>41</v>
      </c>
      <c r="D20" s="21" t="n">
        <f aca="false">D18+D19</f>
        <v>23832012.35</v>
      </c>
      <c r="E20" s="21" t="n">
        <f aca="false">+E19+E18</f>
        <v>23832012.35</v>
      </c>
      <c r="F20" s="21" t="n">
        <f aca="false">+F19+F18</f>
        <v>29382500</v>
      </c>
      <c r="G20" s="21"/>
      <c r="H20" s="21"/>
      <c r="I20" s="21"/>
      <c r="J20" s="21" t="n">
        <f aca="false">J18+J19</f>
        <v>23832012.35</v>
      </c>
      <c r="K20" s="21" t="n">
        <f aca="false">K18+K19</f>
        <v>23832012.35</v>
      </c>
      <c r="L20" s="21"/>
      <c r="M20" s="21" t="n">
        <f aca="false">M18+M19</f>
        <v>33032012.35</v>
      </c>
      <c r="N20" s="21" t="n">
        <f aca="false">N18+N19</f>
        <v>37057012.35</v>
      </c>
      <c r="O20" s="21" t="n">
        <f aca="false">O18+O19</f>
        <v>40507012.35</v>
      </c>
      <c r="P20" s="21" t="n">
        <f aca="false">P18+P19</f>
        <v>51707011.85</v>
      </c>
      <c r="Q20" s="21"/>
      <c r="R20" s="23" t="n">
        <f aca="false">R18+R19</f>
        <v>3860000</v>
      </c>
      <c r="S20" s="21"/>
      <c r="T20" s="21"/>
      <c r="U20" s="21" t="n">
        <f aca="false">U18+U19</f>
        <v>51866161.35</v>
      </c>
      <c r="V20" s="23" t="n">
        <f aca="false">V18+V19</f>
        <v>60030641.35</v>
      </c>
      <c r="X20" s="21" t="n">
        <f aca="false">X18+X19</f>
        <v>35946625.35</v>
      </c>
      <c r="Z20" s="23" t="n">
        <f aca="false">Z18+Z19</f>
        <v>32457232.35</v>
      </c>
      <c r="AA20" s="24"/>
      <c r="AB20" s="23" t="n">
        <f aca="false">AB18+AB19</f>
        <v>11125962.5</v>
      </c>
      <c r="AE20" s="23" t="n">
        <f aca="false">AE18+AE19</f>
        <v>43764300</v>
      </c>
    </row>
    <row r="21" customFormat="false" ht="12.75" hidden="false" customHeight="false" outlineLevel="0" collapsed="false">
      <c r="A21" s="17" t="s">
        <v>42</v>
      </c>
      <c r="B21" s="17"/>
      <c r="C21" s="44" t="n">
        <v>0.1</v>
      </c>
      <c r="D21" s="39" t="n">
        <f aca="false">2386809</f>
        <v>2386809</v>
      </c>
      <c r="E21" s="40" t="n">
        <f aca="false">+E20*($D$21/$D$20)</f>
        <v>2386809</v>
      </c>
      <c r="F21" s="40" t="n">
        <f aca="false">+F20*($D$21/$D$20)</f>
        <v>2942698.01528111</v>
      </c>
      <c r="G21" s="40"/>
      <c r="H21" s="40"/>
      <c r="I21" s="40"/>
      <c r="J21" s="21" t="n">
        <f aca="false">2386809</f>
        <v>2386809</v>
      </c>
      <c r="K21" s="21" t="n">
        <f aca="false">2386809</f>
        <v>2386809</v>
      </c>
      <c r="L21" s="21"/>
      <c r="M21" s="21" t="n">
        <f aca="false">D21+818598</f>
        <v>3205407</v>
      </c>
      <c r="N21" s="21" t="n">
        <f aca="false">O21-698411</f>
        <v>3563545</v>
      </c>
      <c r="O21" s="21" t="n">
        <v>4261956</v>
      </c>
      <c r="P21" s="21" t="n">
        <f aca="false">5312114</f>
        <v>5312114</v>
      </c>
      <c r="Q21" s="21"/>
      <c r="R21" s="42" t="n">
        <f aca="false">R20*C21</f>
        <v>386000</v>
      </c>
      <c r="S21" s="21"/>
      <c r="T21" s="21"/>
      <c r="U21" s="43" t="n">
        <f aca="false">X21+2601871</f>
        <v>7051497</v>
      </c>
      <c r="V21" s="42" t="n">
        <f aca="false">X21+3936264</f>
        <v>8385890</v>
      </c>
      <c r="X21" s="43" t="n">
        <f aca="false">D21+2062817</f>
        <v>4449626</v>
      </c>
      <c r="Z21" s="42" t="n">
        <f aca="false">D21+1468660</f>
        <v>3855469</v>
      </c>
      <c r="AA21" s="24"/>
      <c r="AB21" s="42" t="n">
        <f aca="false">AB20*C21</f>
        <v>1112596.25</v>
      </c>
      <c r="AE21" s="42" t="n">
        <f aca="false">AE20*C21</f>
        <v>4376430</v>
      </c>
    </row>
    <row r="22" customFormat="false" ht="12.75" hidden="false" customHeight="false" outlineLevel="0" collapsed="false">
      <c r="C22" s="0" t="s">
        <v>43</v>
      </c>
      <c r="D22" s="21" t="n">
        <f aca="false">D20+D21</f>
        <v>26218821.35</v>
      </c>
      <c r="E22" s="21" t="n">
        <f aca="false">+E21+E20</f>
        <v>26218821.35</v>
      </c>
      <c r="F22" s="21" t="n">
        <f aca="false">+F21+F20</f>
        <v>32325198.0152811</v>
      </c>
      <c r="G22" s="21"/>
      <c r="H22" s="21"/>
      <c r="I22" s="21"/>
      <c r="J22" s="21" t="n">
        <f aca="false">J20+J21</f>
        <v>26218821.35</v>
      </c>
      <c r="K22" s="21" t="n">
        <f aca="false">K20+K21</f>
        <v>26218821.35</v>
      </c>
      <c r="L22" s="21"/>
      <c r="M22" s="21" t="n">
        <f aca="false">M20+M21</f>
        <v>36237419.35</v>
      </c>
      <c r="N22" s="21" t="n">
        <f aca="false">N20+N21</f>
        <v>40620557.35</v>
      </c>
      <c r="O22" s="21" t="n">
        <f aca="false">O20+O21</f>
        <v>44768968.35</v>
      </c>
      <c r="P22" s="21" t="n">
        <f aca="false">P20+P21</f>
        <v>57019125.85</v>
      </c>
      <c r="Q22" s="21"/>
      <c r="R22" s="23" t="n">
        <f aca="false">R20+R21</f>
        <v>4246000</v>
      </c>
      <c r="S22" s="21"/>
      <c r="T22" s="21"/>
      <c r="U22" s="21" t="n">
        <f aca="false">U20+U21</f>
        <v>58917658.35</v>
      </c>
      <c r="V22" s="23" t="n">
        <f aca="false">V20+V21</f>
        <v>68416531.35</v>
      </c>
      <c r="X22" s="21" t="n">
        <f aca="false">X20+X21</f>
        <v>40396251.35</v>
      </c>
      <c r="Z22" s="23" t="n">
        <f aca="false">Z20+Z21</f>
        <v>36312701.35</v>
      </c>
      <c r="AA22" s="24"/>
      <c r="AB22" s="23" t="n">
        <f aca="false">AB20+AB21</f>
        <v>12238558.75</v>
      </c>
      <c r="AE22" s="23" t="n">
        <f aca="false">AE20+AE21</f>
        <v>48140730</v>
      </c>
    </row>
    <row r="23" customFormat="false" ht="12.75" hidden="false" customHeight="false" outlineLevel="0" collapsed="false">
      <c r="A23" s="17" t="s">
        <v>44</v>
      </c>
      <c r="B23" s="17"/>
      <c r="D23" s="40" t="n">
        <f aca="false">D17</f>
        <v>550000</v>
      </c>
      <c r="E23" s="40" t="n">
        <f aca="false">+D23</f>
        <v>550000</v>
      </c>
      <c r="F23" s="40" t="n">
        <f aca="false">+E23</f>
        <v>550000</v>
      </c>
      <c r="G23" s="40"/>
      <c r="H23" s="40"/>
      <c r="I23" s="40"/>
      <c r="J23" s="21" t="n">
        <f aca="false">J17</f>
        <v>550000</v>
      </c>
      <c r="K23" s="21" t="n">
        <f aca="false">K17</f>
        <v>550000</v>
      </c>
      <c r="L23" s="21"/>
      <c r="M23" s="21" t="n">
        <f aca="false">M17</f>
        <v>550000</v>
      </c>
      <c r="N23" s="21" t="n">
        <f aca="false">N17</f>
        <v>550000</v>
      </c>
      <c r="O23" s="21" t="n">
        <f aca="false">O17</f>
        <v>550000</v>
      </c>
      <c r="P23" s="21" t="n">
        <f aca="false">P17</f>
        <v>550000</v>
      </c>
      <c r="Q23" s="21"/>
      <c r="R23" s="23" t="n">
        <f aca="false">R17</f>
        <v>0</v>
      </c>
      <c r="S23" s="21"/>
      <c r="T23" s="21"/>
      <c r="U23" s="21" t="n">
        <f aca="false">U17</f>
        <v>550000</v>
      </c>
      <c r="V23" s="23" t="n">
        <f aca="false">U23</f>
        <v>550000</v>
      </c>
      <c r="X23" s="21" t="n">
        <f aca="false">X17</f>
        <v>550000</v>
      </c>
      <c r="Z23" s="23" t="n">
        <f aca="false">Z17</f>
        <v>550000</v>
      </c>
      <c r="AA23" s="24"/>
      <c r="AB23" s="23" t="n">
        <f aca="false">AB17</f>
        <v>0</v>
      </c>
      <c r="AE23" s="23" t="n">
        <f aca="false">AE17</f>
        <v>0</v>
      </c>
    </row>
    <row r="24" customFormat="false" ht="12.75" hidden="false" customHeight="false" outlineLevel="0" collapsed="false">
      <c r="C24" s="17" t="s">
        <v>45</v>
      </c>
      <c r="D24" s="21" t="n">
        <f aca="false">D22-D23</f>
        <v>25668821.35</v>
      </c>
      <c r="E24" s="21" t="n">
        <f aca="false">+E22-E23</f>
        <v>25668821.35</v>
      </c>
      <c r="F24" s="21" t="n">
        <f aca="false">+F22-F23</f>
        <v>31775198.0152811</v>
      </c>
      <c r="G24" s="21"/>
      <c r="H24" s="21"/>
      <c r="I24" s="21"/>
      <c r="J24" s="21" t="n">
        <f aca="false">J22-J23</f>
        <v>25668821.35</v>
      </c>
      <c r="K24" s="21" t="n">
        <f aca="false">K22-K23</f>
        <v>25668821.35</v>
      </c>
      <c r="L24" s="21"/>
      <c r="M24" s="21" t="n">
        <f aca="false">M22-M23</f>
        <v>35687419.35</v>
      </c>
      <c r="N24" s="21" t="n">
        <f aca="false">N22-N23</f>
        <v>40070557.35</v>
      </c>
      <c r="O24" s="21" t="n">
        <f aca="false">O22-O23</f>
        <v>44218968.35</v>
      </c>
      <c r="P24" s="21" t="n">
        <f aca="false">P22-P23</f>
        <v>56469125.85</v>
      </c>
      <c r="Q24" s="21"/>
      <c r="R24" s="23" t="n">
        <f aca="false">R22-R23</f>
        <v>4246000</v>
      </c>
      <c r="S24" s="21"/>
      <c r="T24" s="21"/>
      <c r="U24" s="21" t="n">
        <f aca="false">U22-U23</f>
        <v>58367658.35</v>
      </c>
      <c r="V24" s="23" t="n">
        <f aca="false">V22-V23</f>
        <v>67866531.35</v>
      </c>
      <c r="X24" s="21" t="n">
        <f aca="false">X22-X23</f>
        <v>39846251.35</v>
      </c>
      <c r="Z24" s="23" t="n">
        <f aca="false">Z22-Z23</f>
        <v>35762701.35</v>
      </c>
      <c r="AA24" s="24"/>
      <c r="AB24" s="23" t="n">
        <f aca="false">AB22-AB23</f>
        <v>12238558.75</v>
      </c>
      <c r="AE24" s="23" t="n">
        <f aca="false">AE22-AE23</f>
        <v>48140730</v>
      </c>
    </row>
    <row r="25" customFormat="false" ht="12.75" hidden="false" customHeight="false" outlineLevel="0" collapsed="false">
      <c r="A25" s="17" t="s">
        <v>46</v>
      </c>
      <c r="B25" s="17"/>
      <c r="D25" s="45" t="n">
        <v>155086000</v>
      </c>
      <c r="E25" s="45" t="n">
        <f aca="false">+D25</f>
        <v>155086000</v>
      </c>
      <c r="F25" s="45" t="n">
        <f aca="false">+E25</f>
        <v>155086000</v>
      </c>
      <c r="G25" s="21"/>
      <c r="H25" s="21"/>
      <c r="I25" s="21"/>
      <c r="J25" s="21" t="n">
        <v>155086000</v>
      </c>
      <c r="K25" s="21" t="n">
        <v>155086000</v>
      </c>
      <c r="L25" s="21"/>
      <c r="M25" s="21" t="n">
        <f aca="false">D25</f>
        <v>155086000</v>
      </c>
      <c r="N25" s="21" t="n">
        <f aca="false">D25</f>
        <v>155086000</v>
      </c>
      <c r="O25" s="21" t="n">
        <f aca="false">D25</f>
        <v>155086000</v>
      </c>
      <c r="P25" s="21" t="n">
        <f aca="false">D25</f>
        <v>155086000</v>
      </c>
      <c r="Q25" s="21"/>
      <c r="R25" s="23" t="n">
        <v>0</v>
      </c>
      <c r="S25" s="21"/>
      <c r="T25" s="21"/>
      <c r="U25" s="21" t="n">
        <v>155086000</v>
      </c>
      <c r="V25" s="23" t="n">
        <v>155086000</v>
      </c>
      <c r="X25" s="21" t="n">
        <v>155086000</v>
      </c>
      <c r="Z25" s="23" t="n">
        <v>155086000</v>
      </c>
      <c r="AA25" s="24"/>
      <c r="AB25" s="23" t="n">
        <v>0</v>
      </c>
      <c r="AE25" s="23" t="n">
        <v>0</v>
      </c>
    </row>
    <row r="26" customFormat="false" ht="12.75" hidden="false" customHeight="false" outlineLevel="0" collapsed="false"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4"/>
      <c r="S26" s="21"/>
      <c r="T26" s="21"/>
      <c r="V26" s="24"/>
      <c r="Z26" s="24"/>
      <c r="AA26" s="24"/>
      <c r="AB26" s="24"/>
      <c r="AE26" s="24"/>
    </row>
    <row r="27" customFormat="false" ht="12.75" hidden="false" customHeight="false" outlineLevel="0" collapsed="false">
      <c r="A27" s="17" t="s">
        <v>47</v>
      </c>
      <c r="B27" s="17"/>
      <c r="D27" s="21" t="n">
        <f aca="false">D24+D25</f>
        <v>180754821.35</v>
      </c>
      <c r="E27" s="21" t="n">
        <f aca="false">+E24+E25</f>
        <v>180754821.35</v>
      </c>
      <c r="F27" s="21" t="n">
        <f aca="false">+F24+F25</f>
        <v>186861198.015281</v>
      </c>
      <c r="G27" s="21"/>
      <c r="H27" s="21"/>
      <c r="I27" s="21"/>
      <c r="J27" s="21" t="n">
        <f aca="false">J24+J25</f>
        <v>180754821.35</v>
      </c>
      <c r="K27" s="21" t="n">
        <f aca="false">K24+K25</f>
        <v>180754821.35</v>
      </c>
      <c r="L27" s="21"/>
      <c r="M27" s="21" t="n">
        <f aca="false">M24+M25</f>
        <v>190773419.35</v>
      </c>
      <c r="N27" s="21" t="n">
        <f aca="false">N24+N25</f>
        <v>195156557.35</v>
      </c>
      <c r="O27" s="21" t="n">
        <f aca="false">O24+O25</f>
        <v>199304968.35</v>
      </c>
      <c r="P27" s="21" t="n">
        <f aca="false">P24+P25</f>
        <v>211555125.85</v>
      </c>
      <c r="Q27" s="21"/>
      <c r="R27" s="23" t="n">
        <f aca="false">R24+R25</f>
        <v>4246000</v>
      </c>
      <c r="S27" s="21"/>
      <c r="T27" s="21"/>
      <c r="U27" s="21" t="n">
        <f aca="false">U24+U25</f>
        <v>213453658.35</v>
      </c>
      <c r="V27" s="23" t="n">
        <f aca="false">V24+V25</f>
        <v>222952531.35</v>
      </c>
      <c r="X27" s="21" t="n">
        <f aca="false">X24+X25</f>
        <v>194932251.35</v>
      </c>
      <c r="Z27" s="23" t="n">
        <f aca="false">Z24+Z25</f>
        <v>190848701.35</v>
      </c>
      <c r="AA27" s="24"/>
      <c r="AB27" s="23" t="n">
        <f aca="false">AB24+AB25</f>
        <v>12238558.75</v>
      </c>
      <c r="AE27" s="23" t="n">
        <f aca="false">AE24+AE25</f>
        <v>48140730</v>
      </c>
    </row>
    <row r="28" customFormat="false" ht="12.75" hidden="false" customHeight="false" outlineLevel="0" collapsed="false">
      <c r="A28" s="17" t="s">
        <v>48</v>
      </c>
      <c r="B28" s="17"/>
      <c r="D28" s="39" t="n">
        <v>3500000</v>
      </c>
      <c r="E28" s="39" t="n">
        <v>3500000</v>
      </c>
      <c r="F28" s="39" t="n">
        <v>3500000</v>
      </c>
      <c r="G28" s="40"/>
      <c r="H28" s="40"/>
      <c r="I28" s="40"/>
      <c r="J28" s="21"/>
      <c r="K28" s="21"/>
      <c r="L28" s="21"/>
      <c r="M28" s="21"/>
      <c r="N28" s="21"/>
      <c r="O28" s="21"/>
      <c r="P28" s="21"/>
      <c r="Q28" s="21"/>
      <c r="R28" s="23"/>
      <c r="S28" s="21"/>
      <c r="T28" s="21"/>
      <c r="U28" s="21"/>
      <c r="V28" s="23"/>
      <c r="X28" s="21"/>
      <c r="Z28" s="23"/>
      <c r="AA28" s="24"/>
      <c r="AB28" s="23"/>
      <c r="AE28" s="23"/>
    </row>
    <row r="29" customFormat="false" ht="12.75" hidden="false" customHeight="false" outlineLevel="0" collapsed="false">
      <c r="A29" s="17" t="s">
        <v>49</v>
      </c>
      <c r="B29" s="17"/>
      <c r="D29" s="21" t="n">
        <f aca="false">+D27-D28</f>
        <v>177254821.35</v>
      </c>
      <c r="E29" s="21" t="n">
        <f aca="false">+E27-E28</f>
        <v>177254821.35</v>
      </c>
      <c r="F29" s="21" t="n">
        <f aca="false">+F27-F28</f>
        <v>183361198.015281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3"/>
      <c r="S29" s="21"/>
      <c r="T29" s="21"/>
      <c r="U29" s="21"/>
      <c r="V29" s="23"/>
      <c r="X29" s="21"/>
      <c r="Z29" s="23"/>
      <c r="AA29" s="24"/>
      <c r="AB29" s="23"/>
      <c r="AE29" s="23"/>
    </row>
    <row r="30" customFormat="false" ht="12.75" hidden="false" customHeight="false" outlineLevel="0" collapsed="false">
      <c r="A30" s="17"/>
      <c r="B30" s="17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3"/>
      <c r="S30" s="21"/>
      <c r="T30" s="21"/>
      <c r="U30" s="21"/>
      <c r="V30" s="23"/>
      <c r="X30" s="21"/>
      <c r="Z30" s="23"/>
      <c r="AA30" s="24"/>
      <c r="AB30" s="23"/>
      <c r="AE30" s="23"/>
    </row>
    <row r="31" customFormat="false" ht="12.75" hidden="false" customHeight="false" outlineLevel="0" collapsed="false">
      <c r="A31" s="17" t="s">
        <v>50</v>
      </c>
      <c r="B31" s="17"/>
      <c r="D31" s="21" t="n">
        <v>70491601</v>
      </c>
      <c r="E31" s="21" t="n">
        <f aca="false">+E27-108703378-(E37/2)</f>
        <v>70491600.92212</v>
      </c>
      <c r="F31" s="21" t="n">
        <f aca="false">+F27-108703378-(F37/2)</f>
        <v>76544241.4727466</v>
      </c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3"/>
      <c r="S31" s="21"/>
      <c r="T31" s="21"/>
      <c r="U31" s="21"/>
      <c r="V31" s="23"/>
      <c r="X31" s="21"/>
      <c r="Z31" s="23"/>
      <c r="AA31" s="24"/>
      <c r="AB31" s="23"/>
      <c r="AE31" s="23"/>
    </row>
    <row r="32" customFormat="false" ht="12.75" hidden="false" customHeight="false" outlineLevel="0" collapsed="false">
      <c r="A32" s="17" t="s">
        <v>51</v>
      </c>
      <c r="B32" s="17"/>
      <c r="D32" s="21" t="n">
        <v>-16016851</v>
      </c>
      <c r="E32" s="21" t="n">
        <f aca="false">-16374000+(0.02782745*E24)/2</f>
        <v>-16016851.078662</v>
      </c>
      <c r="F32" s="21" t="n">
        <f aca="false">-16374000+(0.02782745*F24)/2</f>
        <v>-15931888.6329948</v>
      </c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3"/>
      <c r="S32" s="21"/>
      <c r="T32" s="21"/>
      <c r="U32" s="21"/>
      <c r="V32" s="23"/>
      <c r="X32" s="21"/>
      <c r="Z32" s="23"/>
      <c r="AA32" s="24"/>
      <c r="AB32" s="23"/>
      <c r="AE32" s="23"/>
    </row>
    <row r="33" customFormat="false" ht="12.75" hidden="false" customHeight="false" outlineLevel="0" collapsed="false">
      <c r="A33" s="17" t="s">
        <v>52</v>
      </c>
      <c r="B33" s="17"/>
      <c r="D33" s="39" t="n">
        <v>2296000</v>
      </c>
      <c r="E33" s="39" t="n">
        <f aca="false">+D33</f>
        <v>2296000</v>
      </c>
      <c r="F33" s="39" t="n">
        <f aca="false">+E33</f>
        <v>2296000</v>
      </c>
      <c r="G33" s="40"/>
      <c r="H33" s="40"/>
      <c r="I33" s="40"/>
      <c r="J33" s="21"/>
      <c r="K33" s="21"/>
      <c r="L33" s="21"/>
      <c r="M33" s="21"/>
      <c r="N33" s="21"/>
      <c r="O33" s="21"/>
      <c r="P33" s="21"/>
      <c r="Q33" s="21"/>
      <c r="R33" s="23"/>
      <c r="S33" s="21"/>
      <c r="T33" s="21"/>
      <c r="U33" s="21"/>
      <c r="V33" s="23"/>
      <c r="X33" s="21"/>
      <c r="Z33" s="23"/>
      <c r="AA33" s="24"/>
      <c r="AB33" s="23"/>
      <c r="AE33" s="23"/>
    </row>
    <row r="34" customFormat="false" ht="12.75" hidden="false" customHeight="false" outlineLevel="0" collapsed="false">
      <c r="A34" s="46" t="s">
        <v>53</v>
      </c>
      <c r="B34" s="17"/>
      <c r="D34" s="21" t="n">
        <f aca="false">+D31+D32+D33</f>
        <v>56770750</v>
      </c>
      <c r="E34" s="21" t="n">
        <f aca="false">SUM(E31:E33)</f>
        <v>56770749.843458</v>
      </c>
      <c r="F34" s="21" t="n">
        <f aca="false">SUM(F31:F33)</f>
        <v>62908352.8397518</v>
      </c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3"/>
      <c r="S34" s="21"/>
      <c r="T34" s="21"/>
      <c r="U34" s="21"/>
      <c r="V34" s="23"/>
      <c r="X34" s="21"/>
      <c r="Z34" s="23"/>
      <c r="AA34" s="24"/>
      <c r="AB34" s="23"/>
      <c r="AE34" s="23"/>
    </row>
    <row r="35" customFormat="false" ht="13.5" hidden="false" customHeight="false" outlineLevel="0" collapsed="false"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47"/>
      <c r="S35" s="21"/>
      <c r="T35" s="21"/>
      <c r="U35" s="48" t="s">
        <v>54</v>
      </c>
      <c r="V35" s="47" t="s">
        <v>55</v>
      </c>
      <c r="X35" s="48" t="s">
        <v>56</v>
      </c>
      <c r="Z35" s="47"/>
      <c r="AA35" s="24"/>
      <c r="AB35" s="47"/>
      <c r="AE35" s="47"/>
    </row>
    <row r="36" customFormat="false" ht="13.5" hidden="false" customHeight="false" outlineLevel="0" collapsed="false">
      <c r="A36" s="7" t="s">
        <v>57</v>
      </c>
      <c r="B36" s="8"/>
      <c r="C36" s="21"/>
      <c r="R36" s="23"/>
      <c r="U36" s="21"/>
      <c r="V36" s="23"/>
      <c r="Z36" s="24"/>
      <c r="AA36" s="24"/>
      <c r="AB36" s="23"/>
      <c r="AE36" s="23"/>
    </row>
    <row r="37" customFormat="false" ht="12.75" hidden="false" customHeight="false" outlineLevel="0" collapsed="false">
      <c r="A37" s="17" t="s">
        <v>58</v>
      </c>
      <c r="B37" s="17"/>
      <c r="C37" s="49" t="n">
        <v>0.0176</v>
      </c>
      <c r="D37" s="21" t="n">
        <f aca="false">3119685</f>
        <v>3119685</v>
      </c>
      <c r="E37" s="21" t="n">
        <f aca="false">+(E27-E28)*$C$37</f>
        <v>3119684.85576</v>
      </c>
      <c r="F37" s="21" t="n">
        <f aca="false">+(F27-F28)*$C$37</f>
        <v>3227157.08506895</v>
      </c>
      <c r="G37" s="21"/>
      <c r="H37" s="21"/>
      <c r="I37" s="21"/>
      <c r="J37" s="21" t="n">
        <f aca="false">3119685</f>
        <v>3119685</v>
      </c>
      <c r="K37" s="21" t="n">
        <f aca="false">3119685</f>
        <v>3119685</v>
      </c>
      <c r="L37" s="21"/>
      <c r="M37" s="21" t="n">
        <f aca="false">D37+176327</f>
        <v>3296012</v>
      </c>
      <c r="N37" s="21" t="n">
        <f aca="false">O37-73012</f>
        <v>3373155</v>
      </c>
      <c r="O37" s="21" t="n">
        <f aca="false">P37-215603</f>
        <v>3446167</v>
      </c>
      <c r="P37" s="21" t="n">
        <v>3661770</v>
      </c>
      <c r="Q37" s="21"/>
      <c r="R37" s="23" t="n">
        <f aca="false">(P37-O37)/($P$27-$O$27)*$R$27</f>
        <v>74729.6790265758</v>
      </c>
      <c r="U37" s="21" t="n">
        <v>3695185</v>
      </c>
      <c r="V37" s="23" t="n">
        <f aca="false">X37/X27*V27</f>
        <v>3853510.37112859</v>
      </c>
      <c r="X37" s="21" t="n">
        <v>3369208</v>
      </c>
      <c r="Z37" s="23" t="n">
        <f aca="false">X37/X27*Z27</f>
        <v>3298627.9434259</v>
      </c>
      <c r="AA37" s="24"/>
      <c r="AB37" s="23" t="n">
        <f aca="false">D37*$AB$27/$D$27</f>
        <v>211227.827113192</v>
      </c>
      <c r="AE37" s="23" t="n">
        <f aca="false">D37*$AE$27/$D$27</f>
        <v>830870.856712835</v>
      </c>
    </row>
    <row r="38" customFormat="false" ht="12.75" hidden="false" customHeight="false" outlineLevel="0" collapsed="false">
      <c r="A38" s="17" t="s">
        <v>59</v>
      </c>
      <c r="B38" s="50" t="n">
        <v>0.409731113956466</v>
      </c>
      <c r="C38" s="51" t="n">
        <v>0.0781</v>
      </c>
      <c r="D38" s="21" t="n">
        <v>1816664</v>
      </c>
      <c r="E38" s="21" t="n">
        <f aca="false">+E34*$B$38*$C$38</f>
        <v>1816663.99499066</v>
      </c>
      <c r="F38" s="21" t="n">
        <f aca="false">+F34*$B$38*$C$38</f>
        <v>2013067.29087206</v>
      </c>
      <c r="G38" s="21"/>
      <c r="H38" s="21"/>
      <c r="I38" s="21"/>
      <c r="J38" s="21" t="n">
        <v>1816664</v>
      </c>
      <c r="K38" s="21" t="n">
        <v>1816664</v>
      </c>
      <c r="L38" s="21"/>
      <c r="M38" s="21" t="n">
        <f aca="false">D38+315754</f>
        <v>2132418</v>
      </c>
      <c r="N38" s="21" t="n">
        <f aca="false">O38-130744</f>
        <v>2270560</v>
      </c>
      <c r="O38" s="21" t="n">
        <f aca="false">2787389-386085</f>
        <v>2401304</v>
      </c>
      <c r="P38" s="21" t="n">
        <v>2787389</v>
      </c>
      <c r="Q38" s="21"/>
      <c r="R38" s="23" t="n">
        <f aca="false">(P38-O38)/($P$27-$O$27)*$R$27</f>
        <v>133820.068027697</v>
      </c>
      <c r="U38" s="26" t="n">
        <v>9413638</v>
      </c>
      <c r="V38" s="27" t="n">
        <f aca="false">X38+(U38-X38)/(U$27-X$27)*(V$27-X$27)</f>
        <v>10403441.7941478</v>
      </c>
      <c r="X38" s="26" t="n">
        <v>7483666</v>
      </c>
      <c r="Z38" s="27" t="n">
        <f aca="false">(D38+D39)+(X38-D38-D39)/(X27-D27)*(Z27-D27)</f>
        <v>7058150.64428673</v>
      </c>
      <c r="AA38" s="24"/>
      <c r="AB38" s="27" t="n">
        <f aca="false">($U38-$X38)/$U11*$AB14</f>
        <v>1280570.37288252</v>
      </c>
      <c r="AE38" s="27" t="n">
        <f aca="false">($U38-$X38)/$U$11*$AE$11</f>
        <v>4137565.97283353</v>
      </c>
    </row>
    <row r="39" customFormat="false" ht="12.75" hidden="false" customHeight="false" outlineLevel="0" collapsed="false">
      <c r="A39" s="17" t="s">
        <v>60</v>
      </c>
      <c r="B39" s="50" t="n">
        <v>0.590399950678827</v>
      </c>
      <c r="C39" s="51" t="n">
        <v>0.125</v>
      </c>
      <c r="D39" s="21" t="n">
        <v>4189681</v>
      </c>
      <c r="E39" s="21" t="n">
        <f aca="false">+E34*$B$39*$C$39</f>
        <v>4189680.9884472</v>
      </c>
      <c r="F39" s="21" t="n">
        <f aca="false">+F34*$B$39*$C$39</f>
        <v>4642636.05173446</v>
      </c>
      <c r="G39" s="21"/>
      <c r="H39" s="21"/>
      <c r="I39" s="21"/>
      <c r="J39" s="21" t="n">
        <v>4189681</v>
      </c>
      <c r="K39" s="21" t="n">
        <v>4189681</v>
      </c>
      <c r="L39" s="21"/>
      <c r="M39" s="21" t="n">
        <f aca="false">D39+728206</f>
        <v>4917887</v>
      </c>
      <c r="N39" s="21" t="n">
        <f aca="false">O39-301530</f>
        <v>5236478</v>
      </c>
      <c r="O39" s="21" t="n">
        <v>5538008</v>
      </c>
      <c r="P39" s="21" t="n">
        <v>6428417</v>
      </c>
      <c r="Q39" s="21"/>
      <c r="R39" s="23" t="n">
        <f aca="false">(P39-O39)/($P$27-$O$27)*$R$27</f>
        <v>308622.694361277</v>
      </c>
      <c r="U39" s="29"/>
      <c r="V39" s="30"/>
      <c r="X39" s="29"/>
      <c r="Z39" s="30"/>
      <c r="AA39" s="24"/>
      <c r="AB39" s="30"/>
      <c r="AE39" s="30"/>
    </row>
    <row r="40" customFormat="false" ht="12.75" hidden="false" customHeight="false" outlineLevel="0" collapsed="false">
      <c r="A40" s="17" t="s">
        <v>61</v>
      </c>
      <c r="B40" s="17"/>
      <c r="C40" s="52"/>
      <c r="D40" s="20" t="n">
        <v>562291</v>
      </c>
      <c r="E40" s="21" t="n">
        <f aca="false">+E21*($D$40/$D$21)</f>
        <v>562291</v>
      </c>
      <c r="F40" s="21" t="n">
        <f aca="false">+F21*($D$40/$D$21)</f>
        <v>693248.856406371</v>
      </c>
      <c r="G40" s="21"/>
      <c r="H40" s="21"/>
      <c r="I40" s="21"/>
      <c r="J40" s="21" t="n">
        <v>562291</v>
      </c>
      <c r="K40" s="21" t="n">
        <v>562291</v>
      </c>
      <c r="L40" s="21"/>
      <c r="M40" s="21" t="n">
        <f aca="false">D40+23689</f>
        <v>585980</v>
      </c>
      <c r="N40" s="21" t="n">
        <f aca="false">O40-5730</f>
        <v>596344</v>
      </c>
      <c r="O40" s="21" t="n">
        <v>602074</v>
      </c>
      <c r="P40" s="21" t="n">
        <v>632465</v>
      </c>
      <c r="Q40" s="21"/>
      <c r="R40" s="23" t="n">
        <f aca="false">(P40-O40)/($P$27-$O$27)*$R$27</f>
        <v>10533.7573006714</v>
      </c>
      <c r="U40" s="21" t="n">
        <v>656416</v>
      </c>
      <c r="V40" s="53" t="n">
        <f aca="false">X40+(U40-X40)/(U$27-X$27)*(V$27-X$27)</f>
        <v>683341.618090084</v>
      </c>
      <c r="X40" s="21" t="n">
        <v>603915</v>
      </c>
      <c r="Z40" s="23" t="n">
        <f aca="false">D40</f>
        <v>562291</v>
      </c>
      <c r="AA40" s="24"/>
      <c r="AB40" s="23" t="n">
        <f aca="false">(U40-X40)/U$11*AB$16</f>
        <v>34835.337065359</v>
      </c>
      <c r="AE40" s="53" t="n">
        <f aca="false">($U40-$X40)/$U$11*$AE$11</f>
        <v>112554.1464538</v>
      </c>
    </row>
    <row r="41" customFormat="false" ht="12.75" hidden="false" customHeight="false" outlineLevel="0" collapsed="false">
      <c r="A41" s="17" t="s">
        <v>62</v>
      </c>
      <c r="B41" s="17"/>
      <c r="C41" s="51" t="n">
        <v>0.363338640817761</v>
      </c>
      <c r="D41" s="21" t="n">
        <v>2667408</v>
      </c>
      <c r="E41" s="21" t="n">
        <f aca="false">+E39*(1-$C$41)</f>
        <v>2667407.99264478</v>
      </c>
      <c r="F41" s="21" t="n">
        <f aca="false">+F39*(1-$C$41)</f>
        <v>2955786.97888573</v>
      </c>
      <c r="G41" s="21"/>
      <c r="H41" s="21"/>
      <c r="I41" s="21"/>
      <c r="J41" s="21" t="n">
        <v>2667408</v>
      </c>
      <c r="K41" s="21" t="n">
        <v>2667408</v>
      </c>
      <c r="L41" s="21"/>
      <c r="M41" s="21" t="n">
        <f aca="false">D41+463621</f>
        <v>3131029</v>
      </c>
      <c r="N41" s="21" t="n">
        <f aca="false">O41-191972</f>
        <v>3333863</v>
      </c>
      <c r="O41" s="21" t="n">
        <v>3525835</v>
      </c>
      <c r="P41" s="21" t="n">
        <v>4092723</v>
      </c>
      <c r="Q41" s="21"/>
      <c r="R41" s="23" t="n">
        <f aca="false">(P41-O41)/($P$27-$O$27)*$R$27</f>
        <v>196487.796014051</v>
      </c>
      <c r="U41" s="21" t="n">
        <v>4180580</v>
      </c>
      <c r="V41" s="53" t="n">
        <f aca="false">X41+(U41-X41)/(U$27-X$27)*(V$27-X$27)</f>
        <v>4620150.03653562</v>
      </c>
      <c r="X41" s="21" t="n">
        <v>3323483</v>
      </c>
      <c r="Z41" s="23" t="n">
        <f aca="false">D41+(X41-D41)/(X27-D27)*(Z27-D27)</f>
        <v>3134512.56838792</v>
      </c>
      <c r="AA41" s="24"/>
      <c r="AB41" s="23" t="n">
        <f aca="false">(U41-X41)/U$11*AB$16</f>
        <v>568698.93702421</v>
      </c>
      <c r="AE41" s="53" t="n">
        <f aca="false">($U41-$X41)/$U$11*$AE$11</f>
        <v>1837485.40528966</v>
      </c>
    </row>
    <row r="42" customFormat="false" ht="12.75" hidden="false" customHeight="false" outlineLevel="0" collapsed="false">
      <c r="A42" s="17" t="s">
        <v>63</v>
      </c>
      <c r="B42" s="17"/>
      <c r="D42" s="20" t="n">
        <v>1200000</v>
      </c>
      <c r="E42" s="20" t="n">
        <v>1200000</v>
      </c>
      <c r="F42" s="20" t="n">
        <v>1200000</v>
      </c>
      <c r="G42" s="21"/>
      <c r="H42" s="21"/>
      <c r="I42" s="21"/>
      <c r="J42" s="21" t="n">
        <v>1200000</v>
      </c>
      <c r="K42" s="21" t="n">
        <v>1200000</v>
      </c>
      <c r="L42" s="21"/>
      <c r="M42" s="21" t="n">
        <f aca="false">D42+400000</f>
        <v>1600000</v>
      </c>
      <c r="N42" s="21" t="n">
        <f aca="false">O42-200000</f>
        <v>1865300</v>
      </c>
      <c r="O42" s="21" t="n">
        <v>2065300</v>
      </c>
      <c r="P42" s="21" t="n">
        <v>2500000</v>
      </c>
      <c r="Q42" s="21"/>
      <c r="R42" s="23" t="n">
        <f aca="false">(P42-O42)/($P$27-$O$27)*$R$27</f>
        <v>150670.405666213</v>
      </c>
      <c r="U42" s="21" t="n">
        <v>2600000</v>
      </c>
      <c r="V42" s="53" t="n">
        <f aca="false">X42+(U42-X42)/(U$27-X$27)*(V$27-X$27)</f>
        <v>3010287.31780474</v>
      </c>
      <c r="X42" s="21" t="n">
        <v>1800000</v>
      </c>
      <c r="Z42" s="23" t="n">
        <v>1600000</v>
      </c>
      <c r="AA42" s="24"/>
      <c r="AB42" s="23" t="n">
        <f aca="false">(U42-X42)/U$11*AB$16</f>
        <v>530814.07310884</v>
      </c>
      <c r="AE42" s="53" t="n">
        <f aca="false">($U42-$X42)/$U$11*$AE$11</f>
        <v>1715078.13495057</v>
      </c>
    </row>
    <row r="43" customFormat="false" ht="12.75" hidden="false" customHeight="false" outlineLevel="0" collapsed="false">
      <c r="A43" s="17" t="s">
        <v>64</v>
      </c>
      <c r="B43" s="17"/>
      <c r="D43" s="39" t="n">
        <v>7112000</v>
      </c>
      <c r="E43" s="39" t="n">
        <v>7112000</v>
      </c>
      <c r="F43" s="39" t="n">
        <v>7112000</v>
      </c>
      <c r="G43" s="40"/>
      <c r="H43" s="40"/>
      <c r="I43" s="40"/>
      <c r="J43" s="40" t="n">
        <v>7112000</v>
      </c>
      <c r="K43" s="40" t="n">
        <v>7112000</v>
      </c>
      <c r="L43" s="54"/>
      <c r="M43" s="40" t="n">
        <v>7362600</v>
      </c>
      <c r="N43" s="40" t="n">
        <v>7362600</v>
      </c>
      <c r="O43" s="40" t="n">
        <v>7362600</v>
      </c>
      <c r="P43" s="40" t="n">
        <v>7362600</v>
      </c>
      <c r="Q43" s="21"/>
      <c r="R43" s="55" t="n">
        <f aca="false">(P43-O43)/($P$27-$O$27)*$R$27</f>
        <v>0</v>
      </c>
      <c r="U43" s="40" t="n">
        <v>7646600</v>
      </c>
      <c r="V43" s="55" t="n">
        <f aca="false">U43</f>
        <v>7646600</v>
      </c>
      <c r="W43" s="56"/>
      <c r="X43" s="40" t="n">
        <v>7362600</v>
      </c>
      <c r="Y43" s="56"/>
      <c r="Z43" s="55" t="n">
        <v>7362600</v>
      </c>
      <c r="AA43" s="57"/>
      <c r="AB43" s="55" t="n">
        <v>125000</v>
      </c>
      <c r="AC43" s="58" t="n">
        <v>3140800</v>
      </c>
      <c r="AD43" s="56"/>
      <c r="AE43" s="55" t="n">
        <v>500000</v>
      </c>
    </row>
    <row r="44" customFormat="false" ht="12.75" hidden="false" customHeight="false" outlineLevel="0" collapsed="false"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3"/>
      <c r="U44" s="21"/>
      <c r="V44" s="23"/>
      <c r="X44" s="21"/>
      <c r="Z44" s="23"/>
      <c r="AA44" s="24"/>
      <c r="AB44" s="23"/>
      <c r="AE44" s="23"/>
    </row>
    <row r="45" customFormat="false" ht="12.75" hidden="false" customHeight="false" outlineLevel="0" collapsed="false">
      <c r="A45" s="9" t="s">
        <v>65</v>
      </c>
      <c r="B45" s="17" t="s">
        <v>66</v>
      </c>
      <c r="D45" s="21" t="n">
        <f aca="false">SUM(D37:D43)</f>
        <v>20667729</v>
      </c>
      <c r="E45" s="21" t="n">
        <f aca="false">SUM(E37:E43)</f>
        <v>20667728.8318426</v>
      </c>
      <c r="F45" s="21" t="n">
        <f aca="false">SUM(F37:F43)</f>
        <v>21843896.2629676</v>
      </c>
      <c r="G45" s="21"/>
      <c r="H45" s="21"/>
      <c r="I45" s="21"/>
      <c r="J45" s="21" t="n">
        <f aca="false">SUM(J37:J43)</f>
        <v>20667729</v>
      </c>
      <c r="K45" s="21" t="n">
        <f aca="false">SUM(K37:K43)</f>
        <v>20667729</v>
      </c>
      <c r="L45" s="21"/>
      <c r="M45" s="21" t="n">
        <f aca="false">SUM(M37:M43)</f>
        <v>23025926</v>
      </c>
      <c r="N45" s="21" t="n">
        <f aca="false">SUM(N37:N43)</f>
        <v>24038300</v>
      </c>
      <c r="O45" s="21" t="n">
        <f aca="false">SUM(O37:O43)</f>
        <v>24941288</v>
      </c>
      <c r="P45" s="21" t="n">
        <f aca="false">SUM(P37:P43)</f>
        <v>27465364</v>
      </c>
      <c r="Q45" s="21"/>
      <c r="R45" s="23" t="n">
        <f aca="false">SUM(R37:R43)</f>
        <v>874864.400396485</v>
      </c>
      <c r="S45" s="59"/>
      <c r="T45" s="59"/>
      <c r="U45" s="21" t="n">
        <f aca="false">SUM(U37:U43)</f>
        <v>28192419</v>
      </c>
      <c r="V45" s="23" t="n">
        <f aca="false">SUM(V37:V43)</f>
        <v>30217331.1377069</v>
      </c>
      <c r="X45" s="21" t="n">
        <f aca="false">SUM(X37:X43)</f>
        <v>23942872</v>
      </c>
      <c r="Z45" s="23" t="n">
        <f aca="false">SUM(Z37:Z43)</f>
        <v>23016182.1561006</v>
      </c>
      <c r="AA45" s="24"/>
      <c r="AB45" s="23" t="n">
        <f aca="false">SUM(AB37:AB43)</f>
        <v>2751146.54719412</v>
      </c>
      <c r="AC45" s="23" t="n">
        <f aca="false">SUM(AC37:AC43)</f>
        <v>3140800</v>
      </c>
      <c r="AE45" s="23" t="n">
        <f aca="false">SUM(AE37:AE43)</f>
        <v>9133554.5162404</v>
      </c>
    </row>
    <row r="46" customFormat="false" ht="12.75" hidden="false" customHeight="false" outlineLevel="0" collapsed="false"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4"/>
      <c r="V46" s="24"/>
      <c r="Z46" s="24"/>
      <c r="AA46" s="24"/>
      <c r="AB46" s="24"/>
      <c r="AE46" s="24"/>
    </row>
    <row r="47" customFormat="false" ht="12.75" hidden="false" customHeight="false" outlineLevel="0" collapsed="false">
      <c r="B47" s="17" t="s">
        <v>67</v>
      </c>
      <c r="D47" s="20" t="n">
        <v>1304000</v>
      </c>
      <c r="E47" s="20" t="n">
        <f aca="false">+D47</f>
        <v>1304000</v>
      </c>
      <c r="F47" s="20" t="n">
        <f aca="false">+E47</f>
        <v>1304000</v>
      </c>
      <c r="G47" s="21"/>
      <c r="H47" s="21"/>
      <c r="I47" s="21"/>
      <c r="J47" s="21" t="n">
        <v>1840000</v>
      </c>
      <c r="K47" s="21" t="n">
        <v>2150000</v>
      </c>
      <c r="L47" s="21"/>
      <c r="M47" s="21" t="n">
        <v>2450000</v>
      </c>
      <c r="N47" s="21" t="n">
        <f aca="false">M47</f>
        <v>2450000</v>
      </c>
      <c r="O47" s="21" t="n">
        <f aca="false">M47</f>
        <v>2450000</v>
      </c>
      <c r="P47" s="21" t="n">
        <f aca="false">M47</f>
        <v>2450000</v>
      </c>
      <c r="Q47" s="21"/>
      <c r="R47" s="23" t="n">
        <v>0</v>
      </c>
      <c r="U47" s="21" t="n">
        <v>2450400</v>
      </c>
      <c r="V47" s="23" t="n">
        <v>2450400</v>
      </c>
      <c r="X47" s="21" t="n">
        <v>2450400</v>
      </c>
      <c r="Z47" s="23" t="n">
        <v>2450400</v>
      </c>
      <c r="AA47" s="24"/>
      <c r="AB47" s="23" t="n">
        <v>0</v>
      </c>
      <c r="AC47" s="60"/>
      <c r="AE47" s="23" t="n">
        <v>0</v>
      </c>
    </row>
    <row r="48" customFormat="false" ht="12.75" hidden="false" customHeight="false" outlineLevel="0" collapsed="false">
      <c r="R48" s="24"/>
      <c r="V48" s="24"/>
      <c r="Z48" s="24"/>
      <c r="AA48" s="24"/>
      <c r="AB48" s="24"/>
      <c r="AE48" s="24"/>
    </row>
    <row r="49" customFormat="false" ht="12.75" hidden="false" customHeight="false" outlineLevel="0" collapsed="false">
      <c r="B49" s="17" t="s">
        <v>68</v>
      </c>
      <c r="D49" s="20" t="n">
        <v>1074000</v>
      </c>
      <c r="E49" s="20" t="n">
        <f aca="false">+D49</f>
        <v>1074000</v>
      </c>
      <c r="F49" s="20" t="n">
        <f aca="false">+E49</f>
        <v>1074000</v>
      </c>
      <c r="G49" s="21"/>
      <c r="H49" s="21"/>
      <c r="I49" s="21"/>
      <c r="J49" s="21" t="n">
        <v>1516000</v>
      </c>
      <c r="K49" s="21" t="n">
        <v>1770000</v>
      </c>
      <c r="L49" s="21"/>
      <c r="M49" s="21" t="n">
        <v>2021000</v>
      </c>
      <c r="N49" s="21" t="n">
        <f aca="false">M49</f>
        <v>2021000</v>
      </c>
      <c r="O49" s="21" t="n">
        <f aca="false">M49</f>
        <v>2021000</v>
      </c>
      <c r="P49" s="21" t="n">
        <f aca="false">M49</f>
        <v>2021000</v>
      </c>
      <c r="Q49" s="21"/>
      <c r="R49" s="23" t="n">
        <v>0</v>
      </c>
      <c r="U49" s="21" t="n">
        <v>2951000</v>
      </c>
      <c r="V49" s="23" t="n">
        <f aca="false">U49</f>
        <v>2951000</v>
      </c>
      <c r="X49" s="21" t="n">
        <v>2021000</v>
      </c>
      <c r="Z49" s="23" t="n">
        <v>2021000</v>
      </c>
      <c r="AA49" s="24"/>
      <c r="AB49" s="23" t="n">
        <v>0</v>
      </c>
      <c r="AE49" s="23" t="n">
        <v>500000</v>
      </c>
    </row>
    <row r="50" customFormat="false" ht="13.5" hidden="false" customHeight="false" outlineLevel="0" collapsed="false">
      <c r="R50" s="24"/>
      <c r="V50" s="24"/>
      <c r="Z50" s="24"/>
      <c r="AA50" s="24"/>
      <c r="AB50" s="24"/>
      <c r="AE50" s="24"/>
    </row>
    <row r="51" customFormat="false" ht="13.5" hidden="false" customHeight="false" outlineLevel="0" collapsed="false">
      <c r="A51" s="61" t="s">
        <v>69</v>
      </c>
      <c r="B51" s="62"/>
      <c r="C51" s="63"/>
      <c r="R51" s="24"/>
      <c r="V51" s="24"/>
      <c r="Z51" s="24"/>
      <c r="AA51" s="24"/>
      <c r="AB51" s="24"/>
      <c r="AE51" s="24"/>
    </row>
    <row r="52" customFormat="false" ht="12.75" hidden="false" customHeight="false" outlineLevel="0" collapsed="false">
      <c r="A52" s="17" t="s">
        <v>70</v>
      </c>
      <c r="B52" s="17"/>
      <c r="C52" s="0" t="s">
        <v>71</v>
      </c>
      <c r="D52" s="20" t="n">
        <v>4000000</v>
      </c>
      <c r="E52" s="20" t="n">
        <v>4000000</v>
      </c>
      <c r="F52" s="20" t="n">
        <v>4000000</v>
      </c>
      <c r="G52" s="21"/>
      <c r="H52" s="21"/>
      <c r="I52" s="21"/>
      <c r="J52" s="21" t="n">
        <v>4000000</v>
      </c>
      <c r="K52" s="21" t="n">
        <v>4000000</v>
      </c>
      <c r="L52" s="21"/>
      <c r="M52" s="21" t="n">
        <v>4000000</v>
      </c>
      <c r="N52" s="21" t="n">
        <v>4000000</v>
      </c>
      <c r="O52" s="21" t="n">
        <v>4000000</v>
      </c>
      <c r="P52" s="21" t="n">
        <v>4000000</v>
      </c>
      <c r="Q52" s="21"/>
      <c r="R52" s="23" t="n">
        <v>4000000</v>
      </c>
      <c r="U52" s="21" t="n">
        <v>4000000</v>
      </c>
      <c r="V52" s="23" t="n">
        <v>4000000</v>
      </c>
      <c r="X52" s="21" t="n">
        <v>4000000</v>
      </c>
      <c r="Z52" s="23" t="n">
        <v>4000000</v>
      </c>
      <c r="AA52" s="24"/>
      <c r="AB52" s="23" t="n">
        <v>4000000</v>
      </c>
      <c r="AC52" s="23" t="n">
        <v>4000000</v>
      </c>
      <c r="AE52" s="23" t="n">
        <v>4000000</v>
      </c>
    </row>
    <row r="53" customFormat="false" ht="12.75" hidden="false" customHeight="false" outlineLevel="0" collapsed="false">
      <c r="A53" s="17" t="s">
        <v>72</v>
      </c>
      <c r="B53" s="17"/>
      <c r="C53" s="0" t="s">
        <v>73</v>
      </c>
      <c r="D53" s="0" t="n">
        <v>12</v>
      </c>
      <c r="E53" s="0" t="n">
        <v>12</v>
      </c>
      <c r="F53" s="0" t="n">
        <v>12</v>
      </c>
      <c r="J53" s="0" t="n">
        <v>12</v>
      </c>
      <c r="K53" s="0" t="n">
        <v>12</v>
      </c>
      <c r="M53" s="0" t="n">
        <v>12</v>
      </c>
      <c r="N53" s="0" t="n">
        <v>12</v>
      </c>
      <c r="O53" s="0" t="n">
        <v>12</v>
      </c>
      <c r="P53" s="0" t="n">
        <v>12</v>
      </c>
      <c r="R53" s="24" t="n">
        <v>12</v>
      </c>
      <c r="U53" s="0" t="n">
        <v>12</v>
      </c>
      <c r="V53" s="24" t="n">
        <v>12</v>
      </c>
      <c r="X53" s="0" t="n">
        <v>12</v>
      </c>
      <c r="Z53" s="24" t="n">
        <v>12</v>
      </c>
      <c r="AA53" s="24"/>
      <c r="AB53" s="24" t="n">
        <v>12</v>
      </c>
      <c r="AC53" s="24" t="n">
        <v>12</v>
      </c>
      <c r="AE53" s="24" t="n">
        <v>12</v>
      </c>
    </row>
    <row r="54" customFormat="false" ht="12.75" hidden="false" customHeight="false" outlineLevel="0" collapsed="false">
      <c r="A54" s="17" t="s">
        <v>74</v>
      </c>
      <c r="B54" s="17"/>
      <c r="C54" s="64" t="s">
        <v>75</v>
      </c>
      <c r="D54" s="65" t="n">
        <v>1.021</v>
      </c>
      <c r="E54" s="66" t="n">
        <f aca="false">$D54</f>
        <v>1.021</v>
      </c>
      <c r="F54" s="66" t="n">
        <f aca="false">$D54</f>
        <v>1.021</v>
      </c>
      <c r="J54" s="0" t="n">
        <f aca="false">$D54</f>
        <v>1.021</v>
      </c>
      <c r="K54" s="0" t="n">
        <f aca="false">$D54</f>
        <v>1.021</v>
      </c>
      <c r="M54" s="0" t="n">
        <f aca="false">$D54</f>
        <v>1.021</v>
      </c>
      <c r="N54" s="0" t="n">
        <f aca="false">$D54</f>
        <v>1.021</v>
      </c>
      <c r="O54" s="0" t="n">
        <f aca="false">$D54</f>
        <v>1.021</v>
      </c>
      <c r="P54" s="0" t="n">
        <f aca="false">$D54</f>
        <v>1.021</v>
      </c>
      <c r="R54" s="24" t="n">
        <f aca="false">$D54</f>
        <v>1.021</v>
      </c>
      <c r="U54" s="67" t="n">
        <f aca="false">$D54</f>
        <v>1.021</v>
      </c>
      <c r="V54" s="24" t="n">
        <f aca="false">$D54</f>
        <v>1.021</v>
      </c>
      <c r="X54" s="67" t="n">
        <f aca="false">$D54</f>
        <v>1.021</v>
      </c>
      <c r="Z54" s="24" t="n">
        <f aca="false">$D54</f>
        <v>1.021</v>
      </c>
      <c r="AA54" s="24"/>
      <c r="AB54" s="24" t="n">
        <f aca="false">$D54</f>
        <v>1.021</v>
      </c>
      <c r="AC54" s="24" t="n">
        <f aca="false">$D54</f>
        <v>1.021</v>
      </c>
      <c r="AE54" s="24" t="n">
        <f aca="false">$D54</f>
        <v>1.021</v>
      </c>
    </row>
    <row r="55" customFormat="false" ht="12.75" hidden="false" customHeight="false" outlineLevel="0" collapsed="false">
      <c r="R55" s="24"/>
      <c r="V55" s="24"/>
      <c r="Z55" s="24"/>
      <c r="AA55" s="24"/>
      <c r="AB55" s="24"/>
      <c r="AC55" s="24"/>
      <c r="AE55" s="24"/>
    </row>
    <row r="56" customFormat="false" ht="12.75" hidden="false" customHeight="false" outlineLevel="0" collapsed="false">
      <c r="C56" s="0" t="s">
        <v>76</v>
      </c>
      <c r="D56" s="21" t="n">
        <f aca="false">D52*D53*D54</f>
        <v>49008000</v>
      </c>
      <c r="E56" s="21" t="n">
        <f aca="false">+E52*E53*E54</f>
        <v>49008000</v>
      </c>
      <c r="F56" s="21" t="n">
        <f aca="false">+F52*F53*F54</f>
        <v>49008000</v>
      </c>
      <c r="G56" s="21"/>
      <c r="H56" s="21"/>
      <c r="I56" s="21"/>
      <c r="J56" s="21" t="n">
        <f aca="false">J52*J53*J54</f>
        <v>49008000</v>
      </c>
      <c r="K56" s="21" t="n">
        <f aca="false">K52*K53*K54</f>
        <v>49008000</v>
      </c>
      <c r="L56" s="21"/>
      <c r="M56" s="21" t="n">
        <f aca="false">M52*M53*M54</f>
        <v>49008000</v>
      </c>
      <c r="N56" s="21" t="n">
        <f aca="false">N52*N53*N54</f>
        <v>49008000</v>
      </c>
      <c r="O56" s="21" t="n">
        <f aca="false">O52*O53*O54</f>
        <v>49008000</v>
      </c>
      <c r="P56" s="21" t="n">
        <f aca="false">P52*P53*P54</f>
        <v>49008000</v>
      </c>
      <c r="Q56" s="21"/>
      <c r="R56" s="23" t="n">
        <f aca="false">R52*R53*R54</f>
        <v>49008000</v>
      </c>
      <c r="U56" s="21" t="n">
        <f aca="false">U52*U53*U54</f>
        <v>49008000</v>
      </c>
      <c r="V56" s="23" t="n">
        <f aca="false">V52*V53*V54</f>
        <v>49008000</v>
      </c>
      <c r="X56" s="21" t="n">
        <f aca="false">X52*X53*X54</f>
        <v>49008000</v>
      </c>
      <c r="Z56" s="23" t="n">
        <f aca="false">Z52*Z53*Z54</f>
        <v>49008000</v>
      </c>
      <c r="AA56" s="24"/>
      <c r="AB56" s="23" t="n">
        <f aca="false">AB52*AB53*AB54</f>
        <v>49008000</v>
      </c>
      <c r="AC56" s="23" t="n">
        <f aca="false">AC52*AC53*AC54</f>
        <v>49008000</v>
      </c>
      <c r="AE56" s="23" t="n">
        <f aca="false">AE52*AE53*AE54</f>
        <v>49008000</v>
      </c>
    </row>
    <row r="57" customFormat="false" ht="12.75" hidden="false" customHeight="false" outlineLevel="0" collapsed="false">
      <c r="R57" s="24"/>
      <c r="V57" s="24"/>
      <c r="Z57" s="24"/>
      <c r="AA57" s="24"/>
      <c r="AB57" s="24"/>
      <c r="AC57" s="24"/>
      <c r="AE57" s="24"/>
    </row>
    <row r="58" customFormat="false" ht="38.25" hidden="false" customHeight="false" outlineLevel="0" collapsed="false">
      <c r="A58" s="38" t="s">
        <v>77</v>
      </c>
      <c r="B58" s="38"/>
      <c r="C58" s="0" t="s">
        <v>78</v>
      </c>
      <c r="D58" s="68" t="n">
        <f aca="false">D45/D56</f>
        <v>0.42172153525955</v>
      </c>
      <c r="E58" s="68" t="n">
        <f aca="false">+E45/E56</f>
        <v>0.421721531828327</v>
      </c>
      <c r="F58" s="68" t="n">
        <f aca="false">+F45/F56</f>
        <v>0.445721030504562</v>
      </c>
      <c r="G58" s="68"/>
      <c r="H58" s="68"/>
      <c r="I58" s="68"/>
      <c r="J58" s="68" t="n">
        <f aca="false">J45/J56</f>
        <v>0.42172153525955</v>
      </c>
      <c r="K58" s="68" t="n">
        <f aca="false">K45/K56</f>
        <v>0.42172153525955</v>
      </c>
      <c r="L58" s="68"/>
      <c r="M58" s="68" t="n">
        <f aca="false">M45/M56</f>
        <v>0.469840148547176</v>
      </c>
      <c r="N58" s="68" t="n">
        <f aca="false">N45/N56</f>
        <v>0.490497469800849</v>
      </c>
      <c r="O58" s="68" t="n">
        <f aca="false">O45/O56</f>
        <v>0.508922788116226</v>
      </c>
      <c r="P58" s="69" t="n">
        <f aca="false">P45/P56</f>
        <v>0.560426134508652</v>
      </c>
      <c r="Q58" s="70"/>
      <c r="R58" s="71" t="n">
        <f aca="false">R45/R56</f>
        <v>0.0178514609940517</v>
      </c>
      <c r="U58" s="72" t="n">
        <f aca="false">U45/U56</f>
        <v>0.575261569539667</v>
      </c>
      <c r="V58" s="73" t="n">
        <f aca="false">V45/V56</f>
        <v>0.616579561249324</v>
      </c>
      <c r="X58" s="68" t="n">
        <f aca="false">X45/X56</f>
        <v>0.488550277505713</v>
      </c>
      <c r="Z58" s="74" t="n">
        <f aca="false">Z45/Z56</f>
        <v>0.469641327050697</v>
      </c>
      <c r="AA58" s="24"/>
      <c r="AB58" s="73" t="n">
        <f aca="false">AB45/AB56</f>
        <v>0.0561366827292303</v>
      </c>
      <c r="AC58" s="73" t="n">
        <f aca="false">AC45/AC56</f>
        <v>0.0640874959190336</v>
      </c>
      <c r="AE58" s="73" t="n">
        <f aca="false">AE45/AE56</f>
        <v>0.186368644226257</v>
      </c>
    </row>
    <row r="59" customFormat="false" ht="13.5" hidden="false" customHeight="false" outlineLevel="0" collapsed="false">
      <c r="A59" s="38"/>
      <c r="B59" s="3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24"/>
      <c r="U59" s="68"/>
      <c r="V59" s="74"/>
      <c r="X59" s="68"/>
      <c r="Z59" s="74"/>
      <c r="AA59" s="24"/>
      <c r="AB59" s="74"/>
      <c r="AE59" s="74"/>
    </row>
    <row r="60" customFormat="false" ht="13.5" hidden="false" customHeight="false" outlineLevel="0" collapsed="false">
      <c r="A60" s="61" t="s">
        <v>79</v>
      </c>
      <c r="B60" s="62"/>
      <c r="C60" s="63"/>
      <c r="R60" s="24"/>
      <c r="V60" s="24"/>
      <c r="Z60" s="24"/>
      <c r="AA60" s="24"/>
      <c r="AB60" s="24"/>
      <c r="AE60" s="24"/>
    </row>
    <row r="61" customFormat="false" ht="12.75" hidden="false" customHeight="false" outlineLevel="0" collapsed="false">
      <c r="A61" s="17" t="s">
        <v>80</v>
      </c>
      <c r="B61" s="17"/>
      <c r="C61" s="0" t="s">
        <v>81</v>
      </c>
      <c r="D61" s="20" t="n">
        <v>85000000</v>
      </c>
      <c r="E61" s="20" t="n">
        <f aca="false">+D61</f>
        <v>85000000</v>
      </c>
      <c r="F61" s="20" t="n">
        <f aca="false">+E61</f>
        <v>85000000</v>
      </c>
      <c r="G61" s="21"/>
      <c r="H61" s="21"/>
      <c r="I61" s="21"/>
      <c r="J61" s="21" t="n">
        <v>120000000</v>
      </c>
      <c r="K61" s="21" t="n">
        <v>140000000</v>
      </c>
      <c r="L61" s="21"/>
      <c r="M61" s="21" t="n">
        <v>160000000</v>
      </c>
      <c r="N61" s="21" t="n">
        <v>160000000</v>
      </c>
      <c r="O61" s="21" t="n">
        <v>160000000</v>
      </c>
      <c r="P61" s="21" t="n">
        <v>160000000</v>
      </c>
      <c r="Q61" s="21"/>
      <c r="R61" s="23" t="n">
        <v>160000000</v>
      </c>
      <c r="U61" s="21" t="n">
        <v>160000000</v>
      </c>
      <c r="V61" s="23" t="n">
        <v>160000000</v>
      </c>
      <c r="X61" s="21" t="n">
        <v>160000000</v>
      </c>
      <c r="Z61" s="23" t="n">
        <v>160000000</v>
      </c>
      <c r="AA61" s="24"/>
      <c r="AB61" s="23" t="n">
        <v>160000000</v>
      </c>
      <c r="AC61" s="23" t="n">
        <v>160000000</v>
      </c>
      <c r="AE61" s="23" t="n">
        <v>160000000</v>
      </c>
    </row>
    <row r="62" customFormat="false" ht="12.75" hidden="false" customHeight="false" outlineLevel="0" collapsed="false">
      <c r="A62" s="17" t="s">
        <v>74</v>
      </c>
      <c r="B62" s="17"/>
      <c r="C62" s="75" t="s">
        <v>75</v>
      </c>
      <c r="D62" s="76" t="n">
        <f aca="false">D54</f>
        <v>1.021</v>
      </c>
      <c r="E62" s="76" t="n">
        <f aca="false">+D62</f>
        <v>1.021</v>
      </c>
      <c r="F62" s="76" t="n">
        <f aca="false">+E62</f>
        <v>1.021</v>
      </c>
      <c r="G62" s="76"/>
      <c r="H62" s="76"/>
      <c r="I62" s="76"/>
      <c r="J62" s="76" t="n">
        <f aca="false">J54</f>
        <v>1.021</v>
      </c>
      <c r="K62" s="76" t="n">
        <f aca="false">K54</f>
        <v>1.021</v>
      </c>
      <c r="L62" s="76"/>
      <c r="M62" s="76" t="n">
        <f aca="false">M54</f>
        <v>1.021</v>
      </c>
      <c r="N62" s="76" t="n">
        <f aca="false">N54</f>
        <v>1.021</v>
      </c>
      <c r="O62" s="76" t="n">
        <f aca="false">O54</f>
        <v>1.021</v>
      </c>
      <c r="P62" s="76" t="n">
        <f aca="false">P54</f>
        <v>1.021</v>
      </c>
      <c r="Q62" s="76"/>
      <c r="R62" s="74" t="n">
        <f aca="false">R54</f>
        <v>1.021</v>
      </c>
      <c r="U62" s="0" t="n">
        <f aca="false">U54</f>
        <v>1.021</v>
      </c>
      <c r="V62" s="24" t="n">
        <f aca="false">V54</f>
        <v>1.021</v>
      </c>
      <c r="X62" s="0" t="n">
        <f aca="false">X54</f>
        <v>1.021</v>
      </c>
      <c r="Z62" s="24" t="n">
        <f aca="false">Z54</f>
        <v>1.021</v>
      </c>
      <c r="AA62" s="24"/>
      <c r="AB62" s="24" t="n">
        <f aca="false">AB54</f>
        <v>1.021</v>
      </c>
      <c r="AC62" s="24" t="n">
        <f aca="false">AC54</f>
        <v>1.021</v>
      </c>
      <c r="AE62" s="24" t="n">
        <f aca="false">AE54</f>
        <v>1.021</v>
      </c>
    </row>
    <row r="63" customFormat="false" ht="12.75" hidden="false" customHeight="false" outlineLevel="0" collapsed="false">
      <c r="A63" s="5" t="s">
        <v>82</v>
      </c>
      <c r="B63" s="5"/>
      <c r="C63" s="75" t="s">
        <v>83</v>
      </c>
      <c r="D63" s="77" t="n">
        <f aca="false">D61*D62</f>
        <v>86785000</v>
      </c>
      <c r="E63" s="77" t="n">
        <f aca="false">+E61*E62</f>
        <v>86785000</v>
      </c>
      <c r="F63" s="77" t="n">
        <f aca="false">+F61*F62</f>
        <v>86785000</v>
      </c>
      <c r="G63" s="77"/>
      <c r="H63" s="77"/>
      <c r="I63" s="77"/>
      <c r="J63" s="77" t="n">
        <f aca="false">J61*J62</f>
        <v>122520000</v>
      </c>
      <c r="K63" s="77" t="n">
        <f aca="false">K61*K62</f>
        <v>142940000</v>
      </c>
      <c r="L63" s="77"/>
      <c r="M63" s="77" t="n">
        <f aca="false">M61*M62</f>
        <v>163360000</v>
      </c>
      <c r="N63" s="77" t="n">
        <f aca="false">N61*N62</f>
        <v>163360000</v>
      </c>
      <c r="O63" s="77" t="n">
        <f aca="false">O61*O62</f>
        <v>163360000</v>
      </c>
      <c r="P63" s="77" t="n">
        <f aca="false">P61*P62</f>
        <v>163360000</v>
      </c>
      <c r="Q63" s="77"/>
      <c r="R63" s="78" t="n">
        <f aca="false">R61*R62</f>
        <v>163360000</v>
      </c>
      <c r="U63" s="77" t="n">
        <f aca="false">U61*U62</f>
        <v>163360000</v>
      </c>
      <c r="V63" s="78" t="n">
        <f aca="false">V61*V62</f>
        <v>163360000</v>
      </c>
      <c r="X63" s="77" t="n">
        <f aca="false">X61*X62</f>
        <v>163360000</v>
      </c>
      <c r="Z63" s="78" t="n">
        <f aca="false">Z61*Z62</f>
        <v>163360000</v>
      </c>
      <c r="AA63" s="24"/>
      <c r="AB63" s="78" t="n">
        <f aca="false">AB61*AB62</f>
        <v>163360000</v>
      </c>
      <c r="AC63" s="78" t="n">
        <f aca="false">AB63</f>
        <v>163360000</v>
      </c>
      <c r="AE63" s="78" t="n">
        <f aca="false">AE61*AE62</f>
        <v>163360000</v>
      </c>
    </row>
    <row r="64" customFormat="false" ht="12.75" hidden="false" customHeight="false" outlineLevel="0" collapsed="false">
      <c r="D64" s="21"/>
      <c r="E64" s="21"/>
      <c r="F64" s="21"/>
      <c r="G64" s="21"/>
      <c r="H64" s="21"/>
      <c r="I64" s="21"/>
      <c r="J64" s="21"/>
      <c r="K64" s="21"/>
      <c r="L64" s="21"/>
      <c r="R64" s="24"/>
      <c r="V64" s="24"/>
      <c r="Z64" s="24"/>
      <c r="AA64" s="24"/>
      <c r="AB64" s="24"/>
      <c r="AE64" s="24"/>
    </row>
    <row r="65" customFormat="false" ht="25.5" hidden="false" customHeight="false" outlineLevel="0" collapsed="false">
      <c r="A65" s="38" t="s">
        <v>84</v>
      </c>
      <c r="B65" s="38"/>
      <c r="C65" s="67" t="s">
        <v>85</v>
      </c>
      <c r="D65" s="77" t="n">
        <f aca="false">D45/12</f>
        <v>1722310.75</v>
      </c>
      <c r="E65" s="77" t="n">
        <f aca="false">+E45/12</f>
        <v>1722310.73598689</v>
      </c>
      <c r="F65" s="77" t="n">
        <f aca="false">+F45/12</f>
        <v>1820324.68858063</v>
      </c>
      <c r="G65" s="77"/>
      <c r="H65" s="77"/>
      <c r="I65" s="77"/>
      <c r="J65" s="77" t="n">
        <f aca="false">J45/12</f>
        <v>1722310.75</v>
      </c>
      <c r="K65" s="77" t="n">
        <f aca="false">K45/12</f>
        <v>1722310.75</v>
      </c>
      <c r="L65" s="77"/>
      <c r="M65" s="77" t="n">
        <f aca="false">M45/12</f>
        <v>1918827.16666667</v>
      </c>
      <c r="N65" s="77" t="n">
        <f aca="false">N45/12</f>
        <v>2003191.66666667</v>
      </c>
      <c r="O65" s="77" t="n">
        <f aca="false">O45/12</f>
        <v>2078440.66666667</v>
      </c>
      <c r="P65" s="77" t="n">
        <f aca="false">P45/12</f>
        <v>2288780.33333333</v>
      </c>
      <c r="Q65" s="77"/>
      <c r="R65" s="78" t="n">
        <f aca="false">R45/12</f>
        <v>72905.3666997071</v>
      </c>
      <c r="S65" s="67"/>
      <c r="T65" s="67"/>
      <c r="U65" s="77" t="n">
        <f aca="false">U45/12</f>
        <v>2349368.25</v>
      </c>
      <c r="V65" s="78" t="n">
        <f aca="false">V45/12</f>
        <v>2518110.92814224</v>
      </c>
      <c r="X65" s="77" t="n">
        <f aca="false">X45/12</f>
        <v>1995239.33333333</v>
      </c>
      <c r="Y65" s="67"/>
      <c r="Z65" s="78" t="n">
        <f aca="false">Z45/12</f>
        <v>1918015.17967505</v>
      </c>
      <c r="AA65" s="24"/>
      <c r="AB65" s="78" t="n">
        <f aca="false">AB45/12</f>
        <v>229262.212266177</v>
      </c>
      <c r="AC65" s="78" t="n">
        <f aca="false">AC45/12</f>
        <v>261733.333333333</v>
      </c>
      <c r="AD65" s="67"/>
      <c r="AE65" s="78" t="n">
        <f aca="false">AE45/12</f>
        <v>761129.543020033</v>
      </c>
    </row>
    <row r="66" customFormat="false" ht="12.75" hidden="false" customHeight="false" outlineLevel="0" collapsed="false">
      <c r="A66" s="38"/>
      <c r="B66" s="38"/>
      <c r="C66" s="67" t="s">
        <v>78</v>
      </c>
      <c r="D66" s="76" t="n">
        <f aca="false">D45/D63</f>
        <v>0.238148631675981</v>
      </c>
      <c r="E66" s="76" t="n">
        <f aca="false">E45/E63</f>
        <v>0.238148629738349</v>
      </c>
      <c r="F66" s="76" t="n">
        <f aca="false">F45/F63</f>
        <v>0.251701287814341</v>
      </c>
      <c r="G66" s="76"/>
      <c r="H66" s="76"/>
      <c r="I66" s="76"/>
      <c r="J66" s="76" t="n">
        <f aca="false">J45/J63</f>
        <v>0.16868861410382</v>
      </c>
      <c r="K66" s="76" t="n">
        <f aca="false">K45/K63</f>
        <v>0.144590240660417</v>
      </c>
      <c r="L66" s="76"/>
      <c r="M66" s="76" t="n">
        <f aca="false">M45/M63</f>
        <v>0.140952044564153</v>
      </c>
      <c r="N66" s="76" t="n">
        <f aca="false">N45/N63</f>
        <v>0.147149240940255</v>
      </c>
      <c r="O66" s="76" t="n">
        <f aca="false">O45/O63</f>
        <v>0.152676836434868</v>
      </c>
      <c r="P66" s="76" t="n">
        <f aca="false">P45/P63</f>
        <v>0.168127840352595</v>
      </c>
      <c r="Q66" s="76"/>
      <c r="R66" s="74" t="n">
        <f aca="false">R45/R63</f>
        <v>0.0053554382982155</v>
      </c>
      <c r="S66" s="67"/>
      <c r="T66" s="67"/>
      <c r="U66" s="76" t="n">
        <f aca="false">U45/U63</f>
        <v>0.1725784708619</v>
      </c>
      <c r="V66" s="74" t="n">
        <f aca="false">V45/V63</f>
        <v>0.184973868374797</v>
      </c>
      <c r="X66" s="76" t="n">
        <f aca="false">X45/X63</f>
        <v>0.146565083251714</v>
      </c>
      <c r="Y66" s="67"/>
      <c r="Z66" s="74" t="n">
        <f aca="false">Z45/Z63</f>
        <v>0.140892398115209</v>
      </c>
      <c r="AA66" s="24"/>
      <c r="AB66" s="74" t="n">
        <f aca="false">AB45/AB63</f>
        <v>0.0168410048187691</v>
      </c>
      <c r="AC66" s="74" t="n">
        <f aca="false">AC45/AC63</f>
        <v>0.0192262487757101</v>
      </c>
      <c r="AD66" s="67"/>
      <c r="AE66" s="74" t="n">
        <f aca="false">AE45/AE63</f>
        <v>0.0559105932678771</v>
      </c>
    </row>
    <row r="67" customFormat="false" ht="12.75" hidden="false" customHeight="false" outlineLevel="0" collapsed="false"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3"/>
      <c r="U67" s="21"/>
      <c r="V67" s="23"/>
      <c r="X67" s="21"/>
      <c r="Z67" s="23"/>
      <c r="AA67" s="24"/>
      <c r="AB67" s="23"/>
      <c r="AE67" s="23"/>
    </row>
    <row r="68" customFormat="false" ht="38.25" hidden="false" customHeight="false" outlineLevel="0" collapsed="false">
      <c r="A68" s="38" t="s">
        <v>86</v>
      </c>
      <c r="B68" s="38"/>
      <c r="C68" s="0" t="s">
        <v>87</v>
      </c>
      <c r="D68" s="68" t="n">
        <f aca="false">D47/D63</f>
        <v>0.0150256380710952</v>
      </c>
      <c r="E68" s="68" t="n">
        <f aca="false">+D68</f>
        <v>0.0150256380710952</v>
      </c>
      <c r="F68" s="68" t="n">
        <f aca="false">+E68</f>
        <v>0.0150256380710952</v>
      </c>
      <c r="G68" s="68"/>
      <c r="H68" s="68"/>
      <c r="I68" s="68"/>
      <c r="J68" s="68" t="n">
        <f aca="false">J47/J63</f>
        <v>0.0150179562520405</v>
      </c>
      <c r="K68" s="68" t="n">
        <f aca="false">K47/K63</f>
        <v>0.0150412760598853</v>
      </c>
      <c r="L68" s="68"/>
      <c r="M68" s="68" t="n">
        <f aca="false">M47/M63</f>
        <v>0.0149975514201763</v>
      </c>
      <c r="N68" s="68" t="n">
        <f aca="false">N47/N63</f>
        <v>0.0149975514201763</v>
      </c>
      <c r="O68" s="68" t="n">
        <f aca="false">O47/O63</f>
        <v>0.0149975514201763</v>
      </c>
      <c r="P68" s="68" t="n">
        <f aca="false">P47/P63</f>
        <v>0.0149975514201763</v>
      </c>
      <c r="Q68" s="68"/>
      <c r="R68" s="74" t="n">
        <f aca="false">R47/R63</f>
        <v>0</v>
      </c>
      <c r="U68" s="68" t="n">
        <f aca="false">U47/U63</f>
        <v>0.015</v>
      </c>
      <c r="V68" s="74" t="n">
        <f aca="false">V47/V63</f>
        <v>0.015</v>
      </c>
      <c r="X68" s="68" t="n">
        <f aca="false">X47/X63</f>
        <v>0.015</v>
      </c>
      <c r="Z68" s="74" t="n">
        <f aca="false">Z47/Z63</f>
        <v>0.015</v>
      </c>
      <c r="AA68" s="24"/>
      <c r="AB68" s="74" t="n">
        <f aca="false">AB47/AB63</f>
        <v>0</v>
      </c>
      <c r="AC68" s="74" t="n">
        <f aca="false">AC47/AC63</f>
        <v>0</v>
      </c>
      <c r="AE68" s="74" t="n">
        <f aca="false">AE47/AE63</f>
        <v>0</v>
      </c>
    </row>
    <row r="69" customFormat="false" ht="12.75" hidden="false" customHeight="false" outlineLevel="0" collapsed="false">
      <c r="A69" s="38"/>
      <c r="B69" s="3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24"/>
      <c r="U69" s="68"/>
      <c r="V69" s="24"/>
      <c r="X69" s="68"/>
      <c r="Z69" s="24"/>
      <c r="AA69" s="24"/>
      <c r="AB69" s="24"/>
      <c r="AE69" s="24"/>
    </row>
    <row r="70" customFormat="false" ht="38.25" hidden="false" customHeight="false" outlineLevel="0" collapsed="false">
      <c r="A70" s="38" t="s">
        <v>88</v>
      </c>
      <c r="B70" s="38"/>
      <c r="C70" s="0" t="s">
        <v>87</v>
      </c>
      <c r="D70" s="68" t="n">
        <f aca="false">D49/D63</f>
        <v>0.0123754104972057</v>
      </c>
      <c r="E70" s="68" t="n">
        <f aca="false">+D70</f>
        <v>0.0123754104972057</v>
      </c>
      <c r="F70" s="68" t="n">
        <f aca="false">+E70</f>
        <v>0.0123754104972057</v>
      </c>
      <c r="G70" s="68"/>
      <c r="H70" s="68"/>
      <c r="I70" s="68"/>
      <c r="J70" s="68" t="n">
        <f aca="false">J49/J63</f>
        <v>0.0123734900424421</v>
      </c>
      <c r="K70" s="68" t="n">
        <f aca="false">K49/K63</f>
        <v>0.01238281796558</v>
      </c>
      <c r="L70" s="68"/>
      <c r="M70" s="68" t="n">
        <f aca="false">M49/M63</f>
        <v>0.0123714495592556</v>
      </c>
      <c r="N70" s="68" t="n">
        <f aca="false">N49/N63</f>
        <v>0.0123714495592556</v>
      </c>
      <c r="O70" s="68" t="n">
        <f aca="false">O49/O63</f>
        <v>0.0123714495592556</v>
      </c>
      <c r="P70" s="68" t="n">
        <f aca="false">P49/P63</f>
        <v>0.0123714495592556</v>
      </c>
      <c r="Q70" s="68"/>
      <c r="R70" s="74" t="n">
        <f aca="false">R49/R63</f>
        <v>0</v>
      </c>
      <c r="U70" s="68" t="n">
        <f aca="false">U49/U63</f>
        <v>0.0180643976493634</v>
      </c>
      <c r="V70" s="74" t="n">
        <f aca="false">V49/V63</f>
        <v>0.0180643976493634</v>
      </c>
      <c r="X70" s="68" t="n">
        <f aca="false">X49/X63</f>
        <v>0.0123714495592556</v>
      </c>
      <c r="Z70" s="74" t="n">
        <f aca="false">Z49/Z63</f>
        <v>0.0123714495592556</v>
      </c>
      <c r="AA70" s="24"/>
      <c r="AB70" s="74" t="n">
        <f aca="false">AB49/AB63</f>
        <v>0</v>
      </c>
      <c r="AC70" s="74" t="n">
        <f aca="false">AC49/AC63</f>
        <v>0</v>
      </c>
      <c r="AE70" s="74" t="n">
        <f aca="false">AE49/AE63</f>
        <v>0.00306072477962782</v>
      </c>
    </row>
    <row r="71" customFormat="false" ht="13.5" hidden="false" customHeight="false" outlineLevel="0" collapsed="false">
      <c r="A71" s="38"/>
      <c r="B71" s="3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24"/>
      <c r="U71" s="68"/>
      <c r="V71" s="74"/>
      <c r="X71" s="68"/>
      <c r="Z71" s="74"/>
      <c r="AA71" s="24"/>
      <c r="AB71" s="74"/>
      <c r="AE71" s="74"/>
    </row>
    <row r="72" customFormat="false" ht="18.75" hidden="false" customHeight="false" outlineLevel="0" collapsed="false">
      <c r="A72" s="79" t="s">
        <v>89</v>
      </c>
      <c r="B72" s="80"/>
      <c r="C72" s="63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24"/>
      <c r="U72" s="68"/>
      <c r="V72" s="74"/>
      <c r="X72" s="68"/>
      <c r="Z72" s="74"/>
      <c r="AA72" s="24"/>
      <c r="AB72" s="74"/>
      <c r="AE72" s="74"/>
    </row>
    <row r="73" customFormat="false" ht="13.5" hidden="false" customHeight="false" outlineLevel="0" collapsed="false">
      <c r="A73" s="38"/>
      <c r="B73" s="3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24"/>
      <c r="U73" s="68"/>
      <c r="V73" s="74"/>
      <c r="X73" s="68"/>
      <c r="Z73" s="74"/>
      <c r="AA73" s="24"/>
      <c r="AB73" s="74"/>
      <c r="AE73" s="74"/>
    </row>
    <row r="74" customFormat="false" ht="13.5" hidden="false" customHeight="false" outlineLevel="0" collapsed="false">
      <c r="A74" s="81" t="s">
        <v>90</v>
      </c>
      <c r="B74" s="82"/>
      <c r="C74" s="83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24"/>
      <c r="U74" s="68"/>
      <c r="V74" s="74"/>
      <c r="X74" s="68"/>
      <c r="Z74" s="74"/>
      <c r="AA74" s="24"/>
      <c r="AB74" s="74"/>
      <c r="AE74" s="74"/>
    </row>
    <row r="75" customFormat="false" ht="12.75" hidden="false" customHeight="false" outlineLevel="0" collapsed="false">
      <c r="A75" s="84" t="s">
        <v>91</v>
      </c>
      <c r="B75" s="84"/>
      <c r="C75" s="85" t="s">
        <v>92</v>
      </c>
      <c r="D75" s="86" t="n">
        <v>0</v>
      </c>
      <c r="E75" s="86" t="n">
        <v>0</v>
      </c>
      <c r="F75" s="86" t="n">
        <v>0</v>
      </c>
      <c r="G75" s="87"/>
      <c r="H75" s="87"/>
      <c r="I75" s="87"/>
      <c r="J75" s="87" t="n">
        <v>0</v>
      </c>
      <c r="K75" s="87" t="n">
        <v>0.41</v>
      </c>
      <c r="L75" s="68"/>
      <c r="M75" s="87" t="n">
        <v>0.41</v>
      </c>
      <c r="N75" s="87" t="n">
        <f aca="false">M75</f>
        <v>0.41</v>
      </c>
      <c r="O75" s="87" t="n">
        <f aca="false">M75</f>
        <v>0.41</v>
      </c>
      <c r="P75" s="87" t="n">
        <f aca="false">M75</f>
        <v>0.41</v>
      </c>
      <c r="Q75" s="87"/>
      <c r="R75" s="88" t="n">
        <f aca="false">P75</f>
        <v>0.41</v>
      </c>
      <c r="U75" s="89" t="n">
        <f aca="false">R75</f>
        <v>0.41</v>
      </c>
      <c r="V75" s="90" t="n">
        <f aca="false">U75</f>
        <v>0.41</v>
      </c>
      <c r="W75" s="89"/>
      <c r="X75" s="89" t="n">
        <f aca="false">V75</f>
        <v>0.41</v>
      </c>
      <c r="Z75" s="90" t="n">
        <f aca="false">X75</f>
        <v>0.41</v>
      </c>
      <c r="AA75" s="90"/>
      <c r="AB75" s="90" t="n">
        <f aca="false">Z75</f>
        <v>0.41</v>
      </c>
      <c r="AC75" s="90" t="n">
        <f aca="false">AB75</f>
        <v>0.41</v>
      </c>
      <c r="AD75" s="89"/>
      <c r="AE75" s="90" t="n">
        <f aca="false">AC75</f>
        <v>0.41</v>
      </c>
    </row>
    <row r="76" customFormat="false" ht="12.75" hidden="false" customHeight="false" outlineLevel="0" collapsed="false">
      <c r="C76" s="91" t="s">
        <v>93</v>
      </c>
      <c r="D76" s="92" t="n">
        <f aca="false">D45*D75</f>
        <v>0</v>
      </c>
      <c r="E76" s="92" t="n">
        <f aca="false">E45*E75</f>
        <v>0</v>
      </c>
      <c r="F76" s="92" t="n">
        <f aca="false">F45*F75</f>
        <v>0</v>
      </c>
      <c r="G76" s="92"/>
      <c r="H76" s="92"/>
      <c r="I76" s="92"/>
      <c r="J76" s="92" t="n">
        <f aca="false">J45*J75</f>
        <v>0</v>
      </c>
      <c r="K76" s="92" t="n">
        <f aca="false">K45*K75</f>
        <v>8473768.89</v>
      </c>
      <c r="L76" s="92"/>
      <c r="M76" s="92" t="n">
        <f aca="false">M45*M75</f>
        <v>9440629.66</v>
      </c>
      <c r="N76" s="92" t="n">
        <f aca="false">N45*N75</f>
        <v>9855703</v>
      </c>
      <c r="O76" s="92" t="n">
        <f aca="false">O45*O75</f>
        <v>10225928.08</v>
      </c>
      <c r="P76" s="93" t="n">
        <f aca="false">O76</f>
        <v>10225928.08</v>
      </c>
      <c r="Q76" s="92"/>
      <c r="R76" s="94" t="n">
        <f aca="false">R45*R75</f>
        <v>358694.404162559</v>
      </c>
      <c r="U76" s="92" t="n">
        <f aca="false">X76</f>
        <v>9816577.52</v>
      </c>
      <c r="V76" s="94" t="n">
        <f aca="false">X76</f>
        <v>9816577.52</v>
      </c>
      <c r="X76" s="92" t="n">
        <f aca="false">X45*X75</f>
        <v>9816577.52</v>
      </c>
      <c r="Z76" s="94" t="n">
        <f aca="false">Z45*Z75</f>
        <v>9436634.68400123</v>
      </c>
      <c r="AA76" s="24"/>
      <c r="AB76" s="94" t="n">
        <f aca="false">AB45*AB75</f>
        <v>1127970.08434959</v>
      </c>
      <c r="AC76" s="94" t="n">
        <f aca="false">AC45*AC75</f>
        <v>1287728</v>
      </c>
      <c r="AE76" s="94" t="n">
        <v>0</v>
      </c>
    </row>
    <row r="77" customFormat="false" ht="12.75" hidden="false" customHeight="false" outlineLevel="0" collapsed="false">
      <c r="A77" s="38"/>
      <c r="B77" s="38"/>
      <c r="C77" s="91" t="s">
        <v>94</v>
      </c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95" t="n">
        <f aca="false">P45-O45</f>
        <v>2524076</v>
      </c>
      <c r="Q77" s="95"/>
      <c r="R77" s="74"/>
      <c r="U77" s="95" t="n">
        <f aca="false">U45-X45</f>
        <v>4249547</v>
      </c>
      <c r="V77" s="96" t="n">
        <f aca="false">V45-X45</f>
        <v>6274459.13770685</v>
      </c>
      <c r="X77" s="68"/>
      <c r="Z77" s="74"/>
      <c r="AA77" s="24"/>
      <c r="AB77" s="96"/>
      <c r="AE77" s="96" t="n">
        <f aca="false">AE45</f>
        <v>9133554.5162404</v>
      </c>
    </row>
    <row r="78" customFormat="false" ht="12.75" hidden="false" customHeight="false" outlineLevel="0" collapsed="false">
      <c r="A78" s="38"/>
      <c r="B78" s="38"/>
      <c r="C78" s="97" t="s">
        <v>95</v>
      </c>
      <c r="D78" s="95" t="n">
        <f aca="false">D76+D77</f>
        <v>0</v>
      </c>
      <c r="E78" s="95" t="n">
        <f aca="false">E76+E77</f>
        <v>0</v>
      </c>
      <c r="F78" s="95" t="n">
        <f aca="false">F76+F77</f>
        <v>0</v>
      </c>
      <c r="G78" s="95"/>
      <c r="H78" s="95"/>
      <c r="I78" s="95"/>
      <c r="J78" s="95" t="n">
        <f aca="false">J76+J77</f>
        <v>0</v>
      </c>
      <c r="K78" s="95" t="n">
        <f aca="false">K76+K77</f>
        <v>8473768.89</v>
      </c>
      <c r="L78" s="95"/>
      <c r="M78" s="95" t="n">
        <f aca="false">M76+M77</f>
        <v>9440629.66</v>
      </c>
      <c r="N78" s="95" t="n">
        <f aca="false">N76+N77</f>
        <v>9855703</v>
      </c>
      <c r="O78" s="95" t="n">
        <f aca="false">O76+O77</f>
        <v>10225928.08</v>
      </c>
      <c r="P78" s="95" t="n">
        <f aca="false">P76+P77</f>
        <v>12750004.08</v>
      </c>
      <c r="Q78" s="95"/>
      <c r="R78" s="96" t="n">
        <f aca="false">R76+R77</f>
        <v>358694.404162559</v>
      </c>
      <c r="U78" s="95" t="n">
        <f aca="false">U76+U77</f>
        <v>14066124.52</v>
      </c>
      <c r="V78" s="96" t="n">
        <f aca="false">V76+V77</f>
        <v>16091036.6577069</v>
      </c>
      <c r="X78" s="95" t="n">
        <f aca="false">X76+X77</f>
        <v>9816577.52</v>
      </c>
      <c r="Z78" s="96" t="n">
        <f aca="false">Z76+Z77</f>
        <v>9436634.68400123</v>
      </c>
      <c r="AA78" s="24"/>
      <c r="AB78" s="96" t="n">
        <f aca="false">AB76+AB77</f>
        <v>1127970.08434959</v>
      </c>
      <c r="AC78" s="96" t="n">
        <f aca="false">AC76+AC77</f>
        <v>1287728</v>
      </c>
      <c r="AE78" s="96" t="n">
        <f aca="false">AE76+AE77</f>
        <v>9133554.5162404</v>
      </c>
    </row>
    <row r="79" customFormat="false" ht="12.75" hidden="false" customHeight="false" outlineLevel="0" collapsed="false">
      <c r="A79" s="38"/>
      <c r="B79" s="3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74"/>
      <c r="U79" s="68"/>
      <c r="V79" s="74"/>
      <c r="X79" s="68"/>
      <c r="Z79" s="74"/>
      <c r="AA79" s="24"/>
      <c r="AB79" s="74"/>
      <c r="AE79" s="74"/>
    </row>
    <row r="80" customFormat="false" ht="12.75" hidden="false" customHeight="false" outlineLevel="0" collapsed="false">
      <c r="A80" s="84" t="s">
        <v>96</v>
      </c>
      <c r="B80" s="84"/>
      <c r="C80" s="98" t="s">
        <v>81</v>
      </c>
      <c r="D80" s="95" t="n">
        <v>0</v>
      </c>
      <c r="E80" s="95" t="n">
        <v>0</v>
      </c>
      <c r="F80" s="95" t="n">
        <v>0</v>
      </c>
      <c r="G80" s="95"/>
      <c r="H80" s="95"/>
      <c r="I80" s="95"/>
      <c r="J80" s="95" t="n">
        <v>0</v>
      </c>
      <c r="K80" s="95" t="n">
        <v>58000000</v>
      </c>
      <c r="L80" s="95"/>
      <c r="M80" s="95" t="n">
        <v>58000000</v>
      </c>
      <c r="N80" s="95" t="n">
        <f aca="false">M80</f>
        <v>58000000</v>
      </c>
      <c r="O80" s="95" t="n">
        <f aca="false">M80</f>
        <v>58000000</v>
      </c>
      <c r="P80" s="95" t="n">
        <f aca="false">M80</f>
        <v>58000000</v>
      </c>
      <c r="Q80" s="95"/>
      <c r="R80" s="96" t="n">
        <f aca="false">P80</f>
        <v>58000000</v>
      </c>
      <c r="U80" s="95" t="n">
        <f aca="false">R80</f>
        <v>58000000</v>
      </c>
      <c r="V80" s="96" t="n">
        <f aca="false">U80</f>
        <v>58000000</v>
      </c>
      <c r="X80" s="95" t="n">
        <f aca="false">V80</f>
        <v>58000000</v>
      </c>
      <c r="Z80" s="96" t="n">
        <f aca="false">N80</f>
        <v>58000000</v>
      </c>
      <c r="AA80" s="24"/>
      <c r="AB80" s="96" t="n">
        <f aca="false">P80</f>
        <v>58000000</v>
      </c>
      <c r="AC80" s="96" t="n">
        <f aca="false">AB80</f>
        <v>58000000</v>
      </c>
      <c r="AE80" s="96" t="n">
        <f aca="false">X80</f>
        <v>58000000</v>
      </c>
    </row>
    <row r="81" customFormat="false" ht="12.75" hidden="false" customHeight="false" outlineLevel="0" collapsed="false">
      <c r="A81" s="84" t="s">
        <v>97</v>
      </c>
      <c r="B81" s="84"/>
      <c r="C81" s="99" t="n">
        <v>0.02</v>
      </c>
      <c r="D81" s="92" t="n">
        <f aca="false">D80*$C$81</f>
        <v>0</v>
      </c>
      <c r="E81" s="92" t="n">
        <f aca="false">E80*$C$81</f>
        <v>0</v>
      </c>
      <c r="F81" s="92" t="n">
        <f aca="false">F80*$C$81</f>
        <v>0</v>
      </c>
      <c r="G81" s="92"/>
      <c r="H81" s="92"/>
      <c r="I81" s="92"/>
      <c r="J81" s="92" t="n">
        <f aca="false">J80*$C$81</f>
        <v>0</v>
      </c>
      <c r="K81" s="92" t="n">
        <f aca="false">K80*$C$81</f>
        <v>1160000</v>
      </c>
      <c r="L81" s="92"/>
      <c r="M81" s="92" t="n">
        <f aca="false">M80*$C$81</f>
        <v>1160000</v>
      </c>
      <c r="N81" s="92" t="n">
        <f aca="false">N80*$C$81</f>
        <v>1160000</v>
      </c>
      <c r="O81" s="92" t="n">
        <f aca="false">O80*$C$81</f>
        <v>1160000</v>
      </c>
      <c r="P81" s="92" t="n">
        <f aca="false">P80*$C$81</f>
        <v>1160000</v>
      </c>
      <c r="Q81" s="92"/>
      <c r="R81" s="94" t="n">
        <f aca="false">R80*$C$81</f>
        <v>1160000</v>
      </c>
      <c r="U81" s="92" t="n">
        <f aca="false">U80*$C$81</f>
        <v>1160000</v>
      </c>
      <c r="V81" s="94" t="n">
        <f aca="false">V80*$C$81</f>
        <v>1160000</v>
      </c>
      <c r="X81" s="92" t="n">
        <f aca="false">X80*$C$81</f>
        <v>1160000</v>
      </c>
      <c r="Z81" s="94" t="n">
        <f aca="false">Z80*$C$81</f>
        <v>1160000</v>
      </c>
      <c r="AA81" s="24"/>
      <c r="AB81" s="94" t="n">
        <f aca="false">AB80*$C$81</f>
        <v>1160000</v>
      </c>
      <c r="AC81" s="94" t="n">
        <f aca="false">AC80*$C$81</f>
        <v>1160000</v>
      </c>
      <c r="AE81" s="94" t="n">
        <f aca="false">AE80*$C$81</f>
        <v>1160000</v>
      </c>
    </row>
    <row r="82" customFormat="false" ht="12.75" hidden="false" customHeight="false" outlineLevel="0" collapsed="false">
      <c r="A82" s="100" t="s">
        <v>82</v>
      </c>
      <c r="B82" s="100"/>
      <c r="C82" s="98" t="s">
        <v>71</v>
      </c>
      <c r="D82" s="92" t="n">
        <f aca="false">D80-D81</f>
        <v>0</v>
      </c>
      <c r="E82" s="92" t="n">
        <f aca="false">E80-E81</f>
        <v>0</v>
      </c>
      <c r="F82" s="92" t="n">
        <f aca="false">F80-F81</f>
        <v>0</v>
      </c>
      <c r="G82" s="92"/>
      <c r="H82" s="92"/>
      <c r="I82" s="92"/>
      <c r="J82" s="92" t="n">
        <f aca="false">J80-J81</f>
        <v>0</v>
      </c>
      <c r="K82" s="92" t="n">
        <f aca="false">K80-K81</f>
        <v>56840000</v>
      </c>
      <c r="L82" s="92"/>
      <c r="M82" s="92" t="n">
        <f aca="false">M80-M81</f>
        <v>56840000</v>
      </c>
      <c r="N82" s="92" t="n">
        <f aca="false">N80-N81</f>
        <v>56840000</v>
      </c>
      <c r="O82" s="92" t="n">
        <f aca="false">O80-O81</f>
        <v>56840000</v>
      </c>
      <c r="P82" s="92" t="n">
        <f aca="false">P80-P81</f>
        <v>56840000</v>
      </c>
      <c r="Q82" s="92"/>
      <c r="R82" s="94" t="n">
        <f aca="false">R80-R81</f>
        <v>56840000</v>
      </c>
      <c r="U82" s="92" t="n">
        <f aca="false">U80-U81</f>
        <v>56840000</v>
      </c>
      <c r="V82" s="94" t="n">
        <f aca="false">V80-V81</f>
        <v>56840000</v>
      </c>
      <c r="X82" s="92" t="n">
        <f aca="false">X80-X81</f>
        <v>56840000</v>
      </c>
      <c r="Z82" s="94" t="n">
        <f aca="false">Z80-Z81</f>
        <v>56840000</v>
      </c>
      <c r="AA82" s="24"/>
      <c r="AB82" s="94" t="n">
        <f aca="false">AB80-AB81</f>
        <v>56840000</v>
      </c>
      <c r="AC82" s="94" t="n">
        <f aca="false">AC80-AC81</f>
        <v>56840000</v>
      </c>
      <c r="AE82" s="94" t="n">
        <f aca="false">AE80-AE81</f>
        <v>56840000</v>
      </c>
    </row>
    <row r="83" customFormat="false" ht="12.75" hidden="false" customHeight="false" outlineLevel="0" collapsed="false">
      <c r="A83" s="84" t="s">
        <v>98</v>
      </c>
      <c r="B83" s="84"/>
      <c r="C83" s="91" t="s">
        <v>75</v>
      </c>
      <c r="D83" s="101" t="n">
        <v>1.097</v>
      </c>
      <c r="E83" s="101" t="n">
        <v>1.097</v>
      </c>
      <c r="F83" s="101" t="n">
        <v>1.097</v>
      </c>
      <c r="G83" s="101"/>
      <c r="H83" s="101"/>
      <c r="I83" s="101"/>
      <c r="J83" s="101" t="n">
        <f aca="false">$D83</f>
        <v>1.097</v>
      </c>
      <c r="K83" s="101" t="n">
        <f aca="false">$D83</f>
        <v>1.097</v>
      </c>
      <c r="L83" s="101"/>
      <c r="M83" s="101" t="n">
        <f aca="false">$D83</f>
        <v>1.097</v>
      </c>
      <c r="N83" s="101" t="n">
        <f aca="false">$D83</f>
        <v>1.097</v>
      </c>
      <c r="O83" s="101" t="n">
        <f aca="false">$D83</f>
        <v>1.097</v>
      </c>
      <c r="P83" s="101" t="n">
        <f aca="false">$D83</f>
        <v>1.097</v>
      </c>
      <c r="Q83" s="101"/>
      <c r="R83" s="102" t="n">
        <f aca="false">$D83</f>
        <v>1.097</v>
      </c>
      <c r="U83" s="101" t="n">
        <f aca="false">$D83</f>
        <v>1.097</v>
      </c>
      <c r="V83" s="102" t="n">
        <f aca="false">$D83</f>
        <v>1.097</v>
      </c>
      <c r="X83" s="101" t="n">
        <f aca="false">$D83</f>
        <v>1.097</v>
      </c>
      <c r="Z83" s="102" t="n">
        <f aca="false">N83</f>
        <v>1.097</v>
      </c>
      <c r="AA83" s="24"/>
      <c r="AB83" s="102" t="n">
        <f aca="false">P83</f>
        <v>1.097</v>
      </c>
      <c r="AC83" s="102" t="n">
        <f aca="false">AB83</f>
        <v>1.097</v>
      </c>
      <c r="AE83" s="102" t="n">
        <f aca="false">X83</f>
        <v>1.097</v>
      </c>
    </row>
    <row r="84" customFormat="false" ht="12.75" hidden="false" customHeight="false" outlineLevel="0" collapsed="false">
      <c r="A84" s="103" t="s">
        <v>82</v>
      </c>
      <c r="B84" s="103"/>
      <c r="C84" s="91" t="s">
        <v>83</v>
      </c>
      <c r="D84" s="92" t="n">
        <f aca="false">D82*D83</f>
        <v>0</v>
      </c>
      <c r="E84" s="92" t="n">
        <f aca="false">E82*E83</f>
        <v>0</v>
      </c>
      <c r="F84" s="92" t="n">
        <f aca="false">F82*F83</f>
        <v>0</v>
      </c>
      <c r="G84" s="92"/>
      <c r="H84" s="92"/>
      <c r="I84" s="92"/>
      <c r="J84" s="92" t="n">
        <f aca="false">J82*J83</f>
        <v>0</v>
      </c>
      <c r="K84" s="92" t="n">
        <f aca="false">K82*K83</f>
        <v>62353480</v>
      </c>
      <c r="L84" s="92"/>
      <c r="M84" s="92" t="n">
        <f aca="false">M82*M83</f>
        <v>62353480</v>
      </c>
      <c r="N84" s="92" t="n">
        <f aca="false">N82*N83</f>
        <v>62353480</v>
      </c>
      <c r="O84" s="92" t="n">
        <f aca="false">O82*O83</f>
        <v>62353480</v>
      </c>
      <c r="P84" s="92" t="n">
        <f aca="false">P82*P83</f>
        <v>62353480</v>
      </c>
      <c r="Q84" s="92"/>
      <c r="R84" s="94" t="n">
        <f aca="false">R82*R83</f>
        <v>62353480</v>
      </c>
      <c r="U84" s="92" t="n">
        <f aca="false">U82*U83</f>
        <v>62353480</v>
      </c>
      <c r="V84" s="94" t="n">
        <f aca="false">V82*V83</f>
        <v>62353480</v>
      </c>
      <c r="X84" s="92" t="n">
        <f aca="false">X82*X83</f>
        <v>62353480</v>
      </c>
      <c r="Z84" s="94" t="n">
        <f aca="false">Z82*Z83</f>
        <v>62353480</v>
      </c>
      <c r="AA84" s="24"/>
      <c r="AB84" s="94" t="n">
        <f aca="false">AB82*AB83</f>
        <v>62353480</v>
      </c>
      <c r="AC84" s="94" t="n">
        <f aca="false">AB84</f>
        <v>62353480</v>
      </c>
      <c r="AE84" s="94" t="n">
        <f aca="false">AE82*AE83</f>
        <v>62353480</v>
      </c>
    </row>
    <row r="85" customFormat="false" ht="12.75" hidden="false" customHeight="false" outlineLevel="0" collapsed="false">
      <c r="A85" s="84"/>
      <c r="B85" s="84"/>
      <c r="C85" s="91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74"/>
      <c r="U85" s="68"/>
      <c r="V85" s="74"/>
      <c r="X85" s="68"/>
      <c r="Z85" s="74"/>
      <c r="AA85" s="24"/>
      <c r="AB85" s="74"/>
      <c r="AE85" s="74"/>
    </row>
    <row r="86" customFormat="false" ht="25.5" hidden="false" customHeight="false" outlineLevel="0" collapsed="false">
      <c r="A86" s="84" t="s">
        <v>84</v>
      </c>
      <c r="B86" s="84"/>
      <c r="C86" s="98" t="s">
        <v>85</v>
      </c>
      <c r="D86" s="92" t="n">
        <f aca="false">D78/12</f>
        <v>0</v>
      </c>
      <c r="E86" s="92" t="n">
        <f aca="false">E78/12</f>
        <v>0</v>
      </c>
      <c r="F86" s="92" t="n">
        <f aca="false">F78/12</f>
        <v>0</v>
      </c>
      <c r="G86" s="92"/>
      <c r="H86" s="92"/>
      <c r="I86" s="92"/>
      <c r="J86" s="92" t="n">
        <f aca="false">J78/12</f>
        <v>0</v>
      </c>
      <c r="K86" s="92" t="n">
        <f aca="false">K78/12</f>
        <v>706147.4075</v>
      </c>
      <c r="L86" s="92"/>
      <c r="M86" s="92" t="n">
        <f aca="false">M78/12</f>
        <v>786719.138333333</v>
      </c>
      <c r="N86" s="92" t="n">
        <f aca="false">N78/12</f>
        <v>821308.583333333</v>
      </c>
      <c r="O86" s="92" t="n">
        <f aca="false">O78/12</f>
        <v>852160.673333333</v>
      </c>
      <c r="P86" s="92" t="n">
        <f aca="false">P78/12</f>
        <v>1062500.34</v>
      </c>
      <c r="Q86" s="92"/>
      <c r="R86" s="94" t="n">
        <f aca="false">R78/12</f>
        <v>29891.2003468799</v>
      </c>
      <c r="U86" s="92" t="n">
        <f aca="false">U78/12</f>
        <v>1172177.04333333</v>
      </c>
      <c r="V86" s="94" t="n">
        <f aca="false">V78/12</f>
        <v>1340919.72147557</v>
      </c>
      <c r="X86" s="92" t="n">
        <f aca="false">X78/12</f>
        <v>818048.126666667</v>
      </c>
      <c r="Z86" s="94" t="n">
        <f aca="false">Z78/12</f>
        <v>786386.223666769</v>
      </c>
      <c r="AA86" s="24"/>
      <c r="AB86" s="94" t="n">
        <f aca="false">AB78/12</f>
        <v>93997.5070291324</v>
      </c>
      <c r="AC86" s="94" t="n">
        <f aca="false">AC78/12</f>
        <v>107310.666666667</v>
      </c>
      <c r="AE86" s="94" t="n">
        <f aca="false">AE78/12</f>
        <v>761129.543020033</v>
      </c>
    </row>
    <row r="87" customFormat="false" ht="12.75" hidden="false" customHeight="false" outlineLevel="0" collapsed="false">
      <c r="A87" s="84"/>
      <c r="B87" s="84"/>
      <c r="C87" s="98" t="s">
        <v>99</v>
      </c>
      <c r="D87" s="101" t="n">
        <f aca="false">IF(D84=0,0,D78/D84)</f>
        <v>0</v>
      </c>
      <c r="E87" s="101" t="n">
        <f aca="false">IF(E84=0,0,E78/E84)</f>
        <v>0</v>
      </c>
      <c r="F87" s="101" t="n">
        <f aca="false">IF(F84=0,0,F78/F84)</f>
        <v>0</v>
      </c>
      <c r="G87" s="101"/>
      <c r="H87" s="101"/>
      <c r="I87" s="101"/>
      <c r="J87" s="101" t="n">
        <f aca="false">IF(J84=0,0,J78/J84)</f>
        <v>0</v>
      </c>
      <c r="K87" s="101" t="n">
        <f aca="false">IF(K84=0,0,K78/K84)</f>
        <v>0.13589889273221</v>
      </c>
      <c r="L87" s="101"/>
      <c r="M87" s="101" t="n">
        <f aca="false">M78/M84</f>
        <v>0.151405016367972</v>
      </c>
      <c r="N87" s="101" t="n">
        <f aca="false">N78/N84</f>
        <v>0.158061795428258</v>
      </c>
      <c r="O87" s="101" t="n">
        <f aca="false">O78/O84</f>
        <v>0.163999316156853</v>
      </c>
      <c r="P87" s="101" t="n">
        <f aca="false">P78/P84</f>
        <v>0.204479430498506</v>
      </c>
      <c r="Q87" s="101"/>
      <c r="R87" s="102" t="n">
        <f aca="false">R78/R84</f>
        <v>0.00575259639337786</v>
      </c>
      <c r="U87" s="101" t="n">
        <f aca="false">U78/U84</f>
        <v>0.225586840060892</v>
      </c>
      <c r="V87" s="102" t="n">
        <f aca="false">V78/V84</f>
        <v>0.258061565412337</v>
      </c>
      <c r="X87" s="101" t="n">
        <f aca="false">X78/X84</f>
        <v>0.157434316737414</v>
      </c>
      <c r="Z87" s="102" t="n">
        <f aca="false">Z78/Z84</f>
        <v>0.15134094655184</v>
      </c>
      <c r="AA87" s="24"/>
      <c r="AB87" s="102" t="n">
        <f aca="false">AB78/AB84</f>
        <v>0.0180899299341366</v>
      </c>
      <c r="AC87" s="102" t="n">
        <f aca="false">AC78/AC84</f>
        <v>0.0206520630444363</v>
      </c>
      <c r="AE87" s="102" t="n">
        <f aca="false">AE78/AE84</f>
        <v>0.146480268883796</v>
      </c>
    </row>
    <row r="88" customFormat="false" ht="12.75" hidden="false" customHeight="false" outlineLevel="0" collapsed="false">
      <c r="A88" s="84"/>
      <c r="B88" s="84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74"/>
      <c r="U88" s="68"/>
      <c r="V88" s="74"/>
      <c r="X88" s="68"/>
      <c r="Z88" s="74"/>
      <c r="AA88" s="24"/>
      <c r="AB88" s="74"/>
      <c r="AE88" s="74"/>
    </row>
    <row r="89" customFormat="false" ht="38.25" hidden="false" customHeight="false" outlineLevel="0" collapsed="false">
      <c r="A89" s="84" t="s">
        <v>86</v>
      </c>
      <c r="B89" s="84"/>
      <c r="C89" s="98" t="s">
        <v>99</v>
      </c>
      <c r="D89" s="101" t="n">
        <f aca="false">IF(D84=0,0,D68)</f>
        <v>0</v>
      </c>
      <c r="E89" s="101" t="n">
        <f aca="false">IF(E84=0,0,E68)</f>
        <v>0</v>
      </c>
      <c r="F89" s="101" t="n">
        <f aca="false">IF(F84=0,0,F68)</f>
        <v>0</v>
      </c>
      <c r="G89" s="101"/>
      <c r="H89" s="101"/>
      <c r="I89" s="101"/>
      <c r="J89" s="101" t="n">
        <f aca="false">IF(J84=0,0,J68)</f>
        <v>0</v>
      </c>
      <c r="K89" s="101" t="n">
        <f aca="false">IF(K84=0,0,K68)</f>
        <v>0.0150412760598853</v>
      </c>
      <c r="L89" s="101"/>
      <c r="M89" s="101" t="n">
        <f aca="false">IF(M84=0,0,M68)</f>
        <v>0.0149975514201763</v>
      </c>
      <c r="N89" s="101" t="n">
        <f aca="false">IF(N84=0,0,N68)</f>
        <v>0.0149975514201763</v>
      </c>
      <c r="O89" s="101" t="n">
        <f aca="false">IF(O84=0,0,O68)</f>
        <v>0.0149975514201763</v>
      </c>
      <c r="P89" s="101" t="n">
        <f aca="false">IF(P84=0,0,P68)</f>
        <v>0.0149975514201763</v>
      </c>
      <c r="Q89" s="101"/>
      <c r="R89" s="102" t="n">
        <f aca="false">IF(R84=0,0,R68)</f>
        <v>0</v>
      </c>
      <c r="S89" s="98"/>
      <c r="T89" s="98"/>
      <c r="U89" s="101" t="n">
        <f aca="false">U68</f>
        <v>0.015</v>
      </c>
      <c r="V89" s="102" t="n">
        <f aca="false">V68</f>
        <v>0.015</v>
      </c>
      <c r="W89" s="98"/>
      <c r="X89" s="101" t="n">
        <f aca="false">X68</f>
        <v>0.015</v>
      </c>
      <c r="Y89" s="98"/>
      <c r="Z89" s="102" t="n">
        <f aca="false">Z68</f>
        <v>0.015</v>
      </c>
      <c r="AA89" s="104"/>
      <c r="AB89" s="102" t="n">
        <f aca="false">AB68</f>
        <v>0</v>
      </c>
      <c r="AC89" s="102" t="n">
        <f aca="false">AC68</f>
        <v>0</v>
      </c>
      <c r="AD89" s="98"/>
      <c r="AE89" s="102" t="n">
        <f aca="false">AE68/AE84</f>
        <v>0</v>
      </c>
    </row>
    <row r="90" customFormat="false" ht="38.25" hidden="false" customHeight="false" outlineLevel="0" collapsed="false">
      <c r="A90" s="84"/>
      <c r="B90" s="84"/>
      <c r="C90" s="98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5" t="s">
        <v>100</v>
      </c>
      <c r="Q90" s="101"/>
      <c r="R90" s="106" t="s">
        <v>101</v>
      </c>
      <c r="S90" s="98"/>
      <c r="T90" s="98"/>
      <c r="U90" s="101"/>
      <c r="V90" s="102"/>
      <c r="W90" s="98"/>
      <c r="X90" s="101"/>
      <c r="Y90" s="98"/>
      <c r="Z90" s="102"/>
      <c r="AA90" s="104"/>
      <c r="AB90" s="102"/>
      <c r="AC90" s="98"/>
      <c r="AD90" s="98"/>
      <c r="AE90" s="102"/>
    </row>
    <row r="91" customFormat="false" ht="38.25" hidden="false" customHeight="false" outlineLevel="0" collapsed="false">
      <c r="A91" s="84" t="s">
        <v>88</v>
      </c>
      <c r="B91" s="84"/>
      <c r="C91" s="98" t="s">
        <v>99</v>
      </c>
      <c r="D91" s="101" t="n">
        <f aca="false">IF(D84=0,0,D70)</f>
        <v>0</v>
      </c>
      <c r="E91" s="101" t="n">
        <f aca="false">IF(E84=0,0,E70)</f>
        <v>0</v>
      </c>
      <c r="F91" s="101" t="n">
        <f aca="false">IF(F84=0,0,F70)</f>
        <v>0</v>
      </c>
      <c r="G91" s="101"/>
      <c r="H91" s="101"/>
      <c r="I91" s="101"/>
      <c r="J91" s="101" t="n">
        <f aca="false">IF(J84=0,0,J70)</f>
        <v>0</v>
      </c>
      <c r="K91" s="101" t="n">
        <f aca="false">IF(K84=0,0,K70)</f>
        <v>0.01238281796558</v>
      </c>
      <c r="L91" s="101"/>
      <c r="M91" s="101" t="n">
        <f aca="false">IF(M84=0,0,M70)</f>
        <v>0.0123714495592556</v>
      </c>
      <c r="N91" s="101" t="n">
        <f aca="false">IF(N84=0,0,N70)</f>
        <v>0.0123714495592556</v>
      </c>
      <c r="O91" s="101" t="n">
        <f aca="false">IF(O84=0,0,O70)</f>
        <v>0.0123714495592556</v>
      </c>
      <c r="P91" s="101" t="n">
        <f aca="false">IF(P84=0,0,P70)</f>
        <v>0.0123714495592556</v>
      </c>
      <c r="Q91" s="101"/>
      <c r="R91" s="102" t="n">
        <f aca="false">IF(R84=0,0,R70)</f>
        <v>0</v>
      </c>
      <c r="S91" s="98"/>
      <c r="T91" s="98"/>
      <c r="U91" s="102" t="n">
        <f aca="false">$X91+(U49-$X49)/U84</f>
        <v>0.0272864150110636</v>
      </c>
      <c r="V91" s="102" t="n">
        <f aca="false">$X91+(V49-$X49)/V84</f>
        <v>0.0272864150110636</v>
      </c>
      <c r="W91" s="98"/>
      <c r="X91" s="101" t="n">
        <f aca="false">X70</f>
        <v>0.0123714495592556</v>
      </c>
      <c r="Y91" s="98"/>
      <c r="Z91" s="102" t="n">
        <f aca="false">Z70</f>
        <v>0.0123714495592556</v>
      </c>
      <c r="AA91" s="104"/>
      <c r="AB91" s="102" t="n">
        <f aca="false">AB70</f>
        <v>0</v>
      </c>
      <c r="AC91" s="102" t="n">
        <f aca="false">AC70</f>
        <v>0</v>
      </c>
      <c r="AD91" s="98"/>
      <c r="AE91" s="102" t="n">
        <f aca="false">AE70</f>
        <v>0.00306072477962782</v>
      </c>
    </row>
    <row r="92" customFormat="false" ht="39" hidden="false" customHeight="false" outlineLevel="0" collapsed="false">
      <c r="A92" s="84"/>
      <c r="B92" s="84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105" t="s">
        <v>100</v>
      </c>
      <c r="Q92" s="68"/>
      <c r="R92" s="106" t="s">
        <v>101</v>
      </c>
      <c r="U92" s="68"/>
      <c r="V92" s="74"/>
      <c r="X92" s="68"/>
      <c r="Z92" s="74"/>
      <c r="AA92" s="24"/>
      <c r="AB92" s="74"/>
      <c r="AE92" s="74"/>
    </row>
    <row r="93" customFormat="false" ht="13.5" hidden="false" customHeight="false" outlineLevel="0" collapsed="false">
      <c r="A93" s="81" t="s">
        <v>102</v>
      </c>
      <c r="B93" s="82"/>
      <c r="C93" s="83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74"/>
      <c r="U93" s="68"/>
      <c r="V93" s="74"/>
      <c r="X93" s="68"/>
      <c r="Z93" s="74"/>
      <c r="AA93" s="24"/>
      <c r="AB93" s="74"/>
      <c r="AE93" s="74"/>
    </row>
    <row r="94" customFormat="false" ht="12.75" hidden="false" customHeight="false" outlineLevel="0" collapsed="false">
      <c r="A94" s="84" t="s">
        <v>91</v>
      </c>
      <c r="B94" s="84"/>
      <c r="C94" s="85" t="s">
        <v>92</v>
      </c>
      <c r="D94" s="86" t="n">
        <v>0</v>
      </c>
      <c r="E94" s="86" t="n">
        <v>0</v>
      </c>
      <c r="F94" s="86" t="n">
        <v>0</v>
      </c>
      <c r="G94" s="87"/>
      <c r="H94" s="87"/>
      <c r="I94" s="87"/>
      <c r="J94" s="87" t="n">
        <v>0</v>
      </c>
      <c r="K94" s="87" t="n">
        <v>0</v>
      </c>
      <c r="L94" s="68"/>
      <c r="M94" s="87" t="n">
        <f aca="false">58/160</f>
        <v>0.3625</v>
      </c>
      <c r="N94" s="87" t="n">
        <f aca="false">M94</f>
        <v>0.3625</v>
      </c>
      <c r="O94" s="87" t="n">
        <f aca="false">M94</f>
        <v>0.3625</v>
      </c>
      <c r="P94" s="87" t="n">
        <f aca="false">M94</f>
        <v>0.3625</v>
      </c>
      <c r="Q94" s="87"/>
      <c r="R94" s="88" t="n">
        <f aca="false">P94</f>
        <v>0.3625</v>
      </c>
      <c r="U94" s="89" t="n">
        <f aca="false">P94</f>
        <v>0.3625</v>
      </c>
      <c r="V94" s="90" t="n">
        <f aca="false">U94</f>
        <v>0.3625</v>
      </c>
      <c r="W94" s="98"/>
      <c r="X94" s="89" t="n">
        <f aca="false">V94</f>
        <v>0.3625</v>
      </c>
      <c r="Y94" s="89"/>
      <c r="Z94" s="90" t="n">
        <f aca="false">X94</f>
        <v>0.3625</v>
      </c>
      <c r="AA94" s="90"/>
      <c r="AB94" s="90" t="n">
        <f aca="false">Z94</f>
        <v>0.3625</v>
      </c>
      <c r="AC94" s="90" t="n">
        <f aca="false">AB94</f>
        <v>0.3625</v>
      </c>
      <c r="AD94" s="89"/>
      <c r="AE94" s="90" t="n">
        <f aca="false">AC94</f>
        <v>0.3625</v>
      </c>
    </row>
    <row r="95" customFormat="false" ht="12.75" hidden="false" customHeight="false" outlineLevel="0" collapsed="false">
      <c r="C95" s="91" t="s">
        <v>93</v>
      </c>
      <c r="D95" s="92" t="n">
        <f aca="false">D45*D94</f>
        <v>0</v>
      </c>
      <c r="E95" s="92" t="n">
        <f aca="false">E45*E94</f>
        <v>0</v>
      </c>
      <c r="F95" s="92" t="n">
        <f aca="false">F45*F94</f>
        <v>0</v>
      </c>
      <c r="G95" s="92"/>
      <c r="H95" s="92"/>
      <c r="I95" s="92"/>
      <c r="J95" s="92" t="n">
        <f aca="false">J45*J94</f>
        <v>0</v>
      </c>
      <c r="K95" s="92" t="n">
        <f aca="false">K45*K94</f>
        <v>0</v>
      </c>
      <c r="L95" s="92"/>
      <c r="M95" s="92" t="n">
        <f aca="false">M45*M94</f>
        <v>8346898.175</v>
      </c>
      <c r="N95" s="92" t="n">
        <f aca="false">N45*N94</f>
        <v>8713883.75</v>
      </c>
      <c r="O95" s="92" t="n">
        <f aca="false">O45*O94</f>
        <v>9041216.9</v>
      </c>
      <c r="P95" s="93" t="n">
        <f aca="false">O95</f>
        <v>9041216.9</v>
      </c>
      <c r="Q95" s="92"/>
      <c r="R95" s="94" t="n">
        <f aca="false">R45*R94</f>
        <v>317138.345143726</v>
      </c>
      <c r="U95" s="92" t="n">
        <f aca="false">X95</f>
        <v>8679291.1</v>
      </c>
      <c r="V95" s="94" t="n">
        <f aca="false">X95</f>
        <v>8679291.1</v>
      </c>
      <c r="X95" s="94" t="n">
        <f aca="false">X45*X94</f>
        <v>8679291.1</v>
      </c>
      <c r="Z95" s="94" t="n">
        <f aca="false">Z45*Z94</f>
        <v>8343366.03158645</v>
      </c>
      <c r="AA95" s="24"/>
      <c r="AB95" s="94" t="n">
        <f aca="false">AB45*AB94</f>
        <v>997290.623357868</v>
      </c>
      <c r="AC95" s="94" t="n">
        <f aca="false">AC45*AC94</f>
        <v>1138540</v>
      </c>
      <c r="AE95" s="94" t="n">
        <v>0</v>
      </c>
    </row>
    <row r="96" customFormat="false" ht="12.75" hidden="false" customHeight="false" outlineLevel="0" collapsed="false">
      <c r="A96" s="38"/>
      <c r="B96" s="38"/>
      <c r="C96" s="91" t="s">
        <v>94</v>
      </c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95" t="n">
        <f aca="false">P77</f>
        <v>2524076</v>
      </c>
      <c r="Q96" s="95"/>
      <c r="R96" s="74"/>
      <c r="U96" s="95" t="n">
        <f aca="false">U45-X45</f>
        <v>4249547</v>
      </c>
      <c r="V96" s="96" t="n">
        <f aca="false">V45-X45</f>
        <v>6274459.13770685</v>
      </c>
      <c r="X96" s="68"/>
      <c r="Z96" s="74"/>
      <c r="AA96" s="24"/>
      <c r="AB96" s="96"/>
      <c r="AC96" s="24"/>
      <c r="AE96" s="96" t="n">
        <f aca="false">AE77</f>
        <v>9133554.5162404</v>
      </c>
    </row>
    <row r="97" customFormat="false" ht="12.75" hidden="false" customHeight="false" outlineLevel="0" collapsed="false">
      <c r="A97" s="38"/>
      <c r="B97" s="38"/>
      <c r="C97" s="97" t="s">
        <v>95</v>
      </c>
      <c r="D97" s="95" t="n">
        <f aca="false">D95+D96</f>
        <v>0</v>
      </c>
      <c r="E97" s="95" t="n">
        <f aca="false">E95+E96</f>
        <v>0</v>
      </c>
      <c r="F97" s="95" t="n">
        <f aca="false">F95+F96</f>
        <v>0</v>
      </c>
      <c r="G97" s="95"/>
      <c r="H97" s="95"/>
      <c r="I97" s="95"/>
      <c r="J97" s="95" t="n">
        <f aca="false">J95+J96</f>
        <v>0</v>
      </c>
      <c r="K97" s="95" t="n">
        <f aca="false">K95+K96</f>
        <v>0</v>
      </c>
      <c r="L97" s="95"/>
      <c r="M97" s="95" t="n">
        <f aca="false">M95+M96</f>
        <v>8346898.175</v>
      </c>
      <c r="N97" s="95" t="n">
        <f aca="false">N95+N96</f>
        <v>8713883.75</v>
      </c>
      <c r="O97" s="95" t="n">
        <f aca="false">O95+O96</f>
        <v>9041216.9</v>
      </c>
      <c r="P97" s="95" t="n">
        <f aca="false">P95+P96</f>
        <v>11565292.9</v>
      </c>
      <c r="Q97" s="95"/>
      <c r="R97" s="96" t="n">
        <f aca="false">R95+R96</f>
        <v>317138.345143726</v>
      </c>
      <c r="U97" s="95" t="n">
        <f aca="false">U95+U96</f>
        <v>12928838.1</v>
      </c>
      <c r="V97" s="96" t="n">
        <f aca="false">V95+V96</f>
        <v>14953750.2377069</v>
      </c>
      <c r="X97" s="95" t="n">
        <f aca="false">X95+X96</f>
        <v>8679291.1</v>
      </c>
      <c r="Z97" s="96" t="n">
        <f aca="false">Z95+Z96</f>
        <v>8343366.03158645</v>
      </c>
      <c r="AA97" s="24"/>
      <c r="AB97" s="96" t="n">
        <f aca="false">AB95+AB96</f>
        <v>997290.623357868</v>
      </c>
      <c r="AC97" s="96" t="n">
        <f aca="false">AC95+AC96</f>
        <v>1138540</v>
      </c>
      <c r="AE97" s="96" t="n">
        <f aca="false">AE95+AE96</f>
        <v>9133554.5162404</v>
      </c>
    </row>
    <row r="98" customFormat="false" ht="12.75" hidden="false" customHeight="false" outlineLevel="0" collapsed="false">
      <c r="A98" s="38"/>
      <c r="B98" s="38"/>
      <c r="C98" s="97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6"/>
      <c r="U98" s="95"/>
      <c r="V98" s="96"/>
      <c r="X98" s="95"/>
      <c r="Z98" s="96"/>
      <c r="AA98" s="24"/>
      <c r="AB98" s="96"/>
      <c r="AC98" s="24"/>
      <c r="AE98" s="96"/>
    </row>
    <row r="99" customFormat="false" ht="12.75" hidden="false" customHeight="false" outlineLevel="0" collapsed="false">
      <c r="A99" s="103" t="s">
        <v>82</v>
      </c>
      <c r="B99" s="103"/>
      <c r="C99" s="91" t="s">
        <v>83</v>
      </c>
      <c r="D99" s="92" t="n">
        <f aca="false">D84</f>
        <v>0</v>
      </c>
      <c r="E99" s="92" t="n">
        <f aca="false">E84</f>
        <v>0</v>
      </c>
      <c r="F99" s="92" t="n">
        <f aca="false">F84</f>
        <v>0</v>
      </c>
      <c r="G99" s="92"/>
      <c r="H99" s="92"/>
      <c r="I99" s="92"/>
      <c r="J99" s="92" t="n">
        <v>0</v>
      </c>
      <c r="K99" s="92" t="n">
        <v>0</v>
      </c>
      <c r="L99" s="92"/>
      <c r="M99" s="92" t="n">
        <f aca="false">M84</f>
        <v>62353480</v>
      </c>
      <c r="N99" s="92" t="n">
        <f aca="false">N84</f>
        <v>62353480</v>
      </c>
      <c r="O99" s="92" t="n">
        <f aca="false">O84</f>
        <v>62353480</v>
      </c>
      <c r="P99" s="92" t="n">
        <f aca="false">P84</f>
        <v>62353480</v>
      </c>
      <c r="Q99" s="92"/>
      <c r="R99" s="94" t="n">
        <f aca="false">R84</f>
        <v>62353480</v>
      </c>
      <c r="U99" s="92" t="n">
        <f aca="false">U84</f>
        <v>62353480</v>
      </c>
      <c r="V99" s="94" t="n">
        <f aca="false">V84</f>
        <v>62353480</v>
      </c>
      <c r="X99" s="92" t="n">
        <f aca="false">X84</f>
        <v>62353480</v>
      </c>
      <c r="Z99" s="94" t="n">
        <f aca="false">Z84</f>
        <v>62353480</v>
      </c>
      <c r="AA99" s="24"/>
      <c r="AB99" s="94" t="n">
        <f aca="false">AB84</f>
        <v>62353480</v>
      </c>
      <c r="AC99" s="94" t="n">
        <f aca="false">AB99</f>
        <v>62353480</v>
      </c>
      <c r="AE99" s="94" t="n">
        <f aca="false">AE84</f>
        <v>62353480</v>
      </c>
    </row>
    <row r="100" customFormat="false" ht="12.75" hidden="false" customHeight="false" outlineLevel="0" collapsed="false">
      <c r="A100" s="84"/>
      <c r="B100" s="84"/>
      <c r="C100" s="9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74"/>
      <c r="U100" s="68"/>
      <c r="V100" s="74"/>
      <c r="X100" s="68"/>
      <c r="Z100" s="74"/>
      <c r="AA100" s="24"/>
      <c r="AB100" s="74"/>
      <c r="AC100" s="24"/>
      <c r="AE100" s="74"/>
    </row>
    <row r="101" customFormat="false" ht="25.5" hidden="false" customHeight="false" outlineLevel="0" collapsed="false">
      <c r="A101" s="84" t="s">
        <v>84</v>
      </c>
      <c r="B101" s="84"/>
      <c r="C101" s="98" t="s">
        <v>85</v>
      </c>
      <c r="D101" s="92" t="n">
        <f aca="false">D97/12</f>
        <v>0</v>
      </c>
      <c r="E101" s="92" t="n">
        <f aca="false">E97/12</f>
        <v>0</v>
      </c>
      <c r="F101" s="92" t="n">
        <f aca="false">F97/12</f>
        <v>0</v>
      </c>
      <c r="G101" s="92"/>
      <c r="H101" s="92"/>
      <c r="I101" s="92"/>
      <c r="J101" s="92" t="n">
        <f aca="false">J97/12</f>
        <v>0</v>
      </c>
      <c r="K101" s="92" t="n">
        <f aca="false">K97/12</f>
        <v>0</v>
      </c>
      <c r="L101" s="92"/>
      <c r="M101" s="92" t="n">
        <f aca="false">M97/12</f>
        <v>695574.847916667</v>
      </c>
      <c r="N101" s="92" t="n">
        <f aca="false">N97/12</f>
        <v>726156.979166667</v>
      </c>
      <c r="O101" s="92" t="n">
        <f aca="false">O97/12</f>
        <v>753434.741666667</v>
      </c>
      <c r="P101" s="92" t="n">
        <f aca="false">P97/12</f>
        <v>963774.408333333</v>
      </c>
      <c r="Q101" s="92"/>
      <c r="R101" s="94" t="n">
        <f aca="false">R97/12</f>
        <v>26428.1954286438</v>
      </c>
      <c r="U101" s="92" t="n">
        <f aca="false">U97/12</f>
        <v>1077403.175</v>
      </c>
      <c r="V101" s="94" t="n">
        <f aca="false">V97/12</f>
        <v>1246145.85314224</v>
      </c>
      <c r="X101" s="92" t="n">
        <f aca="false">X97/12</f>
        <v>723274.258333333</v>
      </c>
      <c r="Z101" s="94" t="n">
        <f aca="false">Z97/12</f>
        <v>695280.502632204</v>
      </c>
      <c r="AA101" s="24"/>
      <c r="AB101" s="94" t="n">
        <f aca="false">AB97/12</f>
        <v>83107.551946489</v>
      </c>
      <c r="AC101" s="94" t="n">
        <f aca="false">AC97/12</f>
        <v>94878.3333333333</v>
      </c>
      <c r="AE101" s="94" t="n">
        <f aca="false">AE97/12</f>
        <v>761129.543020033</v>
      </c>
    </row>
    <row r="102" customFormat="false" ht="12.75" hidden="false" customHeight="false" outlineLevel="0" collapsed="false">
      <c r="A102" s="84"/>
      <c r="B102" s="84"/>
      <c r="C102" s="98" t="s">
        <v>99</v>
      </c>
      <c r="D102" s="101" t="n">
        <f aca="false">IF(D99=0,0,D97/D99)</f>
        <v>0</v>
      </c>
      <c r="E102" s="101" t="n">
        <f aca="false">IF(E99=0,0,E97/E99)</f>
        <v>0</v>
      </c>
      <c r="F102" s="101" t="n">
        <f aca="false">IF(F99=0,0,F97/F99)</f>
        <v>0</v>
      </c>
      <c r="G102" s="101"/>
      <c r="H102" s="101"/>
      <c r="I102" s="101"/>
      <c r="J102" s="101" t="n">
        <f aca="false">IF(J99=0,0,J97/J99)</f>
        <v>0</v>
      </c>
      <c r="K102" s="101" t="n">
        <f aca="false">IF(K99=0,0,K97/K99)</f>
        <v>0</v>
      </c>
      <c r="L102" s="101"/>
      <c r="M102" s="101" t="n">
        <f aca="false">IF(M99=0,0,M97/M99)</f>
        <v>0.133864191300951</v>
      </c>
      <c r="N102" s="101" t="n">
        <f aca="false">IF(N99=0,0,N97/N99)</f>
        <v>0.139749758153033</v>
      </c>
      <c r="O102" s="101" t="n">
        <f aca="false">IF(O99=0,0,O97/O99)</f>
        <v>0.144999395382583</v>
      </c>
      <c r="P102" s="101" t="n">
        <f aca="false">IF(P99=0,0,P97/P99)</f>
        <v>0.185479509724237</v>
      </c>
      <c r="Q102" s="101"/>
      <c r="R102" s="102" t="n">
        <f aca="false">IF(R99=0,0,R97/R99)</f>
        <v>0.00508613705512067</v>
      </c>
      <c r="U102" s="101" t="n">
        <f aca="false">U97/U99</f>
        <v>0.207347498487655</v>
      </c>
      <c r="V102" s="102" t="n">
        <f aca="false">V97/V99</f>
        <v>0.2398222238391</v>
      </c>
      <c r="X102" s="101" t="n">
        <f aca="false">X97/X99</f>
        <v>0.139194975164177</v>
      </c>
      <c r="Z102" s="102" t="n">
        <f aca="false">Z97/Z99</f>
        <v>0.13380754420742</v>
      </c>
      <c r="AA102" s="24"/>
      <c r="AB102" s="102" t="n">
        <f aca="false">AB97/AB99</f>
        <v>0.0159941453685964</v>
      </c>
      <c r="AC102" s="102" t="n">
        <f aca="false">AC97/AC99</f>
        <v>0.0182594459844102</v>
      </c>
      <c r="AE102" s="102" t="n">
        <f aca="false">AE97/AE99</f>
        <v>0.146480268883796</v>
      </c>
    </row>
    <row r="103" customFormat="false" ht="12.75" hidden="false" customHeight="false" outlineLevel="0" collapsed="false">
      <c r="A103" s="84"/>
      <c r="B103" s="84"/>
      <c r="C103" s="9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74"/>
      <c r="U103" s="68"/>
      <c r="V103" s="74"/>
      <c r="X103" s="68"/>
      <c r="Z103" s="74"/>
      <c r="AA103" s="24"/>
      <c r="AB103" s="74"/>
      <c r="AC103" s="24"/>
      <c r="AE103" s="74"/>
    </row>
    <row r="104" customFormat="false" ht="38.25" hidden="false" customHeight="false" outlineLevel="0" collapsed="false">
      <c r="A104" s="84" t="s">
        <v>86</v>
      </c>
      <c r="B104" s="84"/>
      <c r="C104" s="98" t="s">
        <v>99</v>
      </c>
      <c r="D104" s="101" t="n">
        <f aca="false">D89</f>
        <v>0</v>
      </c>
      <c r="E104" s="101" t="n">
        <f aca="false">E89</f>
        <v>0</v>
      </c>
      <c r="F104" s="101" t="n">
        <f aca="false">F89</f>
        <v>0</v>
      </c>
      <c r="G104" s="101"/>
      <c r="H104" s="101"/>
      <c r="I104" s="101"/>
      <c r="J104" s="101" t="n">
        <f aca="false">J89</f>
        <v>0</v>
      </c>
      <c r="K104" s="101" t="n">
        <f aca="false">K89</f>
        <v>0.0150412760598853</v>
      </c>
      <c r="L104" s="101"/>
      <c r="M104" s="101" t="n">
        <f aca="false">M89</f>
        <v>0.0149975514201763</v>
      </c>
      <c r="N104" s="101" t="n">
        <f aca="false">N89</f>
        <v>0.0149975514201763</v>
      </c>
      <c r="O104" s="101" t="n">
        <f aca="false">O89</f>
        <v>0.0149975514201763</v>
      </c>
      <c r="P104" s="101" t="n">
        <f aca="false">P89</f>
        <v>0.0149975514201763</v>
      </c>
      <c r="Q104" s="101"/>
      <c r="R104" s="102" t="n">
        <f aca="false">R89</f>
        <v>0</v>
      </c>
      <c r="S104" s="98"/>
      <c r="T104" s="98"/>
      <c r="U104" s="101" t="n">
        <f aca="false">U89</f>
        <v>0.015</v>
      </c>
      <c r="V104" s="102" t="n">
        <f aca="false">V89</f>
        <v>0.015</v>
      </c>
      <c r="W104" s="98"/>
      <c r="X104" s="101" t="n">
        <f aca="false">X89</f>
        <v>0.015</v>
      </c>
      <c r="Y104" s="98"/>
      <c r="Z104" s="102" t="n">
        <f aca="false">Z89</f>
        <v>0.015</v>
      </c>
      <c r="AA104" s="104"/>
      <c r="AB104" s="102" t="n">
        <f aca="false">AB89</f>
        <v>0</v>
      </c>
      <c r="AC104" s="102" t="n">
        <f aca="false">AC89</f>
        <v>0</v>
      </c>
      <c r="AD104" s="98"/>
      <c r="AE104" s="102" t="n">
        <f aca="false">AE89</f>
        <v>0</v>
      </c>
    </row>
    <row r="105" customFormat="false" ht="38.25" hidden="false" customHeight="false" outlineLevel="0" collapsed="false">
      <c r="A105" s="84"/>
      <c r="B105" s="84"/>
      <c r="C105" s="98"/>
      <c r="D105" s="101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1"/>
      <c r="P105" s="105" t="s">
        <v>100</v>
      </c>
      <c r="Q105" s="101"/>
      <c r="R105" s="106" t="s">
        <v>101</v>
      </c>
      <c r="S105" s="98"/>
      <c r="T105" s="98"/>
      <c r="U105" s="101"/>
      <c r="V105" s="102"/>
      <c r="W105" s="98"/>
      <c r="X105" s="101"/>
      <c r="Y105" s="98"/>
      <c r="Z105" s="102"/>
      <c r="AA105" s="104"/>
      <c r="AB105" s="106" t="s">
        <v>101</v>
      </c>
      <c r="AC105" s="98"/>
      <c r="AD105" s="98"/>
      <c r="AE105" s="102"/>
    </row>
    <row r="106" customFormat="false" ht="38.25" hidden="false" customHeight="false" outlineLevel="0" collapsed="false">
      <c r="A106" s="84" t="s">
        <v>88</v>
      </c>
      <c r="B106" s="84"/>
      <c r="C106" s="98" t="s">
        <v>99</v>
      </c>
      <c r="D106" s="101" t="n">
        <f aca="false">D91</f>
        <v>0</v>
      </c>
      <c r="E106" s="101" t="n">
        <f aca="false">E91</f>
        <v>0</v>
      </c>
      <c r="F106" s="101" t="n">
        <f aca="false">F91</f>
        <v>0</v>
      </c>
      <c r="G106" s="101"/>
      <c r="H106" s="101"/>
      <c r="I106" s="101"/>
      <c r="J106" s="101" t="n">
        <f aca="false">J91</f>
        <v>0</v>
      </c>
      <c r="K106" s="101" t="n">
        <f aca="false">K91</f>
        <v>0.01238281796558</v>
      </c>
      <c r="L106" s="101"/>
      <c r="M106" s="101" t="n">
        <f aca="false">M91</f>
        <v>0.0123714495592556</v>
      </c>
      <c r="N106" s="101" t="n">
        <f aca="false">N91</f>
        <v>0.0123714495592556</v>
      </c>
      <c r="O106" s="101" t="n">
        <f aca="false">O91</f>
        <v>0.0123714495592556</v>
      </c>
      <c r="P106" s="101" t="n">
        <f aca="false">P91</f>
        <v>0.0123714495592556</v>
      </c>
      <c r="Q106" s="101"/>
      <c r="R106" s="102" t="n">
        <f aca="false">R91</f>
        <v>0</v>
      </c>
      <c r="S106" s="98"/>
      <c r="T106" s="98"/>
      <c r="U106" s="101" t="n">
        <f aca="false">U91</f>
        <v>0.0272864150110636</v>
      </c>
      <c r="V106" s="102" t="n">
        <f aca="false">V91</f>
        <v>0.0272864150110636</v>
      </c>
      <c r="W106" s="98"/>
      <c r="X106" s="101" t="n">
        <f aca="false">X91</f>
        <v>0.0123714495592556</v>
      </c>
      <c r="Y106" s="98"/>
      <c r="Z106" s="102" t="n">
        <f aca="false">Z91</f>
        <v>0.0123714495592556</v>
      </c>
      <c r="AA106" s="104"/>
      <c r="AB106" s="102" t="n">
        <f aca="false">AB91</f>
        <v>0</v>
      </c>
      <c r="AC106" s="102" t="n">
        <f aca="false">AC91</f>
        <v>0</v>
      </c>
      <c r="AD106" s="98"/>
      <c r="AE106" s="102" t="n">
        <f aca="false">AE91</f>
        <v>0.00306072477962782</v>
      </c>
    </row>
    <row r="107" customFormat="false" ht="38.25" hidden="false" customHeight="false" outlineLevel="0" collapsed="false">
      <c r="P107" s="105" t="s">
        <v>100</v>
      </c>
      <c r="R107" s="106" t="s">
        <v>101</v>
      </c>
    </row>
    <row r="116" customFormat="false" ht="12.75" hidden="false" customHeight="false" outlineLevel="0" collapsed="false">
      <c r="A116" s="17"/>
      <c r="B116" s="17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74"/>
      <c r="U116" s="68"/>
      <c r="V116" s="74"/>
      <c r="X116" s="68"/>
      <c r="Z116" s="74"/>
      <c r="AA116" s="24"/>
      <c r="AB116" s="74"/>
      <c r="AE116" s="74"/>
    </row>
    <row r="117" customFormat="false" ht="12.75" hidden="false" customHeight="false" outlineLevel="0" collapsed="false">
      <c r="A117" s="107"/>
      <c r="B117" s="107"/>
      <c r="C117" s="98"/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2"/>
      <c r="U117" s="101"/>
      <c r="V117" s="102"/>
      <c r="X117" s="101"/>
      <c r="Z117" s="102"/>
      <c r="AA117" s="24"/>
      <c r="AB117" s="102"/>
      <c r="AE117" s="102"/>
    </row>
    <row r="118" customFormat="false" ht="12.75" hidden="false" customHeight="false" outlineLevel="0" collapsed="false">
      <c r="P118" s="105"/>
      <c r="Q118" s="105"/>
      <c r="R118" s="106"/>
      <c r="V118" s="24"/>
      <c r="Z118" s="24"/>
      <c r="AA118" s="24"/>
      <c r="AB118" s="24"/>
      <c r="AE118" s="24"/>
    </row>
    <row r="119" customFormat="false" ht="12.75" hidden="false" customHeight="false" outlineLevel="0" collapsed="false">
      <c r="A119" s="17"/>
      <c r="B119" s="17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74"/>
      <c r="U119" s="68"/>
      <c r="V119" s="74"/>
      <c r="X119" s="68"/>
      <c r="Z119" s="74"/>
      <c r="AA119" s="24"/>
      <c r="AB119" s="74"/>
      <c r="AE119" s="74"/>
    </row>
    <row r="120" customFormat="false" ht="12.75" hidden="false" customHeight="false" outlineLevel="0" collapsed="false">
      <c r="A120" s="38"/>
      <c r="B120" s="3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74"/>
      <c r="U120" s="68"/>
      <c r="V120" s="74"/>
      <c r="X120" s="68"/>
      <c r="Z120" s="74"/>
      <c r="AA120" s="24"/>
      <c r="AB120" s="74"/>
      <c r="AE120" s="74"/>
    </row>
    <row r="121" customFormat="false" ht="12.75" hidden="false" customHeight="false" outlineLevel="0" collapsed="false">
      <c r="R121" s="24"/>
      <c r="V121" s="24"/>
      <c r="Z121" s="24"/>
      <c r="AA121" s="24"/>
      <c r="AB121" s="24"/>
      <c r="AE121" s="24"/>
    </row>
    <row r="122" customFormat="false" ht="12.75" hidden="false" customHeight="false" outlineLevel="0" collapsed="false">
      <c r="A122" s="107"/>
      <c r="B122" s="107"/>
      <c r="C122" s="98"/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2"/>
      <c r="U122" s="101"/>
      <c r="V122" s="102"/>
      <c r="X122" s="101"/>
      <c r="Z122" s="102"/>
      <c r="AA122" s="24"/>
      <c r="AB122" s="102"/>
      <c r="AE122" s="102"/>
    </row>
  </sheetData>
  <mergeCells count="3">
    <mergeCell ref="A1:P1"/>
    <mergeCell ref="M4:R4"/>
    <mergeCell ref="M5:R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70" man="true" max="16383" min="0"/>
    <brk id="71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2001-01-24T17:06:45Z</dcterms:created>
  <dc:creator>ENRON</dc:creator>
  <dc:description/>
  <dc:language>en-US</dc:language>
  <cp:lastModifiedBy>rhaysle</cp:lastModifiedBy>
  <cp:lastPrinted>2001-02-26T11:42:41Z</cp:lastPrinted>
  <dcterms:modified xsi:type="dcterms:W3CDTF">2001-03-07T16:16:25Z</dcterms:modified>
  <cp:revision>0</cp:revision>
  <dc:subject/>
  <dc:title/>
</cp:coreProperties>
</file>